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20070" windowHeight="8535" tabRatio="947" activeTab="0"/>
  </bookViews>
  <sheets>
    <sheet name="Pg 1 CofCap" sheetId="1" r:id="rId1"/>
    <sheet name="Pg 2 CapStructure" sheetId="2" r:id="rId2"/>
    <sheet name="Pg 3 STD Cost Rate" sheetId="3" r:id="rId3"/>
    <sheet name="Pg 4 STD OS &amp; Comm Fees" sheetId="4" r:id="rId4"/>
    <sheet name="Pg 5 STD Amort" sheetId="5" r:id="rId5"/>
    <sheet name="Pg 6 LTD Cost " sheetId="6" r:id="rId6"/>
    <sheet name="Pg 7 Reacquired Debt" sheetId="7" r:id="rId7"/>
    <sheet name="BS-Unamortized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a">'[1]STD Cost'!#REF!</definedName>
    <definedName name="CASHFLOWS">'[2]CST STD!'!#REF!</definedName>
    <definedName name="P">#REF!</definedName>
    <definedName name="pagea">#REF!</definedName>
    <definedName name="pageb">#REF!</definedName>
    <definedName name="_xlnm.Print_Area" localSheetId="0">'Pg 1 CofCap'!$A$1:$F$22</definedName>
    <definedName name="_xlnm.Print_Area" localSheetId="1">'Pg 2 CapStructure'!$A$1:$P$44</definedName>
    <definedName name="_xlnm.Print_Area" localSheetId="2">'Pg 3 STD Cost Rate'!$A$1:$G$34</definedName>
    <definedName name="_xlnm.Print_Area" localSheetId="3">'Pg 4 STD OS &amp; Comm Fees'!$A$1:$K$32</definedName>
    <definedName name="_xlnm.Print_Area" localSheetId="4">'Pg 5 STD Amort'!$A$1:$G$28</definedName>
    <definedName name="_xlnm.Print_Area" localSheetId="5">'Pg 6 LTD Cost '!$A$1:$V$35</definedName>
    <definedName name="_xlnm.Print_Area" localSheetId="6">'Pg 7 Reacquired Debt'!$A$1:$J$34</definedName>
    <definedName name="_xlnm.Print_Titles" localSheetId="6">'Pg 7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comments2.xml><?xml version="1.0" encoding="utf-8"?>
<comments xmlns="http://schemas.openxmlformats.org/spreadsheetml/2006/main">
  <authors>
    <author>jsant</author>
  </authors>
  <commentList>
    <comment ref="B34" authorId="0">
      <text>
        <r>
          <rPr>
            <sz val="8"/>
            <rFont val="Tahoma"/>
            <family val="2"/>
          </rPr>
          <t>Positive numbers are credits to equity, negative numbers are debits.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rFont val="Tahoma"/>
            <family val="2"/>
          </rPr>
          <t>Back non-regulated items out of consolidated book common equity to get to regulated equity.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jsant</author>
  </authors>
  <commentList>
    <comment ref="F9" authorId="0">
      <text>
        <r>
          <rPr>
            <sz val="8"/>
            <rFont val="Tahoma"/>
            <family val="2"/>
          </rPr>
          <t>Includes Credit Facility and Letter of Credit Fees.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sz val="8"/>
            <rFont val="Tahoma"/>
            <family val="2"/>
          </rPr>
          <t xml:space="preserve">Based on daily balances outstanding
</t>
        </r>
      </text>
    </comment>
  </commentList>
</comments>
</file>

<file path=xl/comments7.xml><?xml version="1.0" encoding="utf-8"?>
<comments xmlns="http://schemas.openxmlformats.org/spreadsheetml/2006/main">
  <authors>
    <author>jsant</author>
  </authors>
  <commentList>
    <comment ref="I28" authorId="0">
      <text>
        <r>
          <rPr>
            <sz val="8"/>
            <rFont val="Tahoma"/>
            <family val="2"/>
          </rPr>
          <t>Flows to Cost of Debt Tab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<sst xmlns="http://schemas.openxmlformats.org/spreadsheetml/2006/main" count="398" uniqueCount="234">
  <si>
    <t>($ thousands)</t>
  </si>
  <si>
    <t xml:space="preserve"> 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</si>
  <si>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</si>
  <si>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</si>
  <si>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</si>
  <si>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</si>
  <si>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</si>
  <si>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</si>
  <si>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</si>
  <si>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</si>
  <si>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</si>
  <si>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</si>
  <si>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</si>
  <si>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</si>
  <si>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</si>
  <si>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</si>
  <si>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</si>
  <si>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</si>
  <si>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</si>
  <si>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</si>
  <si>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</si>
  <si>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</si>
  <si>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</si>
  <si>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</si>
  <si>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</si>
  <si>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</si>
  <si>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</si>
  <si>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</si>
  <si>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</si>
  <si>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</si>
  <si>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</si>
  <si>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</si>
  <si>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</si>
  <si>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</si>
  <si>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</si>
  <si>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</si>
  <si>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</si>
  <si>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</si>
  <si>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</si>
  <si>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</si>
  <si>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</si>
  <si>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</si>
  <si>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</si>
  <si>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</si>
  <si>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</si>
  <si>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</si>
  <si>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</si>
  <si>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</si>
  <si>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</si>
  <si>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</si>
  <si>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</si>
  <si>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</si>
  <si>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</si>
  <si>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</si>
  <si>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</si>
  <si>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</si>
  <si>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</si>
  <si>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</si>
  <si>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</si>
  <si>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</si>
  <si>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</si>
  <si>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</si>
  <si>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</si>
  <si>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</si>
  <si>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</si>
  <si>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</si>
  <si>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</si>
  <si>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</si>
  <si>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</si>
  <si>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</si>
  <si>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</si>
  <si>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</si>
  <si>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</si>
  <si>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</si>
  <si>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</si>
  <si>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</si>
  <si>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</si>
  <si>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</si>
  <si>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</si>
  <si>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</si>
  <si>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</si>
  <si>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t>(P)</t>
  </si>
  <si>
    <t>(Q)</t>
  </si>
  <si>
    <t>(R)</t>
  </si>
  <si>
    <t>(S)</t>
  </si>
  <si>
    <t>(T)</t>
  </si>
  <si>
    <t>(U)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</si>
  <si>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</si>
  <si>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</si>
  <si>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</si>
  <si>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</si>
  <si>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</si>
  <si>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</si>
  <si>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</si>
  <si>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</si>
  <si>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</si>
  <si>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</si>
  <si>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</si>
  <si>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</si>
  <si>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</si>
  <si>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</si>
  <si>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</si>
  <si>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</si>
  <si>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</si>
  <si>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</si>
  <si>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</si>
  <si>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</si>
  <si>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</si>
  <si>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</si>
  <si>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</si>
  <si>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</si>
  <si>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</si>
  <si>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</si>
  <si>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</si>
  <si>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</si>
  <si>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</si>
  <si>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</si>
  <si>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</si>
  <si>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JrSubN</t>
  </si>
  <si>
    <t>Type</t>
  </si>
  <si>
    <t>Long-term Bonds</t>
  </si>
  <si>
    <t>TOTAL LONG TERM DEBT</t>
  </si>
  <si>
    <t>Bank Facility Commitment Fees</t>
  </si>
  <si>
    <t>Commitment</t>
  </si>
  <si>
    <t>Avg Balance of Yr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</si>
  <si>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</si>
  <si>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</si>
  <si>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</si>
  <si>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</si>
  <si>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</si>
  <si>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</si>
  <si>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</si>
  <si>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</si>
  <si>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</si>
  <si>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</si>
  <si>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</si>
  <si>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</si>
  <si>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</si>
  <si>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</si>
  <si>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</si>
  <si>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</si>
  <si>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</si>
  <si>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</si>
  <si>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</si>
  <si>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</si>
  <si>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</si>
  <si>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</si>
  <si>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</si>
  <si>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</si>
  <si>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</si>
  <si>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</si>
  <si>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</si>
  <si>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</si>
  <si>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</si>
  <si>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$400 million</t>
  </si>
  <si>
    <t>Working Cap Fac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</si>
  <si>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</si>
  <si>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</si>
  <si>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</si>
  <si>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</si>
  <si>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</si>
  <si>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Intercompany Loan with PE</t>
  </si>
  <si>
    <t>Total Amortization for 12 months ended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</si>
  <si>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</si>
  <si>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 val="single"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</si>
  <si>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</si>
  <si>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</si>
  <si>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BPA Transmission</t>
  </si>
  <si>
    <t>Wells Fargo (not within facility)</t>
  </si>
  <si>
    <t>FERC end of Period Cost</t>
  </si>
  <si>
    <t>Wgt Cost Rate</t>
  </si>
  <si>
    <t>monthly</t>
  </si>
  <si>
    <t>Mos. X monthly</t>
  </si>
  <si>
    <t>Diff</t>
  </si>
  <si>
    <t>Months</t>
  </si>
  <si>
    <t>Remaining at:</t>
  </si>
  <si>
    <t>Bal Sheet #</t>
  </si>
  <si>
    <t>Internal Checkpoints Only</t>
  </si>
  <si>
    <t>Mar</t>
  </si>
  <si>
    <t>Jun</t>
  </si>
  <si>
    <t>Sep</t>
  </si>
  <si>
    <t>std</t>
  </si>
  <si>
    <t>ltd</t>
  </si>
  <si>
    <t>pref</t>
  </si>
  <si>
    <t>comm book</t>
  </si>
  <si>
    <t>$25M 9.57% Gas FMB's</t>
  </si>
  <si>
    <t>40 Yr 4.70%</t>
  </si>
  <si>
    <t>$650mm Liquidity  Facility</t>
  </si>
  <si>
    <t>Liquidity Facility (Wells Fargo)</t>
  </si>
  <si>
    <t xml:space="preserve">Wgtd Avg </t>
  </si>
  <si>
    <t>$650 million</t>
  </si>
  <si>
    <t>Liquidity Fac</t>
  </si>
  <si>
    <t>PCB Series 2003</t>
  </si>
  <si>
    <t>2013 PCB's</t>
  </si>
  <si>
    <t>Sub Total 231</t>
  </si>
  <si>
    <t>Sub Total 233</t>
  </si>
  <si>
    <t>Sub Total 221 &amp; 226</t>
  </si>
  <si>
    <t>Sub Total 221 Jr. Subordinated</t>
  </si>
  <si>
    <t>Unamort Loss on Reacquired Debt - 1995</t>
  </si>
  <si>
    <t>9-5/8% Series 9/15/94 - Unam Loss Reacq</t>
  </si>
  <si>
    <t>$200M VRN - Amort of Debt Retirement</t>
  </si>
  <si>
    <t>8.231% Trust Preferred Notes - Amort of</t>
  </si>
  <si>
    <t>9.14% Med Term Notes Due 06/15/18- Unam</t>
  </si>
  <si>
    <t>7.05% PCB Series 1991A-Unamort Loss on</t>
  </si>
  <si>
    <t>7.25% PCB Series 1991B-Unamort Loss on</t>
  </si>
  <si>
    <t>6.8% PCB Series 1992-Unamort Loss on Re</t>
  </si>
  <si>
    <t>5.875% PCB Series 1993-Unamort Loss on</t>
  </si>
  <si>
    <t>8.4%WING MTN SERIES A DUE 1/13/2022 (rd</t>
  </si>
  <si>
    <t>8.39%WNG MTN SERIES A DUE 1/13/2022 (rd</t>
  </si>
  <si>
    <t>8.25% WNG MTN SERIES A DUE 8/12/22, rde</t>
  </si>
  <si>
    <t>7.19% WNG Series B due 8/18/2023</t>
  </si>
  <si>
    <t>8.40% Cap Trst - Unam Loss Reacq Debt</t>
  </si>
  <si>
    <t>8.231% Capital Trust I-Redemption 6/1/2</t>
  </si>
  <si>
    <t>Redemption Costs for 9.57% FMB's</t>
  </si>
  <si>
    <t>2009 PSE Operating Facility Unamortized</t>
  </si>
  <si>
    <t>2009 PSE Hedging Facility Unamortized C</t>
  </si>
  <si>
    <t>2009 PSE CapEx Facility Unamortized Cos</t>
  </si>
  <si>
    <t>5.0% PCB Series 2003A Unamort Debt Issu</t>
  </si>
  <si>
    <t>5.10% PCB Series 2003B Unamort Debt Iss</t>
  </si>
  <si>
    <t>2014 PSE Operating Facility Unamortized</t>
  </si>
  <si>
    <t>2014 PSE Hedging Facility Unamortized C</t>
  </si>
  <si>
    <t>As of 6/30/2014</t>
  </si>
  <si>
    <t>As of 6/30/2013</t>
  </si>
  <si>
    <t>As of 12/31/2013</t>
  </si>
  <si>
    <t>Financial Package</t>
  </si>
  <si>
    <t>SAP ZFR00016</t>
  </si>
  <si>
    <t>Capex Fac</t>
  </si>
  <si>
    <t>18101083/18900403</t>
  </si>
  <si>
    <t>Liquidity Refinance</t>
  </si>
  <si>
    <t>For the 12 Months Ending September 30, 2014</t>
  </si>
  <si>
    <t>Short-Term Debt Rate</t>
  </si>
  <si>
    <t>Amortization of Short-Term Debt Issue Costs</t>
  </si>
  <si>
    <t>As of:  9/30/13</t>
  </si>
  <si>
    <t>Cost of Long Term Debt ($in 000's)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</si>
</sst>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0.0000000%"/>
  </numFmts>
  <fonts count="60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Geneva"/>
      <family val="0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 val="single"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7"/>
      <name val="Arial"/>
      <family val="2"/>
    </font>
    <font>
      <u val="single"/>
      <sz val="9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177" fontId="0" fillId="0" borderId="0">
      <alignment/>
      <protection/>
    </xf>
    <xf numFmtId="0" fontId="5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12" fillId="4" borderId="7" applyNumberFormat="0" applyFont="0" applyAlignment="0" applyProtection="0"/>
    <xf numFmtId="0" fontId="52" fillId="1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3">
    <xf numFmtId="37" fontId="0" fillId="0" borderId="0" xfId="0" applyAlignment="1">
      <alignment/>
    </xf>
    <xf numFmtId="0" fontId="3" fillId="0" borderId="0" xfId="61" applyFont="1">
      <alignment/>
      <protection/>
    </xf>
    <xf numFmtId="0" fontId="3" fillId="0" borderId="0" xfId="61" applyFont="1" applyFill="1">
      <alignment/>
      <protection/>
    </xf>
    <xf numFmtId="37" fontId="3" fillId="0" borderId="0" xfId="64" applyFont="1">
      <alignment/>
      <protection/>
    </xf>
    <xf numFmtId="37" fontId="3" fillId="0" borderId="0" xfId="64" applyFont="1" applyAlignment="1" applyProtection="1">
      <alignment horizontal="center"/>
      <protection/>
    </xf>
    <xf numFmtId="37" fontId="5" fillId="0" borderId="0" xfId="64" applyFont="1" applyAlignment="1">
      <alignment horizontal="center"/>
      <protection/>
    </xf>
    <xf numFmtId="5" fontId="3" fillId="0" borderId="0" xfId="64" applyNumberFormat="1" applyFont="1">
      <alignment/>
      <protection/>
    </xf>
    <xf numFmtId="37" fontId="6" fillId="0" borderId="0" xfId="64" applyFont="1">
      <alignment/>
      <protection/>
    </xf>
    <xf numFmtId="37" fontId="6" fillId="0" borderId="0" xfId="64" applyFont="1" applyFill="1">
      <alignment/>
      <protection/>
    </xf>
    <xf numFmtId="15" fontId="3" fillId="0" borderId="0" xfId="64" applyNumberFormat="1" applyFont="1" applyProtection="1">
      <alignment/>
      <protection/>
    </xf>
    <xf numFmtId="0" fontId="3" fillId="0" borderId="0" xfId="67" applyFont="1" applyAlignment="1" applyProtection="1">
      <alignment horizontal="left"/>
      <protection/>
    </xf>
    <xf numFmtId="0" fontId="7" fillId="0" borderId="0" xfId="67" applyFont="1">
      <alignment/>
      <protection/>
    </xf>
    <xf numFmtId="0" fontId="4" fillId="0" borderId="0" xfId="67" applyFont="1">
      <alignment/>
      <protection/>
    </xf>
    <xf numFmtId="5" fontId="4" fillId="0" borderId="0" xfId="67" applyNumberFormat="1" applyFont="1" applyProtection="1">
      <alignment/>
      <protection/>
    </xf>
    <xf numFmtId="37" fontId="12" fillId="0" borderId="0" xfId="0" applyFont="1" applyAlignment="1">
      <alignment/>
    </xf>
    <xf numFmtId="37" fontId="14" fillId="0" borderId="0" xfId="0" applyFont="1" applyAlignment="1">
      <alignment/>
    </xf>
    <xf numFmtId="37" fontId="12" fillId="0" borderId="0" xfId="0" applyFont="1" applyBorder="1" applyAlignment="1">
      <alignment/>
    </xf>
    <xf numFmtId="37" fontId="15" fillId="0" borderId="0" xfId="0" applyFont="1" applyBorder="1" applyAlignment="1">
      <alignment horizontal="right"/>
    </xf>
    <xf numFmtId="37" fontId="15" fillId="0" borderId="0" xfId="0" applyFont="1" applyBorder="1" applyAlignment="1">
      <alignment horizontal="center"/>
    </xf>
    <xf numFmtId="14" fontId="12" fillId="0" borderId="0" xfId="0" applyNumberFormat="1" applyFont="1" applyFill="1" applyBorder="1" applyAlignment="1">
      <alignment/>
    </xf>
    <xf numFmtId="170" fontId="12" fillId="0" borderId="0" xfId="42" applyNumberFormat="1" applyFont="1" applyBorder="1" applyAlignment="1">
      <alignment/>
    </xf>
    <xf numFmtId="166" fontId="14" fillId="0" borderId="0" xfId="0" applyNumberFormat="1" applyFont="1" applyAlignment="1">
      <alignment horizontal="left"/>
    </xf>
    <xf numFmtId="37" fontId="9" fillId="0" borderId="0" xfId="64" applyFont="1" applyFill="1" applyAlignment="1">
      <alignment horizontal="center"/>
      <protection/>
    </xf>
    <xf numFmtId="5" fontId="6" fillId="0" borderId="0" xfId="64" applyNumberFormat="1" applyFont="1" applyFill="1">
      <alignment/>
      <protection/>
    </xf>
    <xf numFmtId="37" fontId="6" fillId="0" borderId="0" xfId="64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5" fontId="6" fillId="0" borderId="0" xfId="64" applyNumberFormat="1" applyFont="1" applyFill="1" applyProtection="1">
      <alignment/>
      <protection/>
    </xf>
    <xf numFmtId="37" fontId="9" fillId="0" borderId="0" xfId="64" applyFont="1" applyFill="1" applyAlignment="1" applyProtection="1">
      <alignment horizontal="center"/>
      <protection/>
    </xf>
    <xf numFmtId="10" fontId="6" fillId="0" borderId="0" xfId="64" applyNumberFormat="1" applyFont="1" applyFill="1" applyProtection="1">
      <alignment/>
      <protection/>
    </xf>
    <xf numFmtId="168" fontId="6" fillId="0" borderId="0" xfId="64" applyNumberFormat="1" applyFont="1" applyFill="1" applyAlignment="1" applyProtection="1">
      <alignment horizontal="fill"/>
      <protection/>
    </xf>
    <xf numFmtId="166" fontId="3" fillId="0" borderId="0" xfId="64" applyNumberFormat="1" applyFont="1" applyFill="1">
      <alignment/>
      <protection/>
    </xf>
    <xf numFmtId="0" fontId="12" fillId="0" borderId="0" xfId="67" applyFont="1">
      <alignment/>
      <protection/>
    </xf>
    <xf numFmtId="0" fontId="13" fillId="0" borderId="0" xfId="67" applyFont="1" applyFill="1" applyAlignment="1" applyProtection="1" quotePrefix="1">
      <alignment horizontal="center"/>
      <protection/>
    </xf>
    <xf numFmtId="0" fontId="12" fillId="0" borderId="0" xfId="67" applyFont="1" applyFill="1">
      <alignment/>
      <protection/>
    </xf>
    <xf numFmtId="0" fontId="14" fillId="0" borderId="0" xfId="67" applyFont="1" applyFill="1" applyAlignment="1" applyProtection="1">
      <alignment horizontal="center"/>
      <protection/>
    </xf>
    <xf numFmtId="0" fontId="18" fillId="0" borderId="10" xfId="67" applyFont="1" applyFill="1" applyBorder="1" applyAlignment="1" applyProtection="1">
      <alignment horizontal="center" wrapText="1"/>
      <protection/>
    </xf>
    <xf numFmtId="0" fontId="17" fillId="0" borderId="10" xfId="67" applyFont="1" applyFill="1" applyBorder="1" applyAlignment="1">
      <alignment horizontal="center"/>
      <protection/>
    </xf>
    <xf numFmtId="7" fontId="12" fillId="0" borderId="0" xfId="67" applyNumberFormat="1" applyFont="1" applyFill="1">
      <alignment/>
      <protection/>
    </xf>
    <xf numFmtId="37" fontId="1" fillId="0" borderId="0" xfId="63" applyFont="1">
      <alignment/>
      <protection/>
    </xf>
    <xf numFmtId="37" fontId="11" fillId="0" borderId="0" xfId="63" applyFont="1">
      <alignment/>
      <protection/>
    </xf>
    <xf numFmtId="37" fontId="11" fillId="0" borderId="0" xfId="63" applyFont="1" applyAlignment="1" applyProtection="1">
      <alignment horizontal="center"/>
      <protection/>
    </xf>
    <xf numFmtId="37" fontId="19" fillId="0" borderId="0" xfId="63" applyFont="1" applyAlignment="1" applyProtection="1">
      <alignment horizontal="center"/>
      <protection/>
    </xf>
    <xf numFmtId="37" fontId="1" fillId="0" borderId="0" xfId="63" applyFont="1" applyAlignment="1" applyProtection="1">
      <alignment horizontal="left"/>
      <protection/>
    </xf>
    <xf numFmtId="37" fontId="1" fillId="0" borderId="0" xfId="63" applyFont="1" applyAlignment="1" applyProtection="1">
      <alignment horizontal="fill"/>
      <protection/>
    </xf>
    <xf numFmtId="37" fontId="1" fillId="0" borderId="0" xfId="63" applyFont="1" applyAlignment="1" applyProtection="1">
      <alignment horizontal="center"/>
      <protection/>
    </xf>
    <xf numFmtId="10" fontId="1" fillId="0" borderId="0" xfId="63" applyNumberFormat="1" applyFont="1" applyProtection="1">
      <alignment/>
      <protection/>
    </xf>
    <xf numFmtId="37" fontId="1" fillId="0" borderId="0" xfId="63" applyNumberFormat="1" applyFont="1" applyProtection="1">
      <alignment/>
      <protection/>
    </xf>
    <xf numFmtId="5" fontId="1" fillId="0" borderId="0" xfId="63" applyNumberFormat="1" applyFont="1" applyProtection="1">
      <alignment/>
      <protection/>
    </xf>
    <xf numFmtId="5" fontId="1" fillId="0" borderId="0" xfId="63" applyNumberFormat="1" applyFont="1">
      <alignment/>
      <protection/>
    </xf>
    <xf numFmtId="5" fontId="20" fillId="0" borderId="0" xfId="63" applyNumberFormat="1" applyFont="1">
      <alignment/>
      <protection/>
    </xf>
    <xf numFmtId="5" fontId="20" fillId="0" borderId="0" xfId="63" applyNumberFormat="1" applyFont="1" applyProtection="1">
      <alignment/>
      <protection/>
    </xf>
    <xf numFmtId="37" fontId="11" fillId="0" borderId="11" xfId="63" applyFont="1" applyBorder="1" applyAlignment="1" applyProtection="1">
      <alignment horizontal="left"/>
      <protection/>
    </xf>
    <xf numFmtId="5" fontId="11" fillId="0" borderId="12" xfId="63" applyNumberFormat="1" applyFont="1" applyBorder="1" applyProtection="1">
      <alignment/>
      <protection/>
    </xf>
    <xf numFmtId="5" fontId="11" fillId="0" borderId="12" xfId="63" applyNumberFormat="1" applyFont="1" applyBorder="1">
      <alignment/>
      <protection/>
    </xf>
    <xf numFmtId="5" fontId="21" fillId="0" borderId="0" xfId="63" applyNumberFormat="1" applyFont="1" applyFill="1" applyProtection="1">
      <alignment/>
      <protection/>
    </xf>
    <xf numFmtId="5" fontId="21" fillId="0" borderId="0" xfId="63" applyNumberFormat="1" applyFont="1" applyProtection="1">
      <alignment/>
      <protection/>
    </xf>
    <xf numFmtId="5" fontId="21" fillId="0" borderId="0" xfId="63" applyNumberFormat="1" applyFont="1">
      <alignment/>
      <protection/>
    </xf>
    <xf numFmtId="170" fontId="21" fillId="0" borderId="0" xfId="42" applyNumberFormat="1" applyFont="1" applyAlignment="1">
      <alignment/>
    </xf>
    <xf numFmtId="5" fontId="22" fillId="0" borderId="0" xfId="63" applyNumberFormat="1" applyFont="1">
      <alignment/>
      <protection/>
    </xf>
    <xf numFmtId="5" fontId="22" fillId="0" borderId="0" xfId="63" applyNumberFormat="1" applyFont="1" applyProtection="1">
      <alignment/>
      <protection/>
    </xf>
    <xf numFmtId="0" fontId="3" fillId="0" borderId="0" xfId="61" applyFont="1" applyBorder="1">
      <alignment/>
      <protection/>
    </xf>
    <xf numFmtId="175" fontId="25" fillId="0" borderId="0" xfId="61" applyNumberFormat="1" applyFont="1" applyFill="1" applyProtection="1">
      <alignment/>
      <protection/>
    </xf>
    <xf numFmtId="0" fontId="14" fillId="0" borderId="0" xfId="61" applyFont="1" applyAlignment="1">
      <alignment horizontal="centerContinuous"/>
      <protection/>
    </xf>
    <xf numFmtId="10" fontId="1" fillId="0" borderId="0" xfId="66" applyFont="1">
      <alignment/>
      <protection/>
    </xf>
    <xf numFmtId="10" fontId="1" fillId="0" borderId="0" xfId="66" applyFont="1" applyAlignment="1">
      <alignment horizontal="center"/>
      <protection/>
    </xf>
    <xf numFmtId="10" fontId="11" fillId="0" borderId="0" xfId="66" applyFont="1" applyAlignment="1">
      <alignment horizontal="center"/>
      <protection/>
    </xf>
    <xf numFmtId="10" fontId="11" fillId="0" borderId="0" xfId="66" applyFont="1" applyAlignment="1" applyProtection="1">
      <alignment horizontal="center"/>
      <protection/>
    </xf>
    <xf numFmtId="10" fontId="19" fillId="0" borderId="0" xfId="66" applyFont="1" applyAlignment="1" applyProtection="1">
      <alignment horizontal="center"/>
      <protection/>
    </xf>
    <xf numFmtId="10" fontId="1" fillId="0" borderId="0" xfId="66" applyFont="1" applyAlignment="1" applyProtection="1">
      <alignment horizontal="left"/>
      <protection/>
    </xf>
    <xf numFmtId="10" fontId="11" fillId="0" borderId="0" xfId="66" applyFont="1" applyAlignment="1" applyProtection="1">
      <alignment horizontal="left"/>
      <protection/>
    </xf>
    <xf numFmtId="10" fontId="11" fillId="0" borderId="0" xfId="66" applyFont="1">
      <alignment/>
      <protection/>
    </xf>
    <xf numFmtId="10" fontId="1" fillId="0" borderId="0" xfId="66" applyFont="1" applyBorder="1">
      <alignment/>
      <protection/>
    </xf>
    <xf numFmtId="0" fontId="14" fillId="0" borderId="0" xfId="67" applyFont="1" applyFill="1" applyBorder="1" applyAlignment="1" applyProtection="1" quotePrefix="1">
      <alignment horizontal="left"/>
      <protection/>
    </xf>
    <xf numFmtId="0" fontId="18" fillId="0" borderId="10" xfId="67" applyFont="1" applyFill="1" applyBorder="1" applyAlignment="1" applyProtection="1">
      <alignment horizontal="left"/>
      <protection/>
    </xf>
    <xf numFmtId="168" fontId="12" fillId="0" borderId="0" xfId="67" applyNumberFormat="1" applyFont="1" applyFill="1" applyAlignment="1">
      <alignment horizontal="left"/>
      <protection/>
    </xf>
    <xf numFmtId="15" fontId="12" fillId="0" borderId="0" xfId="67" applyNumberFormat="1" applyFont="1" applyFill="1" applyAlignment="1">
      <alignment horizontal="center"/>
      <protection/>
    </xf>
    <xf numFmtId="174" fontId="12" fillId="0" borderId="0" xfId="67" applyNumberFormat="1" applyFont="1" applyFill="1">
      <alignment/>
      <protection/>
    </xf>
    <xf numFmtId="15" fontId="24" fillId="0" borderId="0" xfId="67" applyNumberFormat="1" applyFont="1" applyBorder="1" applyAlignment="1">
      <alignment horizontal="left"/>
      <protection/>
    </xf>
    <xf numFmtId="0" fontId="16" fillId="0" borderId="0" xfId="67" applyFont="1">
      <alignment/>
      <protection/>
    </xf>
    <xf numFmtId="0" fontId="24" fillId="0" borderId="0" xfId="67" applyFont="1" applyAlignment="1" quotePrefix="1">
      <alignment horizontal="left"/>
      <protection/>
    </xf>
    <xf numFmtId="37" fontId="24" fillId="0" borderId="0" xfId="0" applyFont="1" applyBorder="1" applyAlignment="1">
      <alignment/>
    </xf>
    <xf numFmtId="37" fontId="16" fillId="0" borderId="0" xfId="0" applyFont="1" applyBorder="1" applyAlignment="1">
      <alignment/>
    </xf>
    <xf numFmtId="172" fontId="14" fillId="0" borderId="0" xfId="67" applyNumberFormat="1" applyFont="1" applyFill="1" applyAlignment="1">
      <alignment horizontal="left"/>
      <protection/>
    </xf>
    <xf numFmtId="37" fontId="14" fillId="0" borderId="0" xfId="0" applyFont="1" applyBorder="1" applyAlignment="1">
      <alignment horizontal="left"/>
    </xf>
    <xf numFmtId="37" fontId="18" fillId="0" borderId="0" xfId="63" applyFont="1" applyAlignment="1" applyProtection="1">
      <alignment horizontal="center"/>
      <protection/>
    </xf>
    <xf numFmtId="37" fontId="0" fillId="0" borderId="0" xfId="65" applyFont="1" applyBorder="1" applyAlignment="1" applyProtection="1">
      <alignment horizontal="left"/>
      <protection/>
    </xf>
    <xf numFmtId="1" fontId="12" fillId="0" borderId="0" xfId="66" applyNumberFormat="1" applyFont="1" applyAlignment="1" applyProtection="1">
      <alignment horizontal="center"/>
      <protection/>
    </xf>
    <xf numFmtId="37" fontId="14" fillId="0" borderId="0" xfId="63" applyFont="1" applyAlignment="1" applyProtection="1">
      <alignment horizontal="left"/>
      <protection/>
    </xf>
    <xf numFmtId="37" fontId="0" fillId="0" borderId="0" xfId="64" applyNumberFormat="1" applyFont="1" applyAlignment="1">
      <alignment horizontal="center"/>
      <protection/>
    </xf>
    <xf numFmtId="37" fontId="28" fillId="0" borderId="0" xfId="64" applyFont="1">
      <alignment/>
      <protection/>
    </xf>
    <xf numFmtId="37" fontId="18" fillId="0" borderId="0" xfId="64" applyNumberFormat="1" applyFont="1">
      <alignment/>
      <protection/>
    </xf>
    <xf numFmtId="37" fontId="0" fillId="0" borderId="0" xfId="64" applyNumberFormat="1" applyFont="1">
      <alignment/>
      <protection/>
    </xf>
    <xf numFmtId="3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7" fontId="18" fillId="0" borderId="0" xfId="64" applyNumberFormat="1" applyFont="1" applyAlignment="1" applyProtection="1">
      <alignment horizontal="left"/>
      <protection/>
    </xf>
    <xf numFmtId="38" fontId="1" fillId="0" borderId="0" xfId="66" applyNumberFormat="1" applyFont="1">
      <alignment/>
      <protection/>
    </xf>
    <xf numFmtId="0" fontId="0" fillId="0" borderId="0" xfId="61" applyFont="1" applyAlignment="1" applyProtection="1">
      <alignment horizontal="left"/>
      <protection/>
    </xf>
    <xf numFmtId="0" fontId="0" fillId="0" borderId="0" xfId="61" applyFont="1">
      <alignment/>
      <protection/>
    </xf>
    <xf numFmtId="0" fontId="18" fillId="0" borderId="0" xfId="61" applyFont="1" applyAlignment="1" applyProtection="1">
      <alignment horizontal="left"/>
      <protection/>
    </xf>
    <xf numFmtId="37" fontId="12" fillId="0" borderId="13" xfId="0" applyFont="1" applyBorder="1" applyAlignment="1">
      <alignment horizontal="centerContinuous"/>
    </xf>
    <xf numFmtId="7" fontId="12" fillId="0" borderId="0" xfId="45" applyNumberFormat="1" applyFont="1" applyBorder="1" applyAlignment="1">
      <alignment/>
    </xf>
    <xf numFmtId="5" fontId="12" fillId="0" borderId="0" xfId="67" applyNumberFormat="1" applyFont="1" applyProtection="1">
      <alignment/>
      <protection/>
    </xf>
    <xf numFmtId="166" fontId="0" fillId="0" borderId="0" xfId="64" applyNumberFormat="1" applyFont="1" applyFill="1" applyAlignment="1">
      <alignment horizontal="centerContinuous"/>
      <protection/>
    </xf>
    <xf numFmtId="166" fontId="0" fillId="0" borderId="0" xfId="0" applyNumberFormat="1" applyFont="1" applyFill="1" applyAlignment="1">
      <alignment horizontal="centerContinuous"/>
    </xf>
    <xf numFmtId="166" fontId="0" fillId="0" borderId="0" xfId="64" applyNumberFormat="1" applyFont="1" applyFill="1" applyAlignment="1" applyProtection="1">
      <alignment horizontal="centerContinuous"/>
      <protection/>
    </xf>
    <xf numFmtId="37" fontId="18" fillId="0" borderId="0" xfId="0" applyFont="1" applyBorder="1" applyAlignment="1">
      <alignment/>
    </xf>
    <xf numFmtId="5" fontId="1" fillId="0" borderId="0" xfId="42" applyNumberFormat="1" applyFont="1" applyAlignment="1" applyProtection="1">
      <alignment/>
      <protection/>
    </xf>
    <xf numFmtId="10" fontId="1" fillId="0" borderId="0" xfId="66" applyFont="1" applyAlignment="1" applyProtection="1">
      <alignment/>
      <protection/>
    </xf>
    <xf numFmtId="5" fontId="1" fillId="0" borderId="0" xfId="66" applyNumberFormat="1" applyFont="1" applyAlignment="1" applyProtection="1">
      <alignment/>
      <protection/>
    </xf>
    <xf numFmtId="10" fontId="1" fillId="0" borderId="0" xfId="66" applyFont="1" applyBorder="1" applyAlignment="1" applyProtection="1">
      <alignment/>
      <protection/>
    </xf>
    <xf numFmtId="5" fontId="1" fillId="0" borderId="0" xfId="66" applyNumberFormat="1" applyFont="1" applyAlignment="1">
      <alignment/>
      <protection/>
    </xf>
    <xf numFmtId="10" fontId="1" fillId="0" borderId="0" xfId="66" applyFont="1" applyAlignment="1">
      <alignment/>
      <protection/>
    </xf>
    <xf numFmtId="5" fontId="20" fillId="0" borderId="0" xfId="66" applyNumberFormat="1" applyFont="1" applyBorder="1" applyAlignment="1" applyProtection="1">
      <alignment/>
      <protection/>
    </xf>
    <xf numFmtId="165" fontId="1" fillId="0" borderId="0" xfId="66" applyNumberFormat="1" applyFont="1" applyBorder="1" applyAlignment="1" applyProtection="1">
      <alignment/>
      <protection/>
    </xf>
    <xf numFmtId="10" fontId="1" fillId="0" borderId="0" xfId="66" applyFont="1" applyBorder="1" applyAlignment="1">
      <alignment/>
      <protection/>
    </xf>
    <xf numFmtId="5" fontId="27" fillId="0" borderId="0" xfId="66" applyNumberFormat="1" applyFont="1" applyBorder="1" applyAlignment="1" applyProtection="1">
      <alignment/>
      <protection/>
    </xf>
    <xf numFmtId="10" fontId="27" fillId="0" borderId="0" xfId="66" applyFont="1" applyBorder="1" applyAlignment="1">
      <alignment/>
      <protection/>
    </xf>
    <xf numFmtId="37" fontId="0" fillId="0" borderId="0" xfId="64" applyNumberFormat="1" applyFont="1" applyAlignment="1">
      <alignment horizontal="right"/>
      <protection/>
    </xf>
    <xf numFmtId="37" fontId="30" fillId="0" borderId="0" xfId="63" applyFont="1" applyAlignment="1" applyProtection="1">
      <alignment horizontal="center"/>
      <protection/>
    </xf>
    <xf numFmtId="10" fontId="1" fillId="0" borderId="0" xfId="66" applyNumberFormat="1" applyFont="1" applyAlignment="1" applyProtection="1">
      <alignment/>
      <protection/>
    </xf>
    <xf numFmtId="10" fontId="0" fillId="0" borderId="0" xfId="0" applyNumberFormat="1" applyFont="1" applyAlignment="1">
      <alignment/>
    </xf>
    <xf numFmtId="37" fontId="14" fillId="0" borderId="0" xfId="0" applyFont="1" applyFill="1" applyBorder="1" applyAlignment="1">
      <alignment horizontal="left"/>
    </xf>
    <xf numFmtId="37" fontId="12" fillId="0" borderId="14" xfId="0" applyFont="1" applyBorder="1" applyAlignment="1">
      <alignment horizontal="centerContinuous"/>
    </xf>
    <xf numFmtId="37" fontId="14" fillId="0" borderId="15" xfId="0" applyFont="1" applyFill="1" applyBorder="1" applyAlignment="1">
      <alignment horizontal="left"/>
    </xf>
    <xf numFmtId="170" fontId="12" fillId="0" borderId="16" xfId="42" applyNumberFormat="1" applyFont="1" applyBorder="1" applyAlignment="1">
      <alignment/>
    </xf>
    <xf numFmtId="37" fontId="18" fillId="0" borderId="16" xfId="0" applyFont="1" applyBorder="1" applyAlignment="1">
      <alignment/>
    </xf>
    <xf numFmtId="37" fontId="14" fillId="0" borderId="17" xfId="0" applyFont="1" applyFill="1" applyBorder="1" applyAlignment="1">
      <alignment horizontal="left"/>
    </xf>
    <xf numFmtId="7" fontId="12" fillId="0" borderId="17" xfId="45" applyNumberFormat="1" applyFont="1" applyBorder="1" applyAlignment="1">
      <alignment/>
    </xf>
    <xf numFmtId="10" fontId="11" fillId="0" borderId="0" xfId="63" applyNumberFormat="1" applyFont="1" applyProtection="1">
      <alignment/>
      <protection/>
    </xf>
    <xf numFmtId="1" fontId="0" fillId="0" borderId="0" xfId="66" applyNumberFormat="1" applyFont="1" applyAlignment="1" applyProtection="1">
      <alignment horizontal="center"/>
      <protection/>
    </xf>
    <xf numFmtId="5" fontId="1" fillId="0" borderId="0" xfId="66" applyNumberFormat="1" applyFont="1">
      <alignment/>
      <protection/>
    </xf>
    <xf numFmtId="1" fontId="12" fillId="0" borderId="0" xfId="66" applyNumberFormat="1" applyFont="1" applyFill="1" applyAlignment="1" applyProtection="1">
      <alignment horizontal="center"/>
      <protection/>
    </xf>
    <xf numFmtId="17" fontId="36" fillId="0" borderId="0" xfId="61" applyNumberFormat="1" applyFont="1" applyFill="1" applyAlignment="1" applyProtection="1">
      <alignment horizontal="center"/>
      <protection/>
    </xf>
    <xf numFmtId="164" fontId="0" fillId="0" borderId="0" xfId="61" applyNumberFormat="1" applyFont="1" applyFill="1" applyBorder="1" applyProtection="1">
      <alignment/>
      <protection/>
    </xf>
    <xf numFmtId="168" fontId="12" fillId="0" borderId="0" xfId="70" applyNumberFormat="1" applyFont="1" applyAlignment="1">
      <alignment/>
    </xf>
    <xf numFmtId="37" fontId="12" fillId="0" borderId="15" xfId="0" applyFont="1" applyFill="1" applyBorder="1" applyAlignment="1">
      <alignment/>
    </xf>
    <xf numFmtId="37" fontId="12" fillId="0" borderId="0" xfId="0" applyFont="1" applyFill="1" applyBorder="1" applyAlignment="1">
      <alignment/>
    </xf>
    <xf numFmtId="37" fontId="12" fillId="0" borderId="17" xfId="0" applyFont="1" applyFill="1" applyBorder="1" applyAlignment="1">
      <alignment/>
    </xf>
    <xf numFmtId="170" fontId="12" fillId="0" borderId="0" xfId="42" applyNumberFormat="1" applyFont="1" applyFill="1" applyBorder="1" applyAlignment="1">
      <alignment/>
    </xf>
    <xf numFmtId="168" fontId="21" fillId="0" borderId="0" xfId="63" applyNumberFormat="1" applyFont="1" applyProtection="1">
      <alignment/>
      <protection/>
    </xf>
    <xf numFmtId="168" fontId="21" fillId="0" borderId="0" xfId="63" applyNumberFormat="1" applyFont="1">
      <alignment/>
      <protection/>
    </xf>
    <xf numFmtId="37" fontId="12" fillId="0" borderId="0" xfId="0" applyFont="1" applyFill="1" applyBorder="1" applyAlignment="1">
      <alignment horizontal="center"/>
    </xf>
    <xf numFmtId="37" fontId="15" fillId="0" borderId="0" xfId="0" applyFont="1" applyFill="1" applyBorder="1" applyAlignment="1">
      <alignment horizontal="center"/>
    </xf>
    <xf numFmtId="10" fontId="18" fillId="2" borderId="18" xfId="64" applyNumberFormat="1" applyFont="1" applyFill="1" applyBorder="1" applyProtection="1">
      <alignment/>
      <protection/>
    </xf>
    <xf numFmtId="10" fontId="11" fillId="2" borderId="18" xfId="63" applyNumberFormat="1" applyFont="1" applyFill="1" applyBorder="1" applyAlignment="1" applyProtection="1">
      <alignment horizontal="center"/>
      <protection/>
    </xf>
    <xf numFmtId="37" fontId="12" fillId="0" borderId="0" xfId="0" applyFont="1" applyBorder="1" applyAlignment="1">
      <alignment horizontal="center"/>
    </xf>
    <xf numFmtId="37" fontId="9" fillId="0" borderId="0" xfId="64" applyFont="1" applyAlignment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37" fontId="18" fillId="0" borderId="0" xfId="0" applyFont="1" applyFill="1" applyBorder="1" applyAlignment="1">
      <alignment/>
    </xf>
    <xf numFmtId="0" fontId="38" fillId="0" borderId="0" xfId="67" applyFont="1">
      <alignment/>
      <protection/>
    </xf>
    <xf numFmtId="10" fontId="27" fillId="0" borderId="0" xfId="66" applyNumberFormat="1" applyFont="1" applyBorder="1" applyAlignment="1" applyProtection="1">
      <alignment/>
      <protection/>
    </xf>
    <xf numFmtId="0" fontId="0" fillId="0" borderId="12" xfId="61" applyFont="1" applyBorder="1" applyAlignment="1" applyProtection="1">
      <alignment horizontal="left"/>
      <protection/>
    </xf>
    <xf numFmtId="0" fontId="0" fillId="0" borderId="0" xfId="61" applyFont="1" applyBorder="1" applyAlignment="1" applyProtection="1">
      <alignment horizontal="left"/>
      <protection/>
    </xf>
    <xf numFmtId="175" fontId="0" fillId="0" borderId="12" xfId="61" applyNumberFormat="1" applyFont="1" applyFill="1" applyBorder="1" applyProtection="1">
      <alignment/>
      <protection/>
    </xf>
    <xf numFmtId="0" fontId="0" fillId="0" borderId="0" xfId="61" applyFont="1" applyBorder="1" applyAlignment="1" applyProtection="1">
      <alignment horizontal="left" indent="1"/>
      <protection/>
    </xf>
    <xf numFmtId="0" fontId="0" fillId="0" borderId="12" xfId="61" applyFont="1" applyBorder="1" applyAlignment="1" applyProtection="1">
      <alignment horizontal="left" indent="2"/>
      <protection/>
    </xf>
    <xf numFmtId="0" fontId="14" fillId="0" borderId="0" xfId="67" applyFont="1" applyFill="1" applyAlignment="1" applyProtection="1">
      <alignment horizontal="left"/>
      <protection/>
    </xf>
    <xf numFmtId="0" fontId="4" fillId="0" borderId="0" xfId="67" applyFont="1" applyFill="1">
      <alignment/>
      <protection/>
    </xf>
    <xf numFmtId="1" fontId="12" fillId="0" borderId="0" xfId="67" applyNumberFormat="1" applyFont="1" applyFill="1" applyAlignment="1" applyProtection="1">
      <alignment horizontal="center"/>
      <protection/>
    </xf>
    <xf numFmtId="0" fontId="4" fillId="0" borderId="0" xfId="67" applyFont="1" applyAlignment="1">
      <alignment horizontal="center"/>
      <protection/>
    </xf>
    <xf numFmtId="37" fontId="15" fillId="0" borderId="0" xfId="0" applyFont="1" applyAlignment="1">
      <alignment/>
    </xf>
    <xf numFmtId="37" fontId="12" fillId="0" borderId="0" xfId="0" applyFont="1" applyAlignment="1">
      <alignment horizontal="center"/>
    </xf>
    <xf numFmtId="14" fontId="12" fillId="0" borderId="15" xfId="0" applyNumberFormat="1" applyFont="1" applyFill="1" applyBorder="1" applyAlignment="1">
      <alignment/>
    </xf>
    <xf numFmtId="10" fontId="27" fillId="0" borderId="0" xfId="66" applyNumberFormat="1" applyFont="1" applyFill="1" applyBorder="1" applyAlignment="1" applyProtection="1">
      <alignment/>
      <protection/>
    </xf>
    <xf numFmtId="10" fontId="18" fillId="0" borderId="0" xfId="64" applyNumberFormat="1" applyFont="1" applyFill="1" applyBorder="1" applyProtection="1">
      <alignment/>
      <protection/>
    </xf>
    <xf numFmtId="0" fontId="18" fillId="0" borderId="0" xfId="67" applyFont="1" applyFill="1" applyAlignment="1" applyProtection="1">
      <alignment horizontal="center"/>
      <protection/>
    </xf>
    <xf numFmtId="0" fontId="18" fillId="0" borderId="0" xfId="67" applyFont="1" applyFill="1" applyAlignment="1">
      <alignment horizontal="center"/>
      <protection/>
    </xf>
    <xf numFmtId="37" fontId="1" fillId="0" borderId="0" xfId="66" applyNumberFormat="1" applyFont="1" applyBorder="1" applyAlignment="1">
      <alignment horizontal="center"/>
      <protection/>
    </xf>
    <xf numFmtId="10" fontId="1" fillId="0" borderId="0" xfId="66" applyNumberFormat="1" applyFont="1" applyBorder="1" applyAlignment="1" applyProtection="1">
      <alignment/>
      <protection/>
    </xf>
    <xf numFmtId="5" fontId="12" fillId="0" borderId="0" xfId="45" applyNumberFormat="1" applyFont="1" applyFill="1" applyBorder="1" applyAlignment="1">
      <alignment/>
    </xf>
    <xf numFmtId="179" fontId="25" fillId="0" borderId="0" xfId="61" applyNumberFormat="1" applyFont="1" applyFill="1" applyProtection="1">
      <alignment/>
      <protection/>
    </xf>
    <xf numFmtId="37" fontId="18" fillId="0" borderId="0" xfId="63" applyFont="1" applyAlignment="1" applyProtection="1" quotePrefix="1">
      <alignment horizontal="center"/>
      <protection/>
    </xf>
    <xf numFmtId="14" fontId="14" fillId="0" borderId="15" xfId="0" applyNumberFormat="1" applyFont="1" applyFill="1" applyBorder="1" applyAlignment="1">
      <alignment/>
    </xf>
    <xf numFmtId="14" fontId="12" fillId="0" borderId="15" xfId="0" applyNumberFormat="1" applyFont="1" applyFill="1" applyBorder="1" applyAlignment="1">
      <alignment horizontal="left" indent="1"/>
    </xf>
    <xf numFmtId="0" fontId="14" fillId="0" borderId="0" xfId="67" applyFont="1" applyAlignment="1" applyProtection="1">
      <alignment horizontal="left"/>
      <protection/>
    </xf>
    <xf numFmtId="181" fontId="14" fillId="0" borderId="0" xfId="64" applyNumberFormat="1" applyFont="1" applyFill="1" applyAlignment="1" applyProtection="1">
      <alignment horizontal="centerContinuous"/>
      <protection/>
    </xf>
    <xf numFmtId="168" fontId="12" fillId="0" borderId="0" xfId="0" applyNumberFormat="1" applyFont="1" applyFill="1" applyBorder="1" applyAlignment="1">
      <alignment horizontal="center"/>
    </xf>
    <xf numFmtId="5" fontId="28" fillId="0" borderId="0" xfId="64" applyNumberFormat="1" applyFont="1" applyFill="1">
      <alignment/>
      <protection/>
    </xf>
    <xf numFmtId="5" fontId="3" fillId="0" borderId="0" xfId="64" applyNumberFormat="1" applyFont="1" applyFill="1">
      <alignment/>
      <protection/>
    </xf>
    <xf numFmtId="175" fontId="0" fillId="0" borderId="0" xfId="61" applyNumberFormat="1" applyFont="1" applyFill="1" applyProtection="1">
      <alignment/>
      <protection/>
    </xf>
    <xf numFmtId="175" fontId="18" fillId="0" borderId="0" xfId="61" applyNumberFormat="1" applyFont="1" applyFill="1" applyProtection="1">
      <alignment/>
      <protection/>
    </xf>
    <xf numFmtId="5" fontId="37" fillId="0" borderId="0" xfId="62" applyNumberFormat="1" applyFont="1" applyBorder="1" applyProtection="1">
      <alignment/>
      <protection/>
    </xf>
    <xf numFmtId="175" fontId="0" fillId="0" borderId="0" xfId="61" applyNumberFormat="1" applyFont="1" applyFill="1" applyBorder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37" fontId="0" fillId="0" borderId="0" xfId="64" applyNumberFormat="1" applyFont="1" applyAlignment="1" applyProtection="1">
      <alignment/>
      <protection/>
    </xf>
    <xf numFmtId="17" fontId="0" fillId="0" borderId="0" xfId="64" applyNumberFormat="1" applyFont="1" applyProtection="1">
      <alignment/>
      <protection/>
    </xf>
    <xf numFmtId="17" fontId="0" fillId="0" borderId="0" xfId="64" applyNumberFormat="1" applyFont="1" applyAlignment="1" applyProtection="1">
      <alignment horizontal="center"/>
      <protection/>
    </xf>
    <xf numFmtId="171" fontId="0" fillId="0" borderId="0" xfId="0" applyNumberFormat="1" applyFont="1" applyFill="1" applyAlignment="1">
      <alignment horizontal="center"/>
    </xf>
    <xf numFmtId="175" fontId="18" fillId="0" borderId="12" xfId="61" applyNumberFormat="1" applyFont="1" applyFill="1" applyBorder="1" applyProtection="1">
      <alignment/>
      <protection/>
    </xf>
    <xf numFmtId="171" fontId="0" fillId="0" borderId="0" xfId="0" applyNumberFormat="1" applyFont="1" applyFill="1" applyAlignment="1">
      <alignment/>
    </xf>
    <xf numFmtId="175" fontId="18" fillId="0" borderId="0" xfId="61" applyNumberFormat="1" applyFont="1" applyFill="1" applyBorder="1" applyProtection="1">
      <alignment/>
      <protection/>
    </xf>
    <xf numFmtId="2" fontId="0" fillId="0" borderId="0" xfId="0" applyNumberFormat="1" applyFont="1" applyFill="1" applyBorder="1" applyAlignment="1">
      <alignment horizontal="center"/>
    </xf>
    <xf numFmtId="175" fontId="18" fillId="0" borderId="19" xfId="61" applyNumberFormat="1" applyFont="1" applyFill="1" applyBorder="1" applyProtection="1">
      <alignment/>
      <protection/>
    </xf>
    <xf numFmtId="37" fontId="0" fillId="0" borderId="0" xfId="64" applyNumberFormat="1" applyFont="1">
      <alignment/>
      <protection/>
    </xf>
    <xf numFmtId="37" fontId="0" fillId="0" borderId="0" xfId="64" applyNumberFormat="1" applyFont="1" applyAlignment="1">
      <alignment horizontal="right"/>
      <protection/>
    </xf>
    <xf numFmtId="175" fontId="0" fillId="0" borderId="0" xfId="61" applyNumberFormat="1" applyFont="1" applyFill="1" applyProtection="1">
      <alignment/>
      <protection/>
    </xf>
    <xf numFmtId="37" fontId="3" fillId="0" borderId="0" xfId="64" applyFont="1" applyFill="1">
      <alignment/>
      <protection/>
    </xf>
    <xf numFmtId="37" fontId="0" fillId="0" borderId="0" xfId="0" applyNumberFormat="1" applyFont="1" applyFill="1" applyAlignment="1">
      <alignment/>
    </xf>
    <xf numFmtId="15" fontId="12" fillId="0" borderId="0" xfId="67" applyNumberFormat="1" applyFont="1" applyFill="1" applyAlignment="1">
      <alignment horizontal="right"/>
      <protection/>
    </xf>
    <xf numFmtId="5" fontId="12" fillId="0" borderId="0" xfId="67" applyNumberFormat="1" applyFont="1" applyFill="1">
      <alignment/>
      <protection/>
    </xf>
    <xf numFmtId="168" fontId="12" fillId="0" borderId="0" xfId="67" applyNumberFormat="1" applyFont="1" applyFill="1" applyAlignment="1" applyProtection="1">
      <alignment horizontal="left"/>
      <protection/>
    </xf>
    <xf numFmtId="15" fontId="12" fillId="0" borderId="0" xfId="67" applyNumberFormat="1" applyFont="1" applyFill="1" applyAlignment="1" applyProtection="1">
      <alignment horizontal="center"/>
      <protection/>
    </xf>
    <xf numFmtId="5" fontId="15" fillId="0" borderId="0" xfId="67" applyNumberFormat="1" applyFont="1" applyFill="1">
      <alignment/>
      <protection/>
    </xf>
    <xf numFmtId="174" fontId="12" fillId="0" borderId="0" xfId="67" applyNumberFormat="1" applyFont="1" applyFill="1">
      <alignment/>
      <protection/>
    </xf>
    <xf numFmtId="5" fontId="14" fillId="0" borderId="19" xfId="67" applyNumberFormat="1" applyFont="1" applyFill="1" applyBorder="1" applyAlignment="1" applyProtection="1">
      <alignment horizontal="right"/>
      <protection/>
    </xf>
    <xf numFmtId="37" fontId="18" fillId="0" borderId="0" xfId="63" applyFont="1" applyFill="1" applyAlignment="1" applyProtection="1">
      <alignment horizontal="center"/>
      <protection/>
    </xf>
    <xf numFmtId="164" fontId="0" fillId="0" borderId="12" xfId="61" applyNumberFormat="1" applyFont="1" applyFill="1" applyBorder="1" applyProtection="1">
      <alignment/>
      <protection/>
    </xf>
    <xf numFmtId="37" fontId="9" fillId="0" borderId="0" xfId="64" applyFont="1" applyAlignment="1">
      <alignment horizontal="right"/>
      <protection/>
    </xf>
    <xf numFmtId="37" fontId="1" fillId="0" borderId="0" xfId="63" applyFont="1" applyAlignment="1">
      <alignment horizontal="left" indent="1"/>
      <protection/>
    </xf>
    <xf numFmtId="5" fontId="1" fillId="0" borderId="20" xfId="63" applyNumberFormat="1" applyFont="1" applyBorder="1" applyProtection="1">
      <alignment/>
      <protection/>
    </xf>
    <xf numFmtId="5" fontId="21" fillId="0" borderId="20" xfId="63" applyNumberFormat="1" applyFont="1" applyBorder="1">
      <alignment/>
      <protection/>
    </xf>
    <xf numFmtId="168" fontId="21" fillId="0" borderId="20" xfId="63" applyNumberFormat="1" applyFont="1" applyBorder="1" applyProtection="1">
      <alignment/>
      <protection/>
    </xf>
    <xf numFmtId="14" fontId="14" fillId="0" borderId="15" xfId="0" applyNumberFormat="1" applyFont="1" applyFill="1" applyBorder="1" applyAlignment="1">
      <alignment horizontal="left" indent="2"/>
    </xf>
    <xf numFmtId="37" fontId="14" fillId="0" borderId="15" xfId="0" applyFont="1" applyFill="1" applyBorder="1" applyAlignment="1">
      <alignment horizontal="left" indent="1"/>
    </xf>
    <xf numFmtId="10" fontId="20" fillId="0" borderId="0" xfId="66" applyNumberFormat="1" applyFont="1" applyFill="1" applyAlignment="1" applyProtection="1">
      <alignment/>
      <protection/>
    </xf>
    <xf numFmtId="175" fontId="29" fillId="0" borderId="0" xfId="61" applyNumberFormat="1" applyFont="1" applyFill="1" applyBorder="1" applyProtection="1">
      <alignment/>
      <protection/>
    </xf>
    <xf numFmtId="1" fontId="12" fillId="0" borderId="0" xfId="0" applyNumberFormat="1" applyFont="1" applyFill="1" applyBorder="1" applyAlignment="1">
      <alignment horizontal="center"/>
    </xf>
    <xf numFmtId="37" fontId="18" fillId="0" borderId="21" xfId="0" applyFont="1" applyFill="1" applyBorder="1" applyAlignment="1">
      <alignment/>
    </xf>
    <xf numFmtId="5" fontId="1" fillId="0" borderId="0" xfId="63" applyNumberFormat="1" applyFont="1" applyFill="1" applyProtection="1">
      <alignment/>
      <protection/>
    </xf>
    <xf numFmtId="10" fontId="1" fillId="0" borderId="0" xfId="66" applyFont="1" applyFill="1" applyAlignment="1" applyProtection="1">
      <alignment/>
      <protection/>
    </xf>
    <xf numFmtId="37" fontId="11" fillId="0" borderId="0" xfId="63" applyFont="1" applyBorder="1" applyAlignment="1" applyProtection="1">
      <alignment horizontal="center"/>
      <protection/>
    </xf>
    <xf numFmtId="37" fontId="31" fillId="0" borderId="22" xfId="0" applyFont="1" applyFill="1" applyBorder="1" applyAlignment="1">
      <alignment/>
    </xf>
    <xf numFmtId="37" fontId="12" fillId="0" borderId="14" xfId="0" applyFont="1" applyFill="1" applyBorder="1" applyAlignment="1">
      <alignment/>
    </xf>
    <xf numFmtId="37" fontId="12" fillId="0" borderId="16" xfId="0" applyFont="1" applyBorder="1" applyAlignment="1">
      <alignment/>
    </xf>
    <xf numFmtId="37" fontId="12" fillId="0" borderId="17" xfId="0" applyFont="1" applyBorder="1" applyAlignment="1">
      <alignment/>
    </xf>
    <xf numFmtId="37" fontId="12" fillId="0" borderId="23" xfId="0" applyFont="1" applyBorder="1" applyAlignment="1">
      <alignment/>
    </xf>
    <xf numFmtId="10" fontId="1" fillId="0" borderId="0" xfId="66" applyNumberFormat="1" applyFont="1" applyAlignment="1">
      <alignment/>
      <protection/>
    </xf>
    <xf numFmtId="10" fontId="20" fillId="0" borderId="0" xfId="66" applyNumberFormat="1" applyFont="1" applyAlignment="1" applyProtection="1">
      <alignment/>
      <protection/>
    </xf>
    <xf numFmtId="37" fontId="0" fillId="0" borderId="0" xfId="64" applyNumberFormat="1" applyFont="1" applyBorder="1" applyAlignment="1">
      <alignment horizontal="center"/>
      <protection/>
    </xf>
    <xf numFmtId="37" fontId="18" fillId="0" borderId="0" xfId="64" applyNumberFormat="1" applyFont="1" applyBorder="1" applyAlignment="1" applyProtection="1">
      <alignment horizontal="center" wrapText="1"/>
      <protection/>
    </xf>
    <xf numFmtId="17" fontId="14" fillId="0" borderId="0" xfId="61" applyNumberFormat="1" applyFont="1" applyFill="1" applyAlignment="1" applyProtection="1">
      <alignment horizontal="right"/>
      <protection/>
    </xf>
    <xf numFmtId="164" fontId="0" fillId="0" borderId="0" xfId="61" applyNumberFormat="1" applyFont="1" applyFill="1" applyProtection="1">
      <alignment/>
      <protection/>
    </xf>
    <xf numFmtId="164" fontId="0" fillId="0" borderId="20" xfId="61" applyNumberFormat="1" applyFont="1" applyFill="1" applyBorder="1" applyProtection="1">
      <alignment/>
      <protection/>
    </xf>
    <xf numFmtId="168" fontId="12" fillId="0" borderId="0" xfId="70" applyNumberFormat="1" applyFont="1" applyFill="1" applyBorder="1" applyAlignment="1">
      <alignment horizontal="left"/>
    </xf>
    <xf numFmtId="5" fontId="12" fillId="0" borderId="0" xfId="45" applyNumberFormat="1" applyFont="1" applyBorder="1" applyAlignment="1">
      <alignment/>
    </xf>
    <xf numFmtId="5" fontId="12" fillId="0" borderId="19" xfId="45" applyNumberFormat="1" applyFont="1" applyBorder="1" applyAlignment="1">
      <alignment/>
    </xf>
    <xf numFmtId="5" fontId="12" fillId="0" borderId="19" xfId="42" applyNumberFormat="1" applyFont="1" applyFill="1" applyBorder="1" applyAlignment="1">
      <alignment/>
    </xf>
    <xf numFmtId="168" fontId="12" fillId="0" borderId="19" xfId="70" applyNumberFormat="1" applyFont="1" applyFill="1" applyBorder="1" applyAlignment="1">
      <alignment horizontal="center"/>
    </xf>
    <xf numFmtId="5" fontId="14" fillId="0" borderId="19" xfId="42" applyNumberFormat="1" applyFont="1" applyFill="1" applyBorder="1" applyAlignment="1">
      <alignment/>
    </xf>
    <xf numFmtId="10" fontId="14" fillId="0" borderId="0" xfId="66" applyFont="1" applyAlignment="1" applyProtection="1">
      <alignment horizontal="left"/>
      <protection/>
    </xf>
    <xf numFmtId="37" fontId="14" fillId="0" borderId="0" xfId="63" applyFont="1" applyAlignment="1" applyProtection="1">
      <alignment horizontal="center"/>
      <protection/>
    </xf>
    <xf numFmtId="37" fontId="14" fillId="0" borderId="10" xfId="0" applyFont="1" applyBorder="1" applyAlignment="1">
      <alignment/>
    </xf>
    <xf numFmtId="37" fontId="14" fillId="0" borderId="0" xfId="0" applyFont="1" applyBorder="1" applyAlignment="1">
      <alignment/>
    </xf>
    <xf numFmtId="37" fontId="14" fillId="0" borderId="0" xfId="0" applyFont="1" applyFill="1" applyBorder="1" applyAlignment="1">
      <alignment horizontal="center"/>
    </xf>
    <xf numFmtId="37" fontId="14" fillId="0" borderId="0" xfId="0" applyFont="1" applyBorder="1" applyAlignment="1">
      <alignment horizontal="center"/>
    </xf>
    <xf numFmtId="37" fontId="14" fillId="0" borderId="0" xfId="0" applyFont="1" applyAlignment="1">
      <alignment horizontal="center"/>
    </xf>
    <xf numFmtId="174" fontId="14" fillId="0" borderId="10" xfId="67" applyNumberFormat="1" applyFont="1" applyFill="1" applyBorder="1" applyAlignment="1">
      <alignment horizontal="center"/>
      <protection/>
    </xf>
    <xf numFmtId="174" fontId="14" fillId="0" borderId="0" xfId="67" applyNumberFormat="1" applyFont="1" applyFill="1" applyBorder="1" applyAlignment="1">
      <alignment horizontal="center"/>
      <protection/>
    </xf>
    <xf numFmtId="37" fontId="12" fillId="0" borderId="0" xfId="0" applyNumberFormat="1" applyFont="1" applyAlignment="1">
      <alignment/>
    </xf>
    <xf numFmtId="173" fontId="12" fillId="0" borderId="0" xfId="0" applyNumberFormat="1" applyFont="1" applyBorder="1" applyAlignment="1">
      <alignment horizontal="left" indent="1"/>
    </xf>
    <xf numFmtId="37" fontId="14" fillId="0" borderId="12" xfId="0" applyFont="1" applyFill="1" applyBorder="1" applyAlignment="1">
      <alignment/>
    </xf>
    <xf numFmtId="39" fontId="12" fillId="0" borderId="0" xfId="0" applyNumberFormat="1" applyFont="1" applyAlignment="1">
      <alignment/>
    </xf>
    <xf numFmtId="5" fontId="14" fillId="0" borderId="12" xfId="45" applyNumberFormat="1" applyFont="1" applyFill="1" applyBorder="1" applyAlignment="1">
      <alignment/>
    </xf>
    <xf numFmtId="5" fontId="14" fillId="0" borderId="18" xfId="45" applyNumberFormat="1" applyFont="1" applyFill="1" applyBorder="1" applyAlignment="1">
      <alignment/>
    </xf>
    <xf numFmtId="37" fontId="12" fillId="0" borderId="0" xfId="0" applyFont="1" applyAlignment="1">
      <alignment horizontal="right"/>
    </xf>
    <xf numFmtId="37" fontId="18" fillId="0" borderId="0" xfId="63" applyFont="1" applyAlignment="1" applyProtection="1">
      <alignment horizontal="left"/>
      <protection/>
    </xf>
    <xf numFmtId="37" fontId="18" fillId="0" borderId="10" xfId="64" applyNumberFormat="1" applyFont="1" applyBorder="1" applyAlignment="1" applyProtection="1">
      <alignment horizontal="center" wrapText="1"/>
      <protection/>
    </xf>
    <xf numFmtId="175" fontId="26" fillId="0" borderId="12" xfId="61" applyNumberFormat="1" applyFont="1" applyFill="1" applyBorder="1" applyProtection="1">
      <alignment/>
      <protection/>
    </xf>
    <xf numFmtId="10" fontId="18" fillId="18" borderId="18" xfId="64" applyNumberFormat="1" applyFont="1" applyFill="1" applyBorder="1" applyProtection="1">
      <alignment/>
      <protection/>
    </xf>
    <xf numFmtId="187" fontId="35" fillId="0" borderId="0" xfId="61" applyNumberFormat="1" applyFont="1" applyFill="1" applyBorder="1" applyProtection="1">
      <alignment/>
      <protection/>
    </xf>
    <xf numFmtId="205" fontId="37" fillId="0" borderId="0" xfId="67" applyNumberFormat="1" applyFont="1" applyFill="1">
      <alignment/>
      <protection/>
    </xf>
    <xf numFmtId="0" fontId="56" fillId="0" borderId="0" xfId="67" applyFont="1" applyAlignment="1">
      <alignment horizontal="center"/>
      <protection/>
    </xf>
    <xf numFmtId="15" fontId="37" fillId="0" borderId="0" xfId="67" applyNumberFormat="1" applyFont="1" applyFill="1" applyAlignment="1">
      <alignment horizontal="center"/>
      <protection/>
    </xf>
    <xf numFmtId="15" fontId="56" fillId="7" borderId="0" xfId="67" applyNumberFormat="1" applyFont="1" applyFill="1" applyAlignment="1">
      <alignment horizontal="right"/>
      <protection/>
    </xf>
    <xf numFmtId="5" fontId="37" fillId="7" borderId="0" xfId="62" applyNumberFormat="1" applyFont="1" applyFill="1" applyBorder="1" applyProtection="1">
      <alignment/>
      <protection/>
    </xf>
    <xf numFmtId="205" fontId="55" fillId="7" borderId="0" xfId="67" applyNumberFormat="1" applyFont="1" applyFill="1">
      <alignment/>
      <protection/>
    </xf>
    <xf numFmtId="5" fontId="12" fillId="0" borderId="0" xfId="62" applyNumberFormat="1" applyFont="1" applyBorder="1" applyProtection="1">
      <alignment/>
      <protection/>
    </xf>
    <xf numFmtId="0" fontId="37" fillId="0" borderId="0" xfId="67" applyFont="1" applyAlignment="1">
      <alignment horizontal="left"/>
      <protection/>
    </xf>
    <xf numFmtId="0" fontId="34" fillId="0" borderId="0" xfId="67" applyFont="1">
      <alignment/>
      <protection/>
    </xf>
    <xf numFmtId="0" fontId="0" fillId="0" borderId="0" xfId="0" applyNumberFormat="1" applyAlignment="1">
      <alignment/>
    </xf>
    <xf numFmtId="37" fontId="0" fillId="19" borderId="0" xfId="0" applyFill="1" applyAlignment="1">
      <alignment/>
    </xf>
    <xf numFmtId="0" fontId="0" fillId="19" borderId="0" xfId="0" applyNumberFormat="1" applyFill="1" applyAlignment="1">
      <alignment/>
    </xf>
    <xf numFmtId="37" fontId="1" fillId="0" borderId="0" xfId="0" applyFont="1" applyAlignment="1">
      <alignment/>
    </xf>
    <xf numFmtId="5" fontId="4" fillId="0" borderId="0" xfId="67" applyNumberFormat="1" applyFont="1">
      <alignment/>
      <protection/>
    </xf>
    <xf numFmtId="10" fontId="1" fillId="0" borderId="0" xfId="66" applyNumberFormat="1" applyFont="1" applyFill="1" applyAlignment="1" applyProtection="1">
      <alignment/>
      <protection/>
    </xf>
    <xf numFmtId="10" fontId="57" fillId="0" borderId="0" xfId="66" applyFont="1" applyBorder="1">
      <alignment/>
      <protection/>
    </xf>
    <xf numFmtId="10" fontId="1" fillId="0" borderId="0" xfId="66" applyNumberFormat="1" applyFont="1" applyFill="1" applyBorder="1" applyAlignment="1" applyProtection="1">
      <alignment/>
      <protection/>
    </xf>
    <xf numFmtId="182" fontId="1" fillId="0" borderId="0" xfId="66" applyNumberFormat="1" applyFont="1" applyBorder="1" applyAlignment="1">
      <alignment horizontal="center"/>
      <protection/>
    </xf>
    <xf numFmtId="17" fontId="14" fillId="0" borderId="0" xfId="61" applyNumberFormat="1" applyFont="1" applyFill="1" applyAlignment="1" applyProtection="1">
      <alignment horizontal="center"/>
      <protection/>
    </xf>
    <xf numFmtId="0" fontId="18" fillId="0" borderId="0" xfId="61" applyFont="1" applyAlignment="1" applyProtection="1">
      <alignment horizontal="center" wrapText="1"/>
      <protection/>
    </xf>
    <xf numFmtId="0" fontId="14" fillId="0" borderId="0" xfId="61" applyFont="1" applyAlignment="1" applyProtection="1">
      <alignment horizontal="center" wrapText="1"/>
      <protection/>
    </xf>
    <xf numFmtId="176" fontId="0" fillId="0" borderId="0" xfId="61" applyNumberFormat="1" applyFont="1" applyFill="1" applyProtection="1">
      <alignment/>
      <protection/>
    </xf>
    <xf numFmtId="175" fontId="0" fillId="0" borderId="24" xfId="61" applyNumberFormat="1" applyFont="1" applyFill="1" applyBorder="1" applyProtection="1">
      <alignment/>
      <protection/>
    </xf>
    <xf numFmtId="0" fontId="28" fillId="0" borderId="0" xfId="61" applyFont="1">
      <alignment/>
      <protection/>
    </xf>
    <xf numFmtId="176" fontId="14" fillId="0" borderId="0" xfId="61" applyNumberFormat="1" applyFont="1" applyAlignment="1" applyProtection="1">
      <alignment horizontal="center" wrapText="1"/>
      <protection/>
    </xf>
    <xf numFmtId="164" fontId="18" fillId="2" borderId="18" xfId="61" applyNumberFormat="1" applyFont="1" applyFill="1" applyBorder="1" applyProtection="1">
      <alignment/>
      <protection/>
    </xf>
    <xf numFmtId="164" fontId="3" fillId="0" borderId="0" xfId="61" applyNumberFormat="1" applyFont="1">
      <alignment/>
      <protection/>
    </xf>
    <xf numFmtId="164" fontId="0" fillId="0" borderId="24" xfId="61" applyNumberFormat="1" applyFont="1" applyFill="1" applyBorder="1" applyProtection="1">
      <alignment/>
      <protection/>
    </xf>
    <xf numFmtId="175" fontId="18" fillId="0" borderId="24" xfId="61" applyNumberFormat="1" applyFont="1" applyFill="1" applyBorder="1" applyProtection="1">
      <alignment/>
      <protection/>
    </xf>
    <xf numFmtId="183" fontId="0" fillId="0" borderId="0" xfId="61" applyNumberFormat="1" applyFont="1" applyFill="1" applyProtection="1">
      <alignment/>
      <protection/>
    </xf>
    <xf numFmtId="43" fontId="0" fillId="0" borderId="0" xfId="61" applyNumberFormat="1" applyFont="1" applyFill="1" applyProtection="1">
      <alignment/>
      <protection/>
    </xf>
    <xf numFmtId="175" fontId="18" fillId="2" borderId="18" xfId="61" applyNumberFormat="1" applyFont="1" applyFill="1" applyBorder="1" applyProtection="1">
      <alignment/>
      <protection/>
    </xf>
    <xf numFmtId="37" fontId="0" fillId="0" borderId="0" xfId="61" applyNumberFormat="1" applyFont="1" applyFill="1" applyProtection="1">
      <alignment/>
      <protection/>
    </xf>
    <xf numFmtId="175" fontId="0" fillId="0" borderId="10" xfId="61" applyNumberFormat="1" applyFont="1" applyFill="1" applyBorder="1" applyProtection="1">
      <alignment/>
      <protection/>
    </xf>
    <xf numFmtId="175" fontId="0" fillId="0" borderId="25" xfId="61" applyNumberFormat="1" applyFont="1" applyFill="1" applyBorder="1" applyProtection="1">
      <alignment/>
      <protection/>
    </xf>
    <xf numFmtId="164" fontId="0" fillId="0" borderId="19" xfId="61" applyNumberFormat="1" applyFont="1" applyFill="1" applyBorder="1" applyProtection="1">
      <alignment/>
      <protection/>
    </xf>
    <xf numFmtId="164" fontId="18" fillId="0" borderId="26" xfId="61" applyNumberFormat="1" applyFont="1" applyFill="1" applyBorder="1" applyProtection="1">
      <alignment/>
      <protection/>
    </xf>
    <xf numFmtId="164" fontId="0" fillId="0" borderId="27" xfId="61" applyNumberFormat="1" applyFont="1" applyFill="1" applyBorder="1" applyProtection="1">
      <alignment/>
      <protection/>
    </xf>
    <xf numFmtId="165" fontId="0" fillId="0" borderId="0" xfId="61" applyNumberFormat="1" applyFont="1" applyFill="1" applyProtection="1">
      <alignment/>
      <protection/>
    </xf>
    <xf numFmtId="165" fontId="0" fillId="0" borderId="24" xfId="61" applyNumberFormat="1" applyFont="1" applyFill="1" applyBorder="1" applyProtection="1">
      <alignment/>
      <protection/>
    </xf>
    <xf numFmtId="165" fontId="0" fillId="0" borderId="10" xfId="61" applyNumberFormat="1" applyFont="1" applyFill="1" applyBorder="1" applyProtection="1">
      <alignment/>
      <protection/>
    </xf>
    <xf numFmtId="165" fontId="0" fillId="0" borderId="25" xfId="61" applyNumberFormat="1" applyFont="1" applyFill="1" applyBorder="1" applyProtection="1">
      <alignment/>
      <protection/>
    </xf>
    <xf numFmtId="10" fontId="0" fillId="0" borderId="10" xfId="61" applyNumberFormat="1" applyFont="1" applyFill="1" applyBorder="1" applyProtection="1">
      <alignment/>
      <protection/>
    </xf>
    <xf numFmtId="10" fontId="0" fillId="0" borderId="25" xfId="61" applyNumberFormat="1" applyFont="1" applyFill="1" applyBorder="1" applyProtection="1">
      <alignment/>
      <protection/>
    </xf>
    <xf numFmtId="0" fontId="0" fillId="0" borderId="0" xfId="61" applyFont="1" applyFill="1">
      <alignment/>
      <protection/>
    </xf>
    <xf numFmtId="10" fontId="0" fillId="0" borderId="0" xfId="61" applyNumberFormat="1" applyFont="1" applyFill="1">
      <alignment/>
      <protection/>
    </xf>
    <xf numFmtId="165" fontId="0" fillId="0" borderId="0" xfId="61" applyNumberFormat="1" applyFont="1" applyFill="1">
      <alignment/>
      <protection/>
    </xf>
    <xf numFmtId="0" fontId="0" fillId="0" borderId="24" xfId="61" applyFont="1" applyFill="1" applyBorder="1">
      <alignment/>
      <protection/>
    </xf>
    <xf numFmtId="165" fontId="0" fillId="0" borderId="28" xfId="61" applyNumberFormat="1" applyFont="1" applyFill="1" applyBorder="1" applyProtection="1">
      <alignment/>
      <protection/>
    </xf>
    <xf numFmtId="10" fontId="0" fillId="0" borderId="28" xfId="61" applyNumberFormat="1" applyFont="1" applyFill="1" applyBorder="1" applyProtection="1">
      <alignment/>
      <protection/>
    </xf>
    <xf numFmtId="165" fontId="0" fillId="0" borderId="29" xfId="61" applyNumberFormat="1" applyFont="1" applyFill="1" applyBorder="1" applyProtection="1">
      <alignment/>
      <protection/>
    </xf>
    <xf numFmtId="10" fontId="0" fillId="0" borderId="0" xfId="70" applyNumberFormat="1" applyFont="1" applyFill="1" applyBorder="1" applyAlignment="1" applyProtection="1">
      <alignment/>
      <protection/>
    </xf>
    <xf numFmtId="184" fontId="0" fillId="0" borderId="0" xfId="61" applyNumberFormat="1" applyFont="1" applyFill="1" applyBorder="1" applyProtection="1">
      <alignment/>
      <protection/>
    </xf>
    <xf numFmtId="5" fontId="0" fillId="0" borderId="0" xfId="61" applyNumberFormat="1" applyFont="1" applyFill="1" applyProtection="1">
      <alignment/>
      <protection/>
    </xf>
    <xf numFmtId="175" fontId="3" fillId="0" borderId="0" xfId="61" applyNumberFormat="1" applyFont="1" applyFill="1" applyBorder="1" applyProtection="1">
      <alignment/>
      <protection/>
    </xf>
    <xf numFmtId="179" fontId="0" fillId="0" borderId="0" xfId="61" applyNumberFormat="1" applyFont="1" applyFill="1" applyProtection="1">
      <alignment/>
      <protection/>
    </xf>
    <xf numFmtId="5" fontId="0" fillId="0" borderId="0" xfId="61" applyNumberFormat="1" applyFont="1" applyProtection="1">
      <alignment/>
      <protection/>
    </xf>
    <xf numFmtId="0" fontId="0" fillId="0" borderId="0" xfId="61" applyFont="1" applyFill="1" applyBorder="1">
      <alignment/>
      <protection/>
    </xf>
    <xf numFmtId="179" fontId="0" fillId="0" borderId="0" xfId="61" applyNumberFormat="1" applyFont="1" applyFill="1" applyBorder="1" applyProtection="1">
      <alignment/>
      <protection/>
    </xf>
    <xf numFmtId="37" fontId="0" fillId="0" borderId="0" xfId="61" applyNumberFormat="1" applyFont="1" applyFill="1" applyBorder="1" applyProtection="1">
      <alignment/>
      <protection/>
    </xf>
    <xf numFmtId="0" fontId="3" fillId="0" borderId="0" xfId="61" applyFont="1" applyFill="1" applyBorder="1">
      <alignment/>
      <protection/>
    </xf>
    <xf numFmtId="37" fontId="3" fillId="0" borderId="0" xfId="61" applyNumberFormat="1" applyFont="1" applyFill="1" applyBorder="1">
      <alignment/>
      <protection/>
    </xf>
    <xf numFmtId="37" fontId="0" fillId="0" borderId="0" xfId="0" applyFont="1" applyAlignment="1">
      <alignment/>
    </xf>
    <xf numFmtId="37" fontId="0" fillId="0" borderId="0" xfId="63" applyFont="1" applyAlignment="1" applyProtection="1">
      <alignment horizontal="center"/>
      <protection/>
    </xf>
    <xf numFmtId="37" fontId="0" fillId="0" borderId="14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Fill="1" applyBorder="1" applyAlignment="1">
      <alignment/>
    </xf>
    <xf numFmtId="5" fontId="12" fillId="0" borderId="0" xfId="42" applyNumberFormat="1" applyFont="1" applyFill="1" applyBorder="1" applyAlignment="1">
      <alignment/>
    </xf>
    <xf numFmtId="180" fontId="58" fillId="0" borderId="0" xfId="0" applyNumberFormat="1" applyFont="1" applyFill="1" applyBorder="1" applyAlignment="1">
      <alignment horizontal="left" indent="1"/>
    </xf>
    <xf numFmtId="180" fontId="12" fillId="0" borderId="0" xfId="0" applyNumberFormat="1" applyFont="1" applyFill="1" applyBorder="1" applyAlignment="1">
      <alignment/>
    </xf>
    <xf numFmtId="168" fontId="12" fillId="0" borderId="0" xfId="70" applyNumberFormat="1" applyFont="1" applyFill="1" applyBorder="1" applyAlignment="1">
      <alignment/>
    </xf>
    <xf numFmtId="44" fontId="12" fillId="0" borderId="0" xfId="45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37" fontId="0" fillId="0" borderId="16" xfId="0" applyFont="1" applyBorder="1" applyAlignment="1">
      <alignment/>
    </xf>
    <xf numFmtId="37" fontId="0" fillId="0" borderId="15" xfId="0" applyFont="1" applyBorder="1" applyAlignment="1">
      <alignment/>
    </xf>
    <xf numFmtId="169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170" fontId="12" fillId="0" borderId="0" xfId="45" applyNumberFormat="1" applyFont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169" fontId="12" fillId="0" borderId="0" xfId="0" applyNumberFormat="1" applyFont="1" applyFill="1" applyBorder="1" applyAlignment="1">
      <alignment/>
    </xf>
    <xf numFmtId="37" fontId="0" fillId="0" borderId="21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23" xfId="0" applyFont="1" applyBorder="1" applyAlignment="1">
      <alignment/>
    </xf>
    <xf numFmtId="39" fontId="0" fillId="0" borderId="0" xfId="0" applyNumberFormat="1" applyFont="1" applyAlignment="1">
      <alignment/>
    </xf>
    <xf numFmtId="37" fontId="58" fillId="0" borderId="0" xfId="0" applyFont="1" applyBorder="1" applyAlignment="1">
      <alignment horizontal="center"/>
    </xf>
    <xf numFmtId="37" fontId="12" fillId="0" borderId="0" xfId="0" applyNumberFormat="1" applyFont="1" applyFill="1" applyAlignment="1">
      <alignment/>
    </xf>
    <xf numFmtId="7" fontId="0" fillId="0" borderId="0" xfId="0" applyNumberFormat="1" applyFont="1" applyAlignment="1">
      <alignment/>
    </xf>
    <xf numFmtId="37" fontId="0" fillId="0" borderId="0" xfId="0" applyFont="1" applyAlignment="1">
      <alignment horizontal="right"/>
    </xf>
    <xf numFmtId="14" fontId="0" fillId="0" borderId="0" xfId="0" applyNumberFormat="1" applyFont="1" applyBorder="1" applyAlignment="1">
      <alignment/>
    </xf>
    <xf numFmtId="37" fontId="59" fillId="0" borderId="0" xfId="0" applyFont="1" applyAlignment="1">
      <alignment horizontal="centerContinuous"/>
    </xf>
    <xf numFmtId="37" fontId="1" fillId="0" borderId="0" xfId="63" applyFont="1" applyAlignment="1">
      <alignment horizontal="centerContinuous"/>
      <protection/>
    </xf>
    <xf numFmtId="37" fontId="12" fillId="0" borderId="0" xfId="63" applyFont="1" applyAlignment="1" applyProtection="1">
      <alignment horizontal="left"/>
      <protection/>
    </xf>
    <xf numFmtId="37" fontId="1" fillId="0" borderId="0" xfId="63" applyFont="1" applyAlignment="1">
      <alignment horizontal="center"/>
      <protection/>
    </xf>
    <xf numFmtId="15" fontId="1" fillId="0" borderId="0" xfId="63" applyNumberFormat="1" applyFont="1" applyProtection="1">
      <alignment/>
      <protection/>
    </xf>
    <xf numFmtId="7" fontId="1" fillId="0" borderId="0" xfId="63" applyNumberFormat="1" applyFont="1" applyProtection="1">
      <alignment/>
      <protection/>
    </xf>
    <xf numFmtId="168" fontId="1" fillId="0" borderId="0" xfId="63" applyNumberFormat="1" applyFont="1" applyProtection="1">
      <alignment/>
      <protection/>
    </xf>
    <xf numFmtId="37" fontId="1" fillId="0" borderId="0" xfId="66" applyNumberFormat="1" applyFont="1">
      <alignment/>
      <protection/>
    </xf>
    <xf numFmtId="167" fontId="1" fillId="0" borderId="0" xfId="66" applyNumberFormat="1" applyFont="1">
      <alignment/>
      <protection/>
    </xf>
    <xf numFmtId="1" fontId="1" fillId="0" borderId="0" xfId="66" applyNumberFormat="1" applyFont="1" applyAlignment="1" applyProtection="1">
      <alignment horizontal="center"/>
      <protection/>
    </xf>
    <xf numFmtId="37" fontId="1" fillId="0" borderId="0" xfId="66" applyNumberFormat="1" applyFont="1" applyBorder="1">
      <alignment/>
      <protection/>
    </xf>
    <xf numFmtId="1" fontId="1" fillId="0" borderId="0" xfId="66" applyNumberFormat="1" applyFont="1" applyProtection="1">
      <alignment/>
      <protection/>
    </xf>
    <xf numFmtId="5" fontId="1" fillId="0" borderId="0" xfId="66" applyNumberFormat="1" applyFont="1" applyProtection="1">
      <alignment/>
      <protection/>
    </xf>
    <xf numFmtId="165" fontId="1" fillId="0" borderId="0" xfId="66" applyNumberFormat="1" applyFont="1" applyProtection="1">
      <alignment/>
      <protection/>
    </xf>
    <xf numFmtId="10" fontId="1" fillId="0" borderId="0" xfId="66" applyNumberFormat="1" applyFont="1" applyProtection="1">
      <alignment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10" fontId="23" fillId="0" borderId="0" xfId="66" applyFont="1" applyBorder="1" applyAlignment="1" applyProtection="1">
      <alignment horizontal="center" vertical="center" wrapText="1"/>
      <protection/>
    </xf>
    <xf numFmtId="172" fontId="23" fillId="0" borderId="0" xfId="66" applyNumberFormat="1" applyFont="1" applyBorder="1" applyAlignment="1" applyProtection="1">
      <alignment horizontal="center" vertical="center" wrapText="1"/>
      <protection/>
    </xf>
    <xf numFmtId="181" fontId="11" fillId="0" borderId="0" xfId="66" applyNumberFormat="1" applyFont="1" applyBorder="1" applyAlignment="1" applyProtection="1">
      <alignment horizontal="center" vertical="center" wrapText="1"/>
      <protection/>
    </xf>
    <xf numFmtId="0" fontId="18" fillId="0" borderId="0" xfId="61" applyFont="1" applyAlignment="1" applyProtection="1">
      <alignment horizontal="center"/>
      <protection/>
    </xf>
    <xf numFmtId="0" fontId="18" fillId="0" borderId="0" xfId="61" applyFont="1" applyFill="1" applyBorder="1" applyAlignment="1" applyProtection="1">
      <alignment horizontal="center" vertical="center" wrapText="1"/>
      <protection/>
    </xf>
    <xf numFmtId="0" fontId="11" fillId="0" borderId="0" xfId="67" applyFont="1" applyFill="1" applyBorder="1" applyAlignment="1" applyProtection="1" quotePrefix="1">
      <alignment horizontal="center" vertical="center" wrapText="1"/>
      <protection/>
    </xf>
    <xf numFmtId="181" fontId="11" fillId="0" borderId="0" xfId="67" applyNumberFormat="1" applyFont="1" applyFill="1" applyBorder="1" applyAlignment="1" applyProtection="1" quotePrefix="1">
      <alignment horizontal="center" vertical="center" wrapText="1"/>
      <protection/>
    </xf>
    <xf numFmtId="37" fontId="14" fillId="0" borderId="15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31" fillId="0" borderId="22" xfId="0" applyFont="1" applyFill="1" applyBorder="1" applyAlignment="1">
      <alignment horizontal="left"/>
    </xf>
    <xf numFmtId="37" fontId="31" fillId="0" borderId="14" xfId="0" applyFont="1" applyFill="1" applyBorder="1" applyAlignment="1">
      <alignment horizontal="left"/>
    </xf>
    <xf numFmtId="181" fontId="14" fillId="0" borderId="0" xfId="66" applyNumberFormat="1" applyFont="1" applyBorder="1" applyAlignment="1" applyProtection="1">
      <alignment horizontal="center" vertical="center" wrapText="1"/>
      <protection/>
    </xf>
    <xf numFmtId="37" fontId="14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181" fontId="14" fillId="0" borderId="0" xfId="0" applyNumberFormat="1" applyFont="1" applyBorder="1" applyAlignment="1">
      <alignment horizontal="center"/>
    </xf>
    <xf numFmtId="37" fontId="14" fillId="0" borderId="0" xfId="64" applyNumberFormat="1" applyFont="1" applyAlignment="1" applyProtection="1">
      <alignment horizontal="center"/>
      <protection/>
    </xf>
    <xf numFmtId="181" fontId="14" fillId="0" borderId="0" xfId="64" applyNumberFormat="1" applyFont="1" applyFill="1" applyAlignment="1" applyProtection="1">
      <alignment horizontal="center"/>
      <protection/>
    </xf>
    <xf numFmtId="0" fontId="14" fillId="0" borderId="0" xfId="67" applyFont="1" applyFill="1" applyAlignment="1" applyProtection="1" quotePrefix="1">
      <alignment horizontal="center"/>
      <protection/>
    </xf>
    <xf numFmtId="181" fontId="14" fillId="0" borderId="0" xfId="67" applyNumberFormat="1" applyFont="1" applyFill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Lisa" xfId="59"/>
    <cellStyle name="Neutral" xfId="60"/>
    <cellStyle name="Normal_AMACAPST" xfId="61"/>
    <cellStyle name="Normal_AMORTONR" xfId="62"/>
    <cellStyle name="Normal_COSTOF" xfId="63"/>
    <cellStyle name="Normal_COSTOFD" xfId="64"/>
    <cellStyle name="Normal_COSTOFPR" xfId="65"/>
    <cellStyle name="Normal_RATEOFRE" xfId="66"/>
    <cellStyle name="Normal_SCHEDULE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7" sqref="B7"/>
    </sheetView>
  </sheetViews>
  <sheetFormatPr defaultColWidth="11.5" defaultRowHeight="11.25"/>
  <cols>
    <col min="1" max="1" width="3.83203125" style="68" customWidth="1"/>
    <col min="2" max="2" width="37.33203125" style="68" customWidth="1"/>
    <col min="3" max="3" width="18.16015625" style="68" customWidth="1"/>
    <col min="4" max="4" width="13.5" style="68" customWidth="1"/>
    <col min="5" max="5" width="13.16015625" style="68" customWidth="1"/>
    <col min="6" max="6" width="13.5" style="68" customWidth="1"/>
    <col min="7" max="7" width="11.5" style="68" customWidth="1"/>
    <col min="8" max="8" width="13.83203125" style="68" customWidth="1"/>
    <col min="9" max="9" width="11.16015625" style="68" customWidth="1"/>
    <col min="10" max="10" width="8.5" style="68" customWidth="1"/>
    <col min="11" max="11" width="9" style="68" customWidth="1"/>
    <col min="12" max="12" width="8.66015625" style="68" customWidth="1"/>
    <col min="13" max="16384" width="11.5" style="68" customWidth="1"/>
  </cols>
  <sheetData>
    <row r="1" spans="1:6" ht="15.75">
      <c r="A1" s="373" t="s">
        <v>22</v>
      </c>
      <c r="B1" s="373"/>
      <c r="C1" s="373"/>
      <c r="D1" s="373"/>
      <c r="E1" s="373"/>
      <c r="F1" s="373"/>
    </row>
    <row r="2" spans="1:6" ht="15.75">
      <c r="A2" s="374" t="s">
        <v>3</v>
      </c>
      <c r="B2" s="374"/>
      <c r="C2" s="374"/>
      <c r="D2" s="374"/>
      <c r="E2" s="374"/>
      <c r="F2" s="374"/>
    </row>
    <row r="3" spans="1:12" ht="15.75">
      <c r="A3" s="375" t="s">
        <v>53</v>
      </c>
      <c r="B3" s="375"/>
      <c r="C3" s="375"/>
      <c r="D3" s="375"/>
      <c r="E3" s="375"/>
      <c r="F3" s="375"/>
      <c r="H3" s="365"/>
      <c r="L3" s="366"/>
    </row>
    <row r="4" spans="1:12" ht="12.75">
      <c r="A4" s="376">
        <v>41912</v>
      </c>
      <c r="B4" s="376"/>
      <c r="C4" s="376"/>
      <c r="D4" s="376"/>
      <c r="E4" s="376"/>
      <c r="F4" s="376"/>
      <c r="H4" s="365"/>
      <c r="L4" s="366"/>
    </row>
    <row r="5" spans="1:12" ht="12.75">
      <c r="A5" s="367"/>
      <c r="C5" s="279"/>
      <c r="H5" s="365"/>
      <c r="L5" s="366"/>
    </row>
    <row r="6" spans="1:12" ht="12.75">
      <c r="A6" s="367"/>
      <c r="H6" s="365"/>
      <c r="L6" s="366"/>
    </row>
    <row r="7" spans="1:12" ht="12.75">
      <c r="A7" s="134">
        <v>1</v>
      </c>
      <c r="B7" s="89" t="s">
        <v>2</v>
      </c>
      <c r="C7" s="89" t="s">
        <v>24</v>
      </c>
      <c r="D7" s="89" t="s">
        <v>47</v>
      </c>
      <c r="E7" s="89" t="s">
        <v>58</v>
      </c>
      <c r="F7" s="89" t="s">
        <v>59</v>
      </c>
      <c r="H7" s="365"/>
      <c r="L7" s="366"/>
    </row>
    <row r="8" spans="1:12" ht="12.75">
      <c r="A8" s="134">
        <f>+A7+1</f>
        <v>2</v>
      </c>
      <c r="H8" s="365"/>
      <c r="L8" s="366"/>
    </row>
    <row r="9" spans="1:12" ht="12.75">
      <c r="A9" s="134">
        <f aca="true" t="shared" si="0" ref="A9:A22">+A8+1</f>
        <v>3</v>
      </c>
      <c r="B9" s="69" t="s">
        <v>1</v>
      </c>
      <c r="C9" s="70"/>
      <c r="D9" s="70"/>
      <c r="E9" s="70"/>
      <c r="F9" s="70" t="s">
        <v>4</v>
      </c>
      <c r="H9" s="365"/>
      <c r="L9" s="366"/>
    </row>
    <row r="10" spans="1:12" ht="12.75">
      <c r="A10" s="134">
        <f t="shared" si="0"/>
        <v>4</v>
      </c>
      <c r="B10" s="70"/>
      <c r="C10" s="71"/>
      <c r="D10" s="70"/>
      <c r="E10" s="70"/>
      <c r="F10" s="71" t="s">
        <v>5</v>
      </c>
      <c r="H10" s="365"/>
      <c r="L10" s="366"/>
    </row>
    <row r="11" spans="1:12" ht="12.75">
      <c r="A11" s="134">
        <f t="shared" si="0"/>
        <v>5</v>
      </c>
      <c r="B11" s="72" t="s">
        <v>6</v>
      </c>
      <c r="C11" s="72" t="s">
        <v>73</v>
      </c>
      <c r="D11" s="72" t="s">
        <v>7</v>
      </c>
      <c r="E11" s="72" t="s">
        <v>8</v>
      </c>
      <c r="F11" s="72" t="s">
        <v>9</v>
      </c>
      <c r="H11" s="365"/>
      <c r="L11" s="366"/>
    </row>
    <row r="12" spans="1:12" ht="12.75">
      <c r="A12" s="134">
        <f t="shared" si="0"/>
        <v>6</v>
      </c>
      <c r="B12" s="73"/>
      <c r="C12" s="73"/>
      <c r="D12" s="73"/>
      <c r="E12" s="73"/>
      <c r="F12" s="73"/>
      <c r="H12" s="365"/>
      <c r="L12" s="366"/>
    </row>
    <row r="13" spans="1:12" ht="12.75">
      <c r="A13" s="134">
        <f t="shared" si="0"/>
        <v>7</v>
      </c>
      <c r="B13" s="74" t="s">
        <v>10</v>
      </c>
      <c r="C13" s="111">
        <f>'Pg 2 CapStructure'!P10</f>
        <v>75459659</v>
      </c>
      <c r="D13" s="124">
        <f>ROUND(C13/$C$19,4)</f>
        <v>0.0102</v>
      </c>
      <c r="E13" s="226">
        <f>'Pg 3 STD Cost Rate'!F21</f>
        <v>0.041510526524321245</v>
      </c>
      <c r="F13" s="124">
        <f>ROUND(D13*E13,5)</f>
        <v>0.00042</v>
      </c>
      <c r="L13" s="365"/>
    </row>
    <row r="14" spans="1:12" ht="12.75">
      <c r="A14" s="134">
        <f t="shared" si="0"/>
        <v>8</v>
      </c>
      <c r="B14" s="73"/>
      <c r="C14" s="113"/>
      <c r="D14" s="124"/>
      <c r="E14" s="112"/>
      <c r="F14" s="124"/>
      <c r="L14" s="365"/>
    </row>
    <row r="15" spans="1:12" ht="12.75">
      <c r="A15" s="134">
        <f t="shared" si="0"/>
        <v>9</v>
      </c>
      <c r="B15" s="74" t="s">
        <v>11</v>
      </c>
      <c r="C15" s="113">
        <f>'Pg 2 CapStructure'!P16</f>
        <v>3761263151</v>
      </c>
      <c r="D15" s="281">
        <f>ROUND(C15/$C$19,4)-0</f>
        <v>0.509</v>
      </c>
      <c r="E15" s="114">
        <f>'Pg 6 LTD Cost '!H31</f>
        <v>0.0616</v>
      </c>
      <c r="F15" s="124">
        <f>ROUND(D15*E15,5)</f>
        <v>0.03135</v>
      </c>
      <c r="L15" s="365"/>
    </row>
    <row r="16" spans="1:12" ht="12.75">
      <c r="A16" s="134">
        <f t="shared" si="0"/>
        <v>10</v>
      </c>
      <c r="B16" s="75"/>
      <c r="C16" s="115"/>
      <c r="D16" s="124"/>
      <c r="E16" s="116"/>
      <c r="F16" s="233"/>
      <c r="H16" s="282"/>
      <c r="I16" s="76"/>
      <c r="J16" s="76"/>
      <c r="K16" s="76"/>
      <c r="L16" s="368"/>
    </row>
    <row r="17" spans="1:12" ht="12.75">
      <c r="A17" s="134">
        <f t="shared" si="0"/>
        <v>11</v>
      </c>
      <c r="B17" s="74" t="s">
        <v>12</v>
      </c>
      <c r="C17" s="117">
        <f>'Pg 2 CapStructure'!P20</f>
        <v>3552273228</v>
      </c>
      <c r="D17" s="221">
        <f>ROUND(C17/$C$19,4)</f>
        <v>0.4808</v>
      </c>
      <c r="E17" s="283">
        <v>0.098</v>
      </c>
      <c r="F17" s="234">
        <f>ROUND(D17*E17,5)</f>
        <v>0.04712</v>
      </c>
      <c r="H17" s="284"/>
      <c r="I17" s="284"/>
      <c r="J17" s="172"/>
      <c r="K17" s="114"/>
      <c r="L17" s="114"/>
    </row>
    <row r="18" spans="1:12" ht="12.75">
      <c r="A18" s="134">
        <f t="shared" si="0"/>
        <v>12</v>
      </c>
      <c r="B18" s="75"/>
      <c r="C18" s="114"/>
      <c r="D18" s="118"/>
      <c r="E18" s="119"/>
      <c r="F18" s="114"/>
      <c r="H18" s="284"/>
      <c r="I18" s="284"/>
      <c r="J18" s="172"/>
      <c r="K18" s="114"/>
      <c r="L18" s="114"/>
    </row>
    <row r="19" spans="1:12" ht="12.75">
      <c r="A19" s="134">
        <f t="shared" si="0"/>
        <v>13</v>
      </c>
      <c r="B19" s="74" t="s">
        <v>13</v>
      </c>
      <c r="C19" s="120">
        <f>ROUND(SUM(C13:C17),2)</f>
        <v>7388996038</v>
      </c>
      <c r="D19" s="168">
        <f>SUM(D13:D17)</f>
        <v>1</v>
      </c>
      <c r="E19" s="121"/>
      <c r="F19" s="155">
        <f>ROUND(SUM(F13:F17),5)</f>
        <v>0.07889</v>
      </c>
      <c r="H19" s="76"/>
      <c r="I19" s="76"/>
      <c r="J19" s="172"/>
      <c r="K19" s="114"/>
      <c r="L19" s="173"/>
    </row>
    <row r="20" spans="1:6" ht="12.75">
      <c r="A20" s="134">
        <f t="shared" si="0"/>
        <v>14</v>
      </c>
      <c r="C20" s="76"/>
      <c r="D20" s="76"/>
      <c r="E20" s="76"/>
      <c r="F20" s="76"/>
    </row>
    <row r="21" spans="1:5" ht="12.75">
      <c r="A21" s="134">
        <f t="shared" si="0"/>
        <v>15</v>
      </c>
      <c r="E21" s="100"/>
    </row>
    <row r="22" spans="1:2" ht="12.75">
      <c r="A22" s="134">
        <f t="shared" si="0"/>
        <v>16</v>
      </c>
      <c r="B22" s="246" t="s">
        <v>166</v>
      </c>
    </row>
    <row r="23" ht="12.75">
      <c r="A23" s="369"/>
    </row>
    <row r="24" spans="1:3" ht="12.75">
      <c r="A24" s="369"/>
      <c r="C24" s="113"/>
    </row>
    <row r="25" spans="1:3" ht="12.75">
      <c r="A25" s="369"/>
      <c r="C25" s="113"/>
    </row>
    <row r="26" spans="1:3" ht="12.75">
      <c r="A26" s="369"/>
      <c r="C26" s="113"/>
    </row>
    <row r="27" ht="12.75">
      <c r="A27" s="369"/>
    </row>
    <row r="28" spans="1:3" ht="12.75">
      <c r="A28" s="369"/>
      <c r="C28" s="135"/>
    </row>
    <row r="29" ht="12.75">
      <c r="A29" s="369"/>
    </row>
    <row r="30" ht="12.75">
      <c r="A30" s="369"/>
    </row>
    <row r="35" spans="3:4" ht="12.75">
      <c r="C35" s="370"/>
      <c r="D35" s="371"/>
    </row>
    <row r="36" ht="12.75">
      <c r="D36" s="371"/>
    </row>
    <row r="37" spans="3:4" ht="12.75">
      <c r="C37" s="370"/>
      <c r="D37" s="371"/>
    </row>
    <row r="38" spans="3:4" ht="12.75">
      <c r="C38" s="370"/>
      <c r="D38" s="371"/>
    </row>
    <row r="39" spans="3:4" ht="12.75">
      <c r="C39" s="370"/>
      <c r="D39" s="371"/>
    </row>
    <row r="40" spans="3:4" ht="12.75">
      <c r="C40" s="370"/>
      <c r="D40" s="371"/>
    </row>
    <row r="41" ht="12.75">
      <c r="D41" s="371"/>
    </row>
    <row r="42" spans="3:4" ht="12.75">
      <c r="C42" s="370"/>
      <c r="D42" s="371"/>
    </row>
    <row r="43" ht="12.75">
      <c r="D43" s="372"/>
    </row>
  </sheetData>
  <sheetProtection/>
  <mergeCells count="4">
    <mergeCell ref="A1:F1"/>
    <mergeCell ref="A2:F2"/>
    <mergeCell ref="A3:F3"/>
    <mergeCell ref="A4:F4"/>
  </mergeCells>
  <printOptions horizontalCentered="1" verticalCentered="1"/>
  <pageMargins left="0.6" right="0.75" top="0.75" bottom="0.62" header="0.5" footer="0.2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zoomScale="120" zoomScaleNormal="120" zoomScalePageLayoutView="0" workbookViewId="0" topLeftCell="A1">
      <pane xSplit="2" ySplit="6" topLeftCell="C2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39" sqref="A39"/>
    </sheetView>
  </sheetViews>
  <sheetFormatPr defaultColWidth="15.83203125" defaultRowHeight="11.25"/>
  <cols>
    <col min="1" max="1" width="3.33203125" style="1" customWidth="1"/>
    <col min="2" max="2" width="32.33203125" style="1" customWidth="1"/>
    <col min="3" max="4" width="11.5" style="2" customWidth="1"/>
    <col min="5" max="15" width="10.16015625" style="2" customWidth="1"/>
    <col min="16" max="16" width="10.83203125" style="1" customWidth="1"/>
    <col min="17" max="17" width="10.33203125" style="1" customWidth="1"/>
    <col min="18" max="18" width="13" style="1" customWidth="1"/>
    <col min="19" max="20" width="10.33203125" style="1" customWidth="1"/>
    <col min="21" max="21" width="16.33203125" style="1" bestFit="1" customWidth="1"/>
    <col min="22" max="31" width="8.83203125" style="1" customWidth="1"/>
    <col min="32" max="32" width="10.16015625" style="1" customWidth="1"/>
    <col min="33" max="16384" width="15.83203125" style="1" customWidth="1"/>
  </cols>
  <sheetData>
    <row r="1" spans="1:16" ht="12.75">
      <c r="A1" s="377" t="s">
        <v>22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12.75">
      <c r="A2" s="377" t="s">
        <v>32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2.75" customHeight="1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2.75">
      <c r="A4" s="377" t="s">
        <v>54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ht="12.75">
      <c r="A5" s="91">
        <v>1</v>
      </c>
      <c r="B5" s="89" t="s">
        <v>2</v>
      </c>
      <c r="C5" s="212" t="s">
        <v>24</v>
      </c>
      <c r="D5" s="212" t="s">
        <v>47</v>
      </c>
      <c r="E5" s="212" t="s">
        <v>58</v>
      </c>
      <c r="F5" s="212" t="s">
        <v>24</v>
      </c>
      <c r="G5" s="212" t="s">
        <v>47</v>
      </c>
      <c r="H5" s="212" t="s">
        <v>58</v>
      </c>
      <c r="I5" s="212" t="s">
        <v>59</v>
      </c>
      <c r="J5" s="212" t="s">
        <v>60</v>
      </c>
      <c r="K5" s="212" t="s">
        <v>61</v>
      </c>
      <c r="L5" s="212" t="s">
        <v>62</v>
      </c>
      <c r="M5" s="89" t="s">
        <v>63</v>
      </c>
      <c r="N5" s="89" t="s">
        <v>65</v>
      </c>
      <c r="O5" s="89" t="s">
        <v>66</v>
      </c>
      <c r="P5" s="89" t="s">
        <v>70</v>
      </c>
    </row>
    <row r="6" spans="1:30" ht="34.5" customHeight="1">
      <c r="A6" s="91">
        <f>+A5+1</f>
        <v>2</v>
      </c>
      <c r="B6" s="67" t="s">
        <v>0</v>
      </c>
      <c r="C6" s="285">
        <v>41547</v>
      </c>
      <c r="D6" s="285">
        <v>41578</v>
      </c>
      <c r="E6" s="285">
        <v>41608</v>
      </c>
      <c r="F6" s="285">
        <v>41639</v>
      </c>
      <c r="G6" s="285">
        <v>41670</v>
      </c>
      <c r="H6" s="285">
        <v>41698</v>
      </c>
      <c r="I6" s="285">
        <v>41729</v>
      </c>
      <c r="J6" s="285">
        <v>41759</v>
      </c>
      <c r="K6" s="285">
        <v>41790</v>
      </c>
      <c r="L6" s="285">
        <v>41820</v>
      </c>
      <c r="M6" s="285">
        <v>41851</v>
      </c>
      <c r="N6" s="285">
        <v>41882</v>
      </c>
      <c r="O6" s="285">
        <v>41912</v>
      </c>
      <c r="P6" s="286" t="s">
        <v>105</v>
      </c>
      <c r="Q6" s="287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</row>
    <row r="7" spans="1:30" ht="12.75">
      <c r="A7" s="91">
        <f>+A6+1</f>
        <v>3</v>
      </c>
      <c r="B7" s="102" t="s">
        <v>33</v>
      </c>
      <c r="C7" s="288">
        <v>129000000</v>
      </c>
      <c r="D7" s="288">
        <v>72000000</v>
      </c>
      <c r="E7" s="288">
        <v>110000000</v>
      </c>
      <c r="F7" s="288">
        <v>162000000</v>
      </c>
      <c r="G7" s="288">
        <v>83000000</v>
      </c>
      <c r="H7" s="288"/>
      <c r="I7" s="288">
        <v>0</v>
      </c>
      <c r="J7" s="288">
        <v>0</v>
      </c>
      <c r="K7" s="288">
        <v>0</v>
      </c>
      <c r="L7" s="288">
        <v>0</v>
      </c>
      <c r="M7" s="288">
        <v>0</v>
      </c>
      <c r="N7" s="288">
        <v>0</v>
      </c>
      <c r="O7" s="288">
        <v>0</v>
      </c>
      <c r="P7" s="289">
        <f>ROUND(((C7+O7)+(SUM(D7:N7)*2))/24,0)</f>
        <v>40958333</v>
      </c>
      <c r="Q7" s="287"/>
      <c r="R7" s="290" t="s">
        <v>225</v>
      </c>
      <c r="S7" s="290" t="s">
        <v>194</v>
      </c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</row>
    <row r="8" spans="1:30" ht="12.75">
      <c r="A8" s="91">
        <f>+A7+1</f>
        <v>4</v>
      </c>
      <c r="B8" s="102" t="s">
        <v>161</v>
      </c>
      <c r="C8" s="288">
        <v>29597785</v>
      </c>
      <c r="D8" s="288">
        <v>29597785</v>
      </c>
      <c r="E8" s="288">
        <v>29597785</v>
      </c>
      <c r="F8" s="288">
        <v>29597785</v>
      </c>
      <c r="G8" s="288">
        <v>29597785</v>
      </c>
      <c r="H8" s="288">
        <v>29597785</v>
      </c>
      <c r="I8" s="288">
        <v>29597785</v>
      </c>
      <c r="J8" s="288">
        <v>28932785</v>
      </c>
      <c r="K8" s="288">
        <v>28932785</v>
      </c>
      <c r="L8" s="288">
        <v>28932785</v>
      </c>
      <c r="M8" s="288">
        <v>28932785</v>
      </c>
      <c r="N8" s="288">
        <v>28932785</v>
      </c>
      <c r="O8" s="288">
        <v>28932785</v>
      </c>
      <c r="P8" s="289">
        <f>ROUND(((C8+O8)+(SUM(D8:N8)*2))/24,0)</f>
        <v>29292993</v>
      </c>
      <c r="Q8" s="291"/>
      <c r="R8" s="290" t="s">
        <v>225</v>
      </c>
      <c r="S8" s="290" t="s">
        <v>195</v>
      </c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</row>
    <row r="9" spans="1:30" ht="13.5" thickBot="1">
      <c r="A9" s="91">
        <f>+A8+1</f>
        <v>5</v>
      </c>
      <c r="B9" s="102" t="s">
        <v>148</v>
      </c>
      <c r="C9" s="288">
        <v>0</v>
      </c>
      <c r="D9" s="288">
        <v>50000000</v>
      </c>
      <c r="E9" s="288"/>
      <c r="F9" s="288"/>
      <c r="G9" s="288">
        <v>0</v>
      </c>
      <c r="H9" s="288">
        <v>0</v>
      </c>
      <c r="I9" s="288">
        <v>0</v>
      </c>
      <c r="J9" s="288"/>
      <c r="K9" s="288"/>
      <c r="L9" s="288"/>
      <c r="M9" s="288"/>
      <c r="N9" s="288"/>
      <c r="O9" s="288">
        <v>25000000</v>
      </c>
      <c r="P9" s="289">
        <f>ROUND(((C9+O9)+(SUM(D9:N9)*2))/24,0)</f>
        <v>5208333</v>
      </c>
      <c r="Q9" s="287"/>
      <c r="S9" s="290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</row>
    <row r="10" spans="1:32" ht="13.5" thickBot="1">
      <c r="A10" s="91">
        <f>+A9+1</f>
        <v>6</v>
      </c>
      <c r="B10" s="103" t="s">
        <v>27</v>
      </c>
      <c r="C10" s="239">
        <f aca="true" t="shared" si="0" ref="C10:L10">SUM(C7:C9)</f>
        <v>158597785</v>
      </c>
      <c r="D10" s="239">
        <f t="shared" si="0"/>
        <v>151597785</v>
      </c>
      <c r="E10" s="239">
        <f t="shared" si="0"/>
        <v>139597785</v>
      </c>
      <c r="F10" s="239">
        <f t="shared" si="0"/>
        <v>191597785</v>
      </c>
      <c r="G10" s="239">
        <f t="shared" si="0"/>
        <v>112597785</v>
      </c>
      <c r="H10" s="239">
        <f t="shared" si="0"/>
        <v>29597785</v>
      </c>
      <c r="I10" s="239">
        <f t="shared" si="0"/>
        <v>29597785</v>
      </c>
      <c r="J10" s="239">
        <f t="shared" si="0"/>
        <v>28932785</v>
      </c>
      <c r="K10" s="239">
        <f t="shared" si="0"/>
        <v>28932785</v>
      </c>
      <c r="L10" s="239">
        <f t="shared" si="0"/>
        <v>28932785</v>
      </c>
      <c r="M10" s="239">
        <f>SUM(M7:M9)</f>
        <v>28932785</v>
      </c>
      <c r="N10" s="239">
        <f>SUM(N7:N9)</f>
        <v>28932785</v>
      </c>
      <c r="O10" s="239">
        <f>SUM(O7:O9)</f>
        <v>53932785</v>
      </c>
      <c r="P10" s="292">
        <f>SUM(P7:P9)</f>
        <v>75459659</v>
      </c>
      <c r="Q10" s="184"/>
      <c r="S10" s="184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93"/>
      <c r="AF10" s="293"/>
    </row>
    <row r="11" spans="1:32" ht="6.75" customHeight="1" thickBot="1">
      <c r="A11" s="91"/>
      <c r="B11" s="101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89"/>
      <c r="Q11" s="184"/>
      <c r="S11" s="184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93"/>
      <c r="AF11" s="293"/>
    </row>
    <row r="12" spans="1:32" ht="13.5" thickBot="1">
      <c r="A12" s="91">
        <f>+A10+1</f>
        <v>7</v>
      </c>
      <c r="B12" s="103" t="s">
        <v>120</v>
      </c>
      <c r="C12" s="238">
        <f>3520860000-13767</f>
        <v>3520846233</v>
      </c>
      <c r="D12" s="238">
        <f>3510860000-13725</f>
        <v>3510846275</v>
      </c>
      <c r="E12" s="238">
        <f>3510860000-13684</f>
        <v>3510846316</v>
      </c>
      <c r="F12" s="238">
        <f>3510860000-13642</f>
        <v>3510846358</v>
      </c>
      <c r="G12" s="238">
        <f>3510860000-13600</f>
        <v>3510846400</v>
      </c>
      <c r="H12" s="238">
        <f>3510860000-13558</f>
        <v>3510846442</v>
      </c>
      <c r="I12" s="238">
        <f>3510860000-13516</f>
        <v>3510846484</v>
      </c>
      <c r="J12" s="238">
        <f>3510860000-13474</f>
        <v>3510846526</v>
      </c>
      <c r="K12" s="238">
        <f>3510860000-13432</f>
        <v>3510846568</v>
      </c>
      <c r="L12" s="238">
        <f>3510860000-13391</f>
        <v>3510846609</v>
      </c>
      <c r="M12" s="238">
        <f>3510860000-13349</f>
        <v>3510846651</v>
      </c>
      <c r="N12" s="238">
        <f>3510860000-13307</f>
        <v>3510846693</v>
      </c>
      <c r="O12" s="238">
        <f>3510860000-13265</f>
        <v>3510846735</v>
      </c>
      <c r="P12" s="292">
        <f>ROUND(((C12+O12)+(SUM(D12:N12)*2))/24,0)</f>
        <v>3511263151</v>
      </c>
      <c r="Q12" s="184"/>
      <c r="R12" s="290" t="s">
        <v>225</v>
      </c>
      <c r="S12" s="290" t="s">
        <v>196</v>
      </c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93"/>
      <c r="AF12" s="293"/>
    </row>
    <row r="13" spans="1:19" ht="6" customHeight="1">
      <c r="A13" s="91"/>
      <c r="B13" s="10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294"/>
      <c r="Q13" s="184"/>
      <c r="S13" s="184"/>
    </row>
    <row r="14" spans="1:19" ht="13.5" customHeight="1">
      <c r="A14" s="91">
        <f>+A12+1</f>
        <v>8</v>
      </c>
      <c r="B14" s="103" t="s">
        <v>114</v>
      </c>
      <c r="C14" s="184">
        <v>250000000</v>
      </c>
      <c r="D14" s="184">
        <v>250000000</v>
      </c>
      <c r="E14" s="184">
        <v>250000000</v>
      </c>
      <c r="F14" s="184">
        <v>250000000</v>
      </c>
      <c r="G14" s="184">
        <v>250000000</v>
      </c>
      <c r="H14" s="184">
        <v>250000000</v>
      </c>
      <c r="I14" s="184">
        <v>250000000</v>
      </c>
      <c r="J14" s="184">
        <v>250000000</v>
      </c>
      <c r="K14" s="184">
        <v>250000000</v>
      </c>
      <c r="L14" s="184">
        <v>250000000</v>
      </c>
      <c r="M14" s="184">
        <v>250000000</v>
      </c>
      <c r="N14" s="184">
        <v>250000000</v>
      </c>
      <c r="O14" s="184">
        <v>250000000</v>
      </c>
      <c r="P14" s="295">
        <f>ROUND(((C14+O14)+(SUM(D14:N14)*2))/24,0)</f>
        <v>250000000</v>
      </c>
      <c r="Q14" s="184"/>
      <c r="R14" s="290" t="s">
        <v>225</v>
      </c>
      <c r="S14" s="290" t="s">
        <v>197</v>
      </c>
    </row>
    <row r="15" spans="1:19" ht="5.25" customHeight="1" thickBot="1">
      <c r="A15" s="91"/>
      <c r="B15" s="103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294"/>
      <c r="Q15" s="184"/>
      <c r="R15" s="184"/>
      <c r="S15" s="184"/>
    </row>
    <row r="16" spans="1:19" ht="13.5" customHeight="1" thickBot="1">
      <c r="A16" s="91">
        <f>+A14+1</f>
        <v>9</v>
      </c>
      <c r="B16" s="103" t="s">
        <v>11</v>
      </c>
      <c r="C16" s="239">
        <f aca="true" t="shared" si="1" ref="C16:L16">SUM(C12:C14)</f>
        <v>3770846233</v>
      </c>
      <c r="D16" s="239">
        <f t="shared" si="1"/>
        <v>3760846275</v>
      </c>
      <c r="E16" s="239">
        <f t="shared" si="1"/>
        <v>3760846316</v>
      </c>
      <c r="F16" s="239">
        <f t="shared" si="1"/>
        <v>3760846358</v>
      </c>
      <c r="G16" s="239">
        <f t="shared" si="1"/>
        <v>3760846400</v>
      </c>
      <c r="H16" s="239">
        <f t="shared" si="1"/>
        <v>3760846442</v>
      </c>
      <c r="I16" s="239">
        <f t="shared" si="1"/>
        <v>3760846484</v>
      </c>
      <c r="J16" s="239">
        <f t="shared" si="1"/>
        <v>3760846526</v>
      </c>
      <c r="K16" s="239">
        <f t="shared" si="1"/>
        <v>3760846568</v>
      </c>
      <c r="L16" s="239">
        <f t="shared" si="1"/>
        <v>3760846609</v>
      </c>
      <c r="M16" s="239">
        <f>SUM(M12:M14)</f>
        <v>3760846651</v>
      </c>
      <c r="N16" s="239">
        <f>SUM(N12:N14)</f>
        <v>3760846693</v>
      </c>
      <c r="O16" s="239">
        <f>SUM(O12:O14)</f>
        <v>3760846735</v>
      </c>
      <c r="P16" s="292">
        <f>SUM(P12:P14)</f>
        <v>3761263151</v>
      </c>
      <c r="Q16" s="184"/>
      <c r="R16" s="296"/>
      <c r="S16" s="184"/>
    </row>
    <row r="17" spans="1:19" ht="6.75" customHeight="1" thickBot="1">
      <c r="A17" s="91"/>
      <c r="B17" s="10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294"/>
      <c r="Q17" s="184"/>
      <c r="R17" s="184"/>
      <c r="S17" s="184"/>
    </row>
    <row r="18" spans="1:19" ht="13.5" thickBot="1">
      <c r="A18" s="91">
        <f>+A16+1</f>
        <v>10</v>
      </c>
      <c r="B18" s="103" t="s">
        <v>76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8">
        <f>ROUND(((C18+O18)+(SUM(D18:N18)*2))/24,0)</f>
        <v>0</v>
      </c>
      <c r="Q18" s="184"/>
      <c r="R18" s="299"/>
      <c r="S18" s="184"/>
    </row>
    <row r="19" spans="1:19" ht="6.75" customHeight="1" thickBot="1">
      <c r="A19" s="91"/>
      <c r="B19" s="10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289"/>
      <c r="Q19" s="184"/>
      <c r="R19" s="184"/>
      <c r="S19" s="184"/>
    </row>
    <row r="20" spans="1:19" ht="13.5" thickBot="1">
      <c r="A20" s="91">
        <f>+A18+1</f>
        <v>11</v>
      </c>
      <c r="B20" s="103" t="s">
        <v>96</v>
      </c>
      <c r="C20" s="300">
        <f aca="true" t="shared" si="2" ref="C20:I20">C44</f>
        <v>3522192191</v>
      </c>
      <c r="D20" s="300">
        <f t="shared" si="2"/>
        <v>3539360308</v>
      </c>
      <c r="E20" s="300">
        <f t="shared" si="2"/>
        <v>3570219919</v>
      </c>
      <c r="F20" s="300">
        <f t="shared" si="2"/>
        <v>3554741871</v>
      </c>
      <c r="G20" s="300">
        <f t="shared" si="2"/>
        <v>3589632698</v>
      </c>
      <c r="H20" s="300">
        <f t="shared" si="2"/>
        <v>3623640242</v>
      </c>
      <c r="I20" s="300">
        <f t="shared" si="2"/>
        <v>3597170491</v>
      </c>
      <c r="J20" s="300">
        <f aca="true" t="shared" si="3" ref="J20:O20">J44</f>
        <v>3620219314</v>
      </c>
      <c r="K20" s="300">
        <f t="shared" si="3"/>
        <v>3506817115</v>
      </c>
      <c r="L20" s="300">
        <f t="shared" si="3"/>
        <v>3514672305</v>
      </c>
      <c r="M20" s="300">
        <f t="shared" si="3"/>
        <v>3505698529</v>
      </c>
      <c r="N20" s="300">
        <f t="shared" si="3"/>
        <v>3513333780</v>
      </c>
      <c r="O20" s="300">
        <f t="shared" si="3"/>
        <v>3461352136</v>
      </c>
      <c r="P20" s="298">
        <f>ROUND(((C20+O20)+(SUM(D20:N20)*2))/24,0)</f>
        <v>3552273228</v>
      </c>
      <c r="Q20" s="184"/>
      <c r="R20" s="184">
        <f>SUM(C20:O20)/13</f>
        <v>3547619299.923077</v>
      </c>
      <c r="S20" s="184"/>
    </row>
    <row r="21" spans="1:19" ht="6.75" customHeight="1">
      <c r="A21" s="91"/>
      <c r="B21" s="103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301"/>
      <c r="Q21" s="184"/>
      <c r="R21" s="184"/>
      <c r="S21" s="184"/>
    </row>
    <row r="22" spans="1:19" ht="13.5" thickBot="1">
      <c r="A22" s="91">
        <f>+A20+1</f>
        <v>12</v>
      </c>
      <c r="B22" s="103" t="s">
        <v>80</v>
      </c>
      <c r="C22" s="302">
        <f aca="true" t="shared" si="4" ref="C22:I22">C10+C16+C18+C20</f>
        <v>7451636209</v>
      </c>
      <c r="D22" s="302">
        <f t="shared" si="4"/>
        <v>7451804368</v>
      </c>
      <c r="E22" s="302">
        <f t="shared" si="4"/>
        <v>7470664020</v>
      </c>
      <c r="F22" s="302">
        <f t="shared" si="4"/>
        <v>7507186014</v>
      </c>
      <c r="G22" s="302">
        <f t="shared" si="4"/>
        <v>7463076883</v>
      </c>
      <c r="H22" s="302">
        <f t="shared" si="4"/>
        <v>7414084469</v>
      </c>
      <c r="I22" s="302">
        <f t="shared" si="4"/>
        <v>7387614760</v>
      </c>
      <c r="J22" s="302">
        <f aca="true" t="shared" si="5" ref="J22:P22">J10+J16+J18+J20</f>
        <v>7409998625</v>
      </c>
      <c r="K22" s="302">
        <f t="shared" si="5"/>
        <v>7296596468</v>
      </c>
      <c r="L22" s="302">
        <f t="shared" si="5"/>
        <v>7304451699</v>
      </c>
      <c r="M22" s="302">
        <f t="shared" si="5"/>
        <v>7295477965</v>
      </c>
      <c r="N22" s="302">
        <f t="shared" si="5"/>
        <v>7303113258</v>
      </c>
      <c r="O22" s="302">
        <f t="shared" si="5"/>
        <v>7276131656</v>
      </c>
      <c r="P22" s="303">
        <f t="shared" si="5"/>
        <v>7388996038</v>
      </c>
      <c r="Q22" s="184"/>
      <c r="R22" s="184"/>
      <c r="S22" s="184"/>
    </row>
    <row r="23" spans="1:19" ht="13.5" thickTop="1">
      <c r="A23" s="91"/>
      <c r="B23" s="103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304"/>
      <c r="Q23" s="184"/>
      <c r="R23" s="184"/>
      <c r="S23" s="184"/>
    </row>
    <row r="24" spans="1:19" ht="12.75">
      <c r="A24" s="91">
        <f>+A22+1</f>
        <v>13</v>
      </c>
      <c r="B24" s="90" t="s">
        <v>27</v>
      </c>
      <c r="C24" s="305">
        <f aca="true" t="shared" si="6" ref="C24:L24">C10/C$22</f>
        <v>0.021283618865940802</v>
      </c>
      <c r="D24" s="305">
        <f t="shared" si="6"/>
        <v>0.020343768772433237</v>
      </c>
      <c r="E24" s="305">
        <f t="shared" si="6"/>
        <v>0.018686128117430718</v>
      </c>
      <c r="F24" s="305">
        <f t="shared" si="6"/>
        <v>0.02552191788543579</v>
      </c>
      <c r="G24" s="305">
        <f t="shared" si="6"/>
        <v>0.015087314088440431</v>
      </c>
      <c r="H24" s="305">
        <f t="shared" si="6"/>
        <v>0.003992102480590176</v>
      </c>
      <c r="I24" s="305">
        <f t="shared" si="6"/>
        <v>0.004006406121804868</v>
      </c>
      <c r="J24" s="305">
        <f t="shared" si="6"/>
        <v>0.0039045601037476577</v>
      </c>
      <c r="K24" s="305">
        <f t="shared" si="6"/>
        <v>0.003965243949954997</v>
      </c>
      <c r="L24" s="305">
        <f t="shared" si="6"/>
        <v>0.003960979713776598</v>
      </c>
      <c r="M24" s="305">
        <f>M10/M$22</f>
        <v>0.003965851879589633</v>
      </c>
      <c r="N24" s="305">
        <f>N10/N$22</f>
        <v>0.00396170564222133</v>
      </c>
      <c r="O24" s="305">
        <f>O10/O$22</f>
        <v>0.007412288225368527</v>
      </c>
      <c r="P24" s="306">
        <f>P10/P$22</f>
        <v>0.0102124373341016</v>
      </c>
      <c r="Q24" s="184"/>
      <c r="R24" s="184"/>
      <c r="S24" s="184"/>
    </row>
    <row r="25" spans="1:19" ht="12.75">
      <c r="A25" s="91">
        <f>+A24+1</f>
        <v>14</v>
      </c>
      <c r="B25" s="90" t="s">
        <v>28</v>
      </c>
      <c r="C25" s="307">
        <f aca="true" t="shared" si="7" ref="C25:L25">C16/C$22</f>
        <v>0.5060427169600169</v>
      </c>
      <c r="D25" s="307">
        <f t="shared" si="7"/>
        <v>0.5046893462676045</v>
      </c>
      <c r="E25" s="307">
        <f t="shared" si="7"/>
        <v>0.5034152661572914</v>
      </c>
      <c r="F25" s="307">
        <f t="shared" si="7"/>
        <v>0.5009661877281945</v>
      </c>
      <c r="G25" s="307">
        <f t="shared" si="7"/>
        <v>0.5039270610445887</v>
      </c>
      <c r="H25" s="307">
        <f t="shared" si="7"/>
        <v>0.5072570265047516</v>
      </c>
      <c r="I25" s="307">
        <f t="shared" si="7"/>
        <v>0.5090745262412681</v>
      </c>
      <c r="J25" s="307">
        <f t="shared" si="7"/>
        <v>0.5075367373634296</v>
      </c>
      <c r="K25" s="307">
        <f t="shared" si="7"/>
        <v>0.5154247716032526</v>
      </c>
      <c r="L25" s="307">
        <f t="shared" si="7"/>
        <v>0.5148704877485699</v>
      </c>
      <c r="M25" s="307">
        <f>M16/M$22</f>
        <v>0.5155038051026448</v>
      </c>
      <c r="N25" s="307">
        <f>N16/N$22</f>
        <v>0.5149648595248446</v>
      </c>
      <c r="O25" s="307">
        <f>O16/O$22</f>
        <v>0.5168744757248521</v>
      </c>
      <c r="P25" s="308">
        <f>P16/P$22</f>
        <v>0.5090357514954185</v>
      </c>
      <c r="Q25" s="184"/>
      <c r="R25" s="184"/>
      <c r="S25" s="184"/>
    </row>
    <row r="26" spans="1:19" ht="12.75">
      <c r="A26" s="91">
        <f>+A25+1</f>
        <v>15</v>
      </c>
      <c r="B26" s="90" t="s">
        <v>101</v>
      </c>
      <c r="C26" s="305">
        <f aca="true" t="shared" si="8" ref="C26:L26">SUM(C24:C25)</f>
        <v>0.5273263358259577</v>
      </c>
      <c r="D26" s="305">
        <f t="shared" si="8"/>
        <v>0.5250331150400378</v>
      </c>
      <c r="E26" s="305">
        <f t="shared" si="8"/>
        <v>0.5221013942747221</v>
      </c>
      <c r="F26" s="305">
        <f t="shared" si="8"/>
        <v>0.5264881056136302</v>
      </c>
      <c r="G26" s="305">
        <f t="shared" si="8"/>
        <v>0.5190143751330292</v>
      </c>
      <c r="H26" s="305">
        <f t="shared" si="8"/>
        <v>0.5112491289853418</v>
      </c>
      <c r="I26" s="305">
        <f t="shared" si="8"/>
        <v>0.5130809323630731</v>
      </c>
      <c r="J26" s="305">
        <f t="shared" si="8"/>
        <v>0.5114412974671773</v>
      </c>
      <c r="K26" s="305">
        <f t="shared" si="8"/>
        <v>0.5193900155532076</v>
      </c>
      <c r="L26" s="305">
        <f t="shared" si="8"/>
        <v>0.5188314674623465</v>
      </c>
      <c r="M26" s="305">
        <f>SUM(M24:M25)</f>
        <v>0.5194696569822345</v>
      </c>
      <c r="N26" s="305">
        <f>SUM(N24:N25)</f>
        <v>0.5189265651670659</v>
      </c>
      <c r="O26" s="305">
        <f>SUM(O24:O25)</f>
        <v>0.5242867639502207</v>
      </c>
      <c r="P26" s="306">
        <f>SUM(P24:P25)</f>
        <v>0.5192481888295201</v>
      </c>
      <c r="Q26" s="184"/>
      <c r="R26" s="184"/>
      <c r="S26" s="184"/>
    </row>
    <row r="27" spans="1:19" ht="12.75">
      <c r="A27" s="91">
        <f>+A26+1</f>
        <v>16</v>
      </c>
      <c r="B27" s="90" t="s">
        <v>102</v>
      </c>
      <c r="C27" s="305">
        <f aca="true" t="shared" si="9" ref="C27:I27">C18/C$22</f>
        <v>0</v>
      </c>
      <c r="D27" s="305">
        <f t="shared" si="9"/>
        <v>0</v>
      </c>
      <c r="E27" s="305">
        <f t="shared" si="9"/>
        <v>0</v>
      </c>
      <c r="F27" s="305">
        <f t="shared" si="9"/>
        <v>0</v>
      </c>
      <c r="G27" s="305">
        <f t="shared" si="9"/>
        <v>0</v>
      </c>
      <c r="H27" s="305">
        <f t="shared" si="9"/>
        <v>0</v>
      </c>
      <c r="I27" s="305">
        <f t="shared" si="9"/>
        <v>0</v>
      </c>
      <c r="J27" s="305">
        <f aca="true" t="shared" si="10" ref="J27:P27">J18/J$22</f>
        <v>0</v>
      </c>
      <c r="K27" s="305">
        <f t="shared" si="10"/>
        <v>0</v>
      </c>
      <c r="L27" s="305">
        <f t="shared" si="10"/>
        <v>0</v>
      </c>
      <c r="M27" s="305">
        <f t="shared" si="10"/>
        <v>0</v>
      </c>
      <c r="N27" s="305">
        <f t="shared" si="10"/>
        <v>0</v>
      </c>
      <c r="O27" s="305">
        <f t="shared" si="10"/>
        <v>0</v>
      </c>
      <c r="P27" s="306">
        <f t="shared" si="10"/>
        <v>0</v>
      </c>
      <c r="Q27" s="184"/>
      <c r="R27" s="184"/>
      <c r="S27" s="184"/>
    </row>
    <row r="28" spans="1:19" ht="12.75">
      <c r="A28" s="91">
        <f>+A27+1</f>
        <v>17</v>
      </c>
      <c r="B28" s="90" t="s">
        <v>103</v>
      </c>
      <c r="C28" s="309">
        <f aca="true" t="shared" si="11" ref="C28:I28">C20/C$22</f>
        <v>0.47267366417404233</v>
      </c>
      <c r="D28" s="309">
        <f t="shared" si="11"/>
        <v>0.4749668849599622</v>
      </c>
      <c r="E28" s="309">
        <f t="shared" si="11"/>
        <v>0.4778986057252779</v>
      </c>
      <c r="F28" s="309">
        <f t="shared" si="11"/>
        <v>0.47351189438636976</v>
      </c>
      <c r="G28" s="309">
        <f t="shared" si="11"/>
        <v>0.48098562486697083</v>
      </c>
      <c r="H28" s="309">
        <f t="shared" si="11"/>
        <v>0.48875087101465825</v>
      </c>
      <c r="I28" s="309">
        <f t="shared" si="11"/>
        <v>0.486919067636927</v>
      </c>
      <c r="J28" s="309">
        <f aca="true" t="shared" si="12" ref="J28:P28">J20/J$22</f>
        <v>0.4885587025328227</v>
      </c>
      <c r="K28" s="309">
        <f t="shared" si="12"/>
        <v>0.48060998444679237</v>
      </c>
      <c r="L28" s="309">
        <f t="shared" si="12"/>
        <v>0.4811685325376535</v>
      </c>
      <c r="M28" s="309">
        <f t="shared" si="12"/>
        <v>0.48053034301776554</v>
      </c>
      <c r="N28" s="309">
        <f t="shared" si="12"/>
        <v>0.4810734348329341</v>
      </c>
      <c r="O28" s="309">
        <f t="shared" si="12"/>
        <v>0.4757132360497794</v>
      </c>
      <c r="P28" s="310">
        <f t="shared" si="12"/>
        <v>0.4807518111704799</v>
      </c>
      <c r="Q28" s="184"/>
      <c r="R28" s="184"/>
      <c r="S28" s="184"/>
    </row>
    <row r="29" spans="1:19" ht="12.75">
      <c r="A29" s="136"/>
      <c r="B29" s="90"/>
      <c r="C29" s="311"/>
      <c r="D29" s="311"/>
      <c r="E29" s="311"/>
      <c r="F29" s="312"/>
      <c r="G29" s="311"/>
      <c r="H29" s="311"/>
      <c r="I29" s="313"/>
      <c r="J29" s="311"/>
      <c r="K29" s="311"/>
      <c r="L29" s="313"/>
      <c r="M29" s="311"/>
      <c r="N29" s="311"/>
      <c r="O29" s="313"/>
      <c r="P29" s="314"/>
      <c r="Q29" s="184"/>
      <c r="R29" s="184"/>
      <c r="S29" s="184"/>
    </row>
    <row r="30" spans="1:19" ht="13.5" thickBot="1">
      <c r="A30" s="91">
        <f>+A28+1</f>
        <v>18</v>
      </c>
      <c r="B30" s="90" t="s">
        <v>104</v>
      </c>
      <c r="C30" s="315">
        <f aca="true" t="shared" si="13" ref="C30:I30">SUM(C26:C28)</f>
        <v>1</v>
      </c>
      <c r="D30" s="315">
        <f t="shared" si="13"/>
        <v>1</v>
      </c>
      <c r="E30" s="315">
        <f t="shared" si="13"/>
        <v>1</v>
      </c>
      <c r="F30" s="316">
        <f t="shared" si="13"/>
        <v>1</v>
      </c>
      <c r="G30" s="315">
        <f t="shared" si="13"/>
        <v>1</v>
      </c>
      <c r="H30" s="315">
        <f t="shared" si="13"/>
        <v>1</v>
      </c>
      <c r="I30" s="315">
        <f t="shared" si="13"/>
        <v>1</v>
      </c>
      <c r="J30" s="315">
        <f aca="true" t="shared" si="14" ref="J30:P30">SUM(J26:J28)</f>
        <v>1</v>
      </c>
      <c r="K30" s="315">
        <f t="shared" si="14"/>
        <v>1</v>
      </c>
      <c r="L30" s="315">
        <f t="shared" si="14"/>
        <v>1</v>
      </c>
      <c r="M30" s="315">
        <f t="shared" si="14"/>
        <v>1</v>
      </c>
      <c r="N30" s="315">
        <f t="shared" si="14"/>
        <v>1</v>
      </c>
      <c r="O30" s="315">
        <f t="shared" si="14"/>
        <v>1</v>
      </c>
      <c r="P30" s="317">
        <f t="shared" si="14"/>
        <v>1</v>
      </c>
      <c r="Q30" s="184"/>
      <c r="R30" s="184"/>
      <c r="S30" s="184"/>
    </row>
    <row r="31" spans="1:19" ht="13.5" thickTop="1">
      <c r="A31" s="91"/>
      <c r="B31" s="103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84"/>
      <c r="R31" s="184"/>
      <c r="S31" s="184"/>
    </row>
    <row r="32" spans="1:19" ht="12.75">
      <c r="A32" s="91"/>
      <c r="B32" s="103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138"/>
      <c r="Q32" s="184"/>
      <c r="R32" s="184"/>
      <c r="S32" s="184"/>
    </row>
    <row r="33" spans="1:19" ht="12.75">
      <c r="A33" s="91"/>
      <c r="B33" s="103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138"/>
      <c r="Q33" s="184"/>
      <c r="R33" s="184"/>
      <c r="S33" s="184"/>
    </row>
    <row r="34" spans="1:18" ht="12.75">
      <c r="A34" s="91">
        <f>+A30+1</f>
        <v>19</v>
      </c>
      <c r="B34" s="103" t="s">
        <v>75</v>
      </c>
      <c r="C34" s="138">
        <v>3298625922</v>
      </c>
      <c r="D34" s="138">
        <v>3314518774</v>
      </c>
      <c r="E34" s="138">
        <v>3356739302</v>
      </c>
      <c r="F34" s="138">
        <v>3440757335</v>
      </c>
      <c r="G34" s="138">
        <v>3492467632</v>
      </c>
      <c r="H34" s="138">
        <v>3561597415</v>
      </c>
      <c r="I34" s="138">
        <v>3490524136</v>
      </c>
      <c r="J34" s="138">
        <v>3530291455</v>
      </c>
      <c r="K34" s="138">
        <v>3413421753</v>
      </c>
      <c r="L34" s="138">
        <v>3420346021</v>
      </c>
      <c r="M34" s="138">
        <v>3409868017</v>
      </c>
      <c r="N34" s="138">
        <v>3416166236</v>
      </c>
      <c r="O34" s="138">
        <v>3367433356</v>
      </c>
      <c r="P34" s="184"/>
      <c r="R34" s="290" t="s">
        <v>225</v>
      </c>
    </row>
    <row r="35" spans="1:53" ht="12.75">
      <c r="A35" s="91">
        <f>+A34+1</f>
        <v>20</v>
      </c>
      <c r="B35" s="101" t="s">
        <v>29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20"/>
      <c r="R35" s="290"/>
      <c r="T35" s="65"/>
      <c r="U35" s="101" t="s">
        <v>124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t="12.75">
      <c r="A36" s="91">
        <f>+A35+1</f>
        <v>21</v>
      </c>
      <c r="B36" s="101" t="s">
        <v>30</v>
      </c>
      <c r="C36" s="187">
        <v>-7864333</v>
      </c>
      <c r="D36" s="187">
        <v>-7864333</v>
      </c>
      <c r="E36" s="187">
        <v>-7864333</v>
      </c>
      <c r="F36" s="187">
        <v>-8031791</v>
      </c>
      <c r="G36" s="187">
        <v>-8031791</v>
      </c>
      <c r="H36" s="187">
        <v>-8031791</v>
      </c>
      <c r="I36" s="187">
        <v>-8216815</v>
      </c>
      <c r="J36" s="187">
        <v>-8216815</v>
      </c>
      <c r="K36" s="187">
        <v>-8216815</v>
      </c>
      <c r="L36" s="187">
        <v>-8509803</v>
      </c>
      <c r="M36" s="187">
        <v>-8509803</v>
      </c>
      <c r="N36" s="187">
        <v>-8509803</v>
      </c>
      <c r="O36" s="187">
        <v>-8341592</v>
      </c>
      <c r="Q36" s="138"/>
      <c r="R36" s="290" t="s">
        <v>225</v>
      </c>
      <c r="T36" s="65"/>
      <c r="U36" s="187">
        <f>ROUND(((C36+O36)+(SUM(D36:N36)*2))/24,0)</f>
        <v>-8175571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12.75">
      <c r="A37" s="91"/>
      <c r="B37" s="101"/>
      <c r="C37" s="187"/>
      <c r="D37" s="187"/>
      <c r="E37" s="187"/>
      <c r="F37" s="187"/>
      <c r="G37" s="187"/>
      <c r="H37" s="297"/>
      <c r="I37" s="297"/>
      <c r="J37" s="297"/>
      <c r="K37" s="297"/>
      <c r="L37" s="297"/>
      <c r="M37" s="297"/>
      <c r="N37" s="297"/>
      <c r="O37" s="297"/>
      <c r="Q37" s="138"/>
      <c r="R37" s="290"/>
      <c r="S37" s="321"/>
      <c r="T37" s="321"/>
      <c r="U37" s="187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t="12.75">
      <c r="A38" s="91">
        <f>A36+1</f>
        <v>22</v>
      </c>
      <c r="B38" s="156" t="s">
        <v>31</v>
      </c>
      <c r="C38" s="213">
        <f aca="true" t="shared" si="15" ref="C38:L38">SUM(C36:C37)</f>
        <v>-7864333</v>
      </c>
      <c r="D38" s="213">
        <f t="shared" si="15"/>
        <v>-7864333</v>
      </c>
      <c r="E38" s="213">
        <f t="shared" si="15"/>
        <v>-7864333</v>
      </c>
      <c r="F38" s="213">
        <f t="shared" si="15"/>
        <v>-8031791</v>
      </c>
      <c r="G38" s="213">
        <f t="shared" si="15"/>
        <v>-8031791</v>
      </c>
      <c r="H38" s="213">
        <f t="shared" si="15"/>
        <v>-8031791</v>
      </c>
      <c r="I38" s="213">
        <f t="shared" si="15"/>
        <v>-8216815</v>
      </c>
      <c r="J38" s="213">
        <f t="shared" si="15"/>
        <v>-8216815</v>
      </c>
      <c r="K38" s="213">
        <f t="shared" si="15"/>
        <v>-8216815</v>
      </c>
      <c r="L38" s="213">
        <f t="shared" si="15"/>
        <v>-8509803</v>
      </c>
      <c r="M38" s="213">
        <f>SUM(M36:M37)</f>
        <v>-8509803</v>
      </c>
      <c r="N38" s="213">
        <f>SUM(N36:N37)</f>
        <v>-8509803</v>
      </c>
      <c r="O38" s="213">
        <f>SUM(O36:O37)</f>
        <v>-8341592</v>
      </c>
      <c r="P38" s="184"/>
      <c r="Q38" s="138"/>
      <c r="R38" s="290"/>
      <c r="T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t="12.75">
      <c r="A39" s="91">
        <f aca="true" t="shared" si="16" ref="A38:A44">+A38+1</f>
        <v>23</v>
      </c>
      <c r="B39" s="157" t="s">
        <v>159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84"/>
      <c r="Q39" s="138"/>
      <c r="R39" s="290"/>
      <c r="T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t="12.75">
      <c r="A40" s="91">
        <f t="shared" si="16"/>
        <v>24</v>
      </c>
      <c r="B40" s="159" t="s">
        <v>160</v>
      </c>
      <c r="C40" s="138">
        <f>-33374000-5849000</f>
        <v>-39223000</v>
      </c>
      <c r="D40" s="138">
        <f>-35811000-5849000</f>
        <v>-41660000</v>
      </c>
      <c r="E40" s="138">
        <f>-26199000-5849000</f>
        <v>-32048000</v>
      </c>
      <c r="F40" s="138">
        <f>-4366000-5849000</f>
        <v>-10215000</v>
      </c>
      <c r="G40" s="138">
        <f>11482000-5849000</f>
        <v>5633000</v>
      </c>
      <c r="H40" s="138">
        <f>45471000-5849000</f>
        <v>39622000</v>
      </c>
      <c r="I40" s="138">
        <f>359000-5849000</f>
        <v>-5490000</v>
      </c>
      <c r="J40" s="138">
        <f>16384000-5849000</f>
        <v>10535000</v>
      </c>
      <c r="K40" s="138">
        <f>12223000-5849000</f>
        <v>6374000</v>
      </c>
      <c r="L40" s="138">
        <f>11470000-5849000</f>
        <v>5621000</v>
      </c>
      <c r="M40" s="138">
        <f>9277000-5849000</f>
        <v>3428000</v>
      </c>
      <c r="N40" s="138">
        <f>7369000-5849000</f>
        <v>1520000</v>
      </c>
      <c r="O40" s="138">
        <f>9750000-5849000</f>
        <v>3901000</v>
      </c>
      <c r="P40" s="184"/>
      <c r="Q40" s="138"/>
      <c r="R40" s="290" t="s">
        <v>224</v>
      </c>
      <c r="T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2.75">
      <c r="A41" s="91">
        <f t="shared" si="16"/>
        <v>25</v>
      </c>
      <c r="B41" s="159" t="s">
        <v>110</v>
      </c>
      <c r="C41" s="187">
        <v>-9150707</v>
      </c>
      <c r="D41" s="187">
        <v>-9124293</v>
      </c>
      <c r="E41" s="187">
        <v>-8510696</v>
      </c>
      <c r="F41" s="187">
        <v>-8333654</v>
      </c>
      <c r="G41" s="187">
        <v>-8029266</v>
      </c>
      <c r="H41" s="187">
        <v>-7563110</v>
      </c>
      <c r="I41" s="187">
        <v>-7536696</v>
      </c>
      <c r="J41" s="187">
        <v>-7510282</v>
      </c>
      <c r="K41" s="187">
        <v>-7483868</v>
      </c>
      <c r="L41" s="187">
        <v>-7457454</v>
      </c>
      <c r="M41" s="187">
        <v>-7431040</v>
      </c>
      <c r="N41" s="187">
        <v>-10686685</v>
      </c>
      <c r="O41" s="187">
        <v>-10646048</v>
      </c>
      <c r="Q41" s="138"/>
      <c r="R41" s="290" t="s">
        <v>225</v>
      </c>
      <c r="T41" s="65"/>
      <c r="U41" s="322">
        <f>ROUND(((C41+O41)+(SUM(D41:N41)*2))/24,0)</f>
        <v>-8297118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t="12.75">
      <c r="A42" s="91">
        <f t="shared" si="16"/>
        <v>26</v>
      </c>
      <c r="B42" s="159" t="s">
        <v>111</v>
      </c>
      <c r="C42" s="187">
        <v>-167328229</v>
      </c>
      <c r="D42" s="187">
        <v>-166192908</v>
      </c>
      <c r="E42" s="187">
        <v>-165057588</v>
      </c>
      <c r="F42" s="187">
        <v>-87404091</v>
      </c>
      <c r="G42" s="187">
        <v>-86737009</v>
      </c>
      <c r="H42" s="187">
        <v>-86069926</v>
      </c>
      <c r="I42" s="187">
        <v>-85402844</v>
      </c>
      <c r="J42" s="187">
        <v>-84735762</v>
      </c>
      <c r="K42" s="187">
        <v>-84068679</v>
      </c>
      <c r="L42" s="187">
        <v>-83980027</v>
      </c>
      <c r="M42" s="187">
        <v>-83317669</v>
      </c>
      <c r="N42" s="187">
        <v>-79491056</v>
      </c>
      <c r="O42" s="187">
        <v>-78832140</v>
      </c>
      <c r="Q42" s="138"/>
      <c r="R42" s="290" t="s">
        <v>225</v>
      </c>
      <c r="T42" s="65"/>
      <c r="U42" s="322">
        <f>ROUND(((C42+O42)+(SUM(D42:N42)*2))/24,0)</f>
        <v>-101294812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12.75">
      <c r="A43" s="91">
        <f t="shared" si="16"/>
        <v>27</v>
      </c>
      <c r="B43" s="160" t="s">
        <v>112</v>
      </c>
      <c r="C43" s="158">
        <f aca="true" t="shared" si="17" ref="C43:L43">SUM(C40:C42)</f>
        <v>-215701936</v>
      </c>
      <c r="D43" s="158">
        <f t="shared" si="17"/>
        <v>-216977201</v>
      </c>
      <c r="E43" s="158">
        <f t="shared" si="17"/>
        <v>-205616284</v>
      </c>
      <c r="F43" s="158">
        <f t="shared" si="17"/>
        <v>-105952745</v>
      </c>
      <c r="G43" s="158">
        <f t="shared" si="17"/>
        <v>-89133275</v>
      </c>
      <c r="H43" s="158">
        <f t="shared" si="17"/>
        <v>-54011036</v>
      </c>
      <c r="I43" s="158">
        <f t="shared" si="17"/>
        <v>-98429540</v>
      </c>
      <c r="J43" s="158">
        <f t="shared" si="17"/>
        <v>-81711044</v>
      </c>
      <c r="K43" s="158">
        <f t="shared" si="17"/>
        <v>-85178547</v>
      </c>
      <c r="L43" s="158">
        <f t="shared" si="17"/>
        <v>-85816481</v>
      </c>
      <c r="M43" s="158">
        <f>SUM(M40:M42)</f>
        <v>-87320709</v>
      </c>
      <c r="N43" s="158">
        <f>SUM(N40:N42)</f>
        <v>-88657741</v>
      </c>
      <c r="O43" s="158">
        <f>SUM(O40:O42)</f>
        <v>-85577188</v>
      </c>
      <c r="P43" s="184"/>
      <c r="Q43" s="138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ht="13.5" thickBot="1">
      <c r="A44" s="91">
        <f t="shared" si="16"/>
        <v>28</v>
      </c>
      <c r="B44" s="103" t="s">
        <v>96</v>
      </c>
      <c r="C44" s="302">
        <f aca="true" t="shared" si="18" ref="C44:L44">+C34-C38-C43</f>
        <v>3522192191</v>
      </c>
      <c r="D44" s="302">
        <f t="shared" si="18"/>
        <v>3539360308</v>
      </c>
      <c r="E44" s="302">
        <f t="shared" si="18"/>
        <v>3570219919</v>
      </c>
      <c r="F44" s="302">
        <f t="shared" si="18"/>
        <v>3554741871</v>
      </c>
      <c r="G44" s="302">
        <f t="shared" si="18"/>
        <v>3589632698</v>
      </c>
      <c r="H44" s="302">
        <f t="shared" si="18"/>
        <v>3623640242</v>
      </c>
      <c r="I44" s="302">
        <f t="shared" si="18"/>
        <v>3597170491</v>
      </c>
      <c r="J44" s="302">
        <f t="shared" si="18"/>
        <v>3620219314</v>
      </c>
      <c r="K44" s="302">
        <f t="shared" si="18"/>
        <v>3506817115</v>
      </c>
      <c r="L44" s="302">
        <f t="shared" si="18"/>
        <v>3514672305</v>
      </c>
      <c r="M44" s="302">
        <f>+M34-M38-M43</f>
        <v>3505698529</v>
      </c>
      <c r="N44" s="302">
        <f>+N34-N38-N43</f>
        <v>3513333780</v>
      </c>
      <c r="O44" s="302">
        <f>+O34-O38-O43</f>
        <v>3461352136</v>
      </c>
      <c r="P44" s="323"/>
      <c r="Q44" s="138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9:53" ht="13.5" thickTop="1">
      <c r="I45" s="138"/>
      <c r="J45" s="138"/>
      <c r="K45" s="138"/>
      <c r="L45" s="138"/>
      <c r="M45" s="138"/>
      <c r="N45" s="138"/>
      <c r="O45" s="138"/>
      <c r="Q45" s="138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</row>
    <row r="46" spans="3:53" ht="12.75">
      <c r="C46" s="138"/>
      <c r="D46" s="138"/>
      <c r="G46" s="2" t="s">
        <v>178</v>
      </c>
      <c r="H46" s="2" t="s">
        <v>179</v>
      </c>
      <c r="I46" s="2" t="s">
        <v>180</v>
      </c>
      <c r="J46" s="187"/>
      <c r="K46" s="187"/>
      <c r="L46" s="187"/>
      <c r="M46" s="187"/>
      <c r="N46" s="187"/>
      <c r="O46" s="187"/>
      <c r="Q46" s="138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3:53" ht="12.75">
      <c r="C47" s="324"/>
      <c r="D47" s="324"/>
      <c r="F47" s="138" t="s">
        <v>181</v>
      </c>
      <c r="G47" s="325">
        <v>156598</v>
      </c>
      <c r="H47" s="325">
        <v>29998</v>
      </c>
      <c r="I47" s="325">
        <v>148998</v>
      </c>
      <c r="J47" s="187"/>
      <c r="K47" s="187"/>
      <c r="L47" s="187"/>
      <c r="M47" s="187"/>
      <c r="N47" s="187"/>
      <c r="O47" s="187"/>
      <c r="Q47" s="138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3:53" ht="12.75">
      <c r="C48" s="187"/>
      <c r="D48" s="187"/>
      <c r="F48" s="324" t="s">
        <v>182</v>
      </c>
      <c r="G48" s="325">
        <v>3503845</v>
      </c>
      <c r="H48" s="325">
        <v>3503845</v>
      </c>
      <c r="I48" s="325">
        <v>3503845</v>
      </c>
      <c r="J48" s="187"/>
      <c r="K48" s="187"/>
      <c r="L48" s="187"/>
      <c r="M48" s="187"/>
      <c r="N48" s="187"/>
      <c r="O48" s="187"/>
      <c r="Q48" s="138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</row>
    <row r="49" spans="3:53" ht="12.75">
      <c r="C49" s="326"/>
      <c r="D49" s="326"/>
      <c r="F49" s="187" t="s">
        <v>183</v>
      </c>
      <c r="G49" s="325">
        <v>0</v>
      </c>
      <c r="H49" s="325">
        <v>0</v>
      </c>
      <c r="I49" s="325">
        <v>0</v>
      </c>
      <c r="J49" s="326"/>
      <c r="K49" s="326"/>
      <c r="L49" s="326"/>
      <c r="M49" s="187"/>
      <c r="N49" s="187"/>
      <c r="O49" s="187"/>
      <c r="Q49" s="138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3:53" ht="12.75">
      <c r="C50" s="138"/>
      <c r="D50" s="138"/>
      <c r="E50" s="138"/>
      <c r="F50" s="326" t="s">
        <v>184</v>
      </c>
      <c r="G50" s="325">
        <v>3192795</v>
      </c>
      <c r="H50" s="325">
        <v>3271199</v>
      </c>
      <c r="I50" s="325">
        <v>3247987</v>
      </c>
      <c r="J50" s="138"/>
      <c r="K50" s="138"/>
      <c r="L50" s="138"/>
      <c r="M50" s="138"/>
      <c r="N50" s="138"/>
      <c r="O50" s="138"/>
      <c r="Q50" s="138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</row>
    <row r="51" spans="3:17" ht="12.75"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Q51" s="138"/>
    </row>
    <row r="52" spans="3:17" ht="12.75"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Q52" s="138"/>
    </row>
    <row r="53" spans="3:17" ht="12.75">
      <c r="C53" s="327"/>
      <c r="D53" s="327"/>
      <c r="E53" s="327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Q53" s="138"/>
    </row>
    <row r="54" ht="12.75">
      <c r="Q54" s="138"/>
    </row>
    <row r="55" ht="12.75">
      <c r="Q55" s="138"/>
    </row>
    <row r="56" ht="12.75">
      <c r="Q56" s="138"/>
    </row>
    <row r="57" ht="12.75">
      <c r="Q57" s="138"/>
    </row>
    <row r="58" ht="12.75">
      <c r="Q58" s="138"/>
    </row>
    <row r="59" ht="12.75">
      <c r="Q59" s="138"/>
    </row>
    <row r="60" ht="12.75">
      <c r="Q60" s="138"/>
    </row>
    <row r="61" ht="12.75">
      <c r="Q61" s="138"/>
    </row>
  </sheetData>
  <sheetProtection/>
  <mergeCells count="4">
    <mergeCell ref="A4:P4"/>
    <mergeCell ref="A3:P3"/>
    <mergeCell ref="A2:P2"/>
    <mergeCell ref="A1:P1"/>
  </mergeCells>
  <printOptions horizontalCentered="1" verticalCentered="1"/>
  <pageMargins left="0.2" right="0.2" top="0.28" bottom="0.4" header="0.26" footer="0.22"/>
  <pageSetup fitToHeight="1" fitToWidth="1" horizontalDpi="600" verticalDpi="600" orientation="landscape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selection activeCell="A1" sqref="A1:IV16384"/>
    </sheetView>
  </sheetViews>
  <sheetFormatPr defaultColWidth="11.5" defaultRowHeight="11.25"/>
  <cols>
    <col min="1" max="1" width="8.33203125" style="43" customWidth="1"/>
    <col min="2" max="2" width="46" style="43" customWidth="1"/>
    <col min="3" max="3" width="17.16015625" style="43" customWidth="1"/>
    <col min="4" max="4" width="11.5" style="43" customWidth="1"/>
    <col min="5" max="5" width="14.33203125" style="43" customWidth="1"/>
    <col min="6" max="6" width="13.5" style="43" customWidth="1"/>
    <col min="7" max="7" width="12.83203125" style="43" customWidth="1"/>
    <col min="8" max="8" width="11.83203125" style="43" customWidth="1"/>
    <col min="9" max="253" width="8.83203125" style="43" customWidth="1"/>
    <col min="254" max="16384" width="11.5" style="43" customWidth="1"/>
  </cols>
  <sheetData>
    <row r="1" spans="1:6" ht="12.75">
      <c r="A1" s="379" t="s">
        <v>22</v>
      </c>
      <c r="B1" s="379"/>
      <c r="C1" s="379"/>
      <c r="D1" s="379"/>
      <c r="E1" s="379"/>
      <c r="F1" s="379"/>
    </row>
    <row r="2" spans="1:6" ht="12.75">
      <c r="A2" s="379" t="s">
        <v>34</v>
      </c>
      <c r="B2" s="379"/>
      <c r="C2" s="379"/>
      <c r="D2" s="379"/>
      <c r="E2" s="379"/>
      <c r="F2" s="379"/>
    </row>
    <row r="3" spans="1:6" ht="15.75" customHeight="1">
      <c r="A3" s="380">
        <f>+'Pg 1 CofCap'!A4</f>
        <v>41912</v>
      </c>
      <c r="B3" s="380"/>
      <c r="C3" s="380"/>
      <c r="D3" s="380"/>
      <c r="E3" s="380"/>
      <c r="F3" s="380"/>
    </row>
    <row r="4" spans="2:6" ht="12.75" customHeight="1">
      <c r="B4" s="358"/>
      <c r="C4" s="358"/>
      <c r="D4" s="359"/>
      <c r="E4" s="359"/>
      <c r="F4" s="359"/>
    </row>
    <row r="5" ht="12.75">
      <c r="A5" s="49" t="s">
        <v>1</v>
      </c>
    </row>
    <row r="6" spans="1:3" ht="12.75">
      <c r="A6" s="49" t="s">
        <v>1</v>
      </c>
      <c r="C6" s="43" t="s">
        <v>1</v>
      </c>
    </row>
    <row r="7" spans="1:6" ht="12.75">
      <c r="A7" s="49">
        <v>1</v>
      </c>
      <c r="B7" s="45" t="s">
        <v>2</v>
      </c>
      <c r="C7" s="45" t="s">
        <v>24</v>
      </c>
      <c r="D7" s="45" t="s">
        <v>47</v>
      </c>
      <c r="E7" s="45" t="s">
        <v>58</v>
      </c>
      <c r="F7" s="45" t="s">
        <v>59</v>
      </c>
    </row>
    <row r="8" spans="1:6" ht="12.75">
      <c r="A8" s="49">
        <f aca="true" t="shared" si="0" ref="A8:A26">A7+1</f>
        <v>2</v>
      </c>
      <c r="B8" s="44"/>
      <c r="C8" s="45"/>
      <c r="D8" s="44"/>
      <c r="E8" s="44"/>
      <c r="F8" s="44"/>
    </row>
    <row r="9" spans="1:6" ht="12.75">
      <c r="A9" s="49">
        <f t="shared" si="0"/>
        <v>3</v>
      </c>
      <c r="B9" s="44"/>
      <c r="C9" s="45" t="s">
        <v>48</v>
      </c>
      <c r="D9" s="45" t="s">
        <v>35</v>
      </c>
      <c r="E9" s="45" t="s">
        <v>15</v>
      </c>
      <c r="F9" s="45" t="s">
        <v>8</v>
      </c>
    </row>
    <row r="10" spans="1:6" ht="12.75">
      <c r="A10" s="49">
        <f t="shared" si="0"/>
        <v>4</v>
      </c>
      <c r="B10" s="46" t="s">
        <v>6</v>
      </c>
      <c r="C10" s="46" t="s">
        <v>72</v>
      </c>
      <c r="D10" s="46" t="s">
        <v>16</v>
      </c>
      <c r="E10" s="46" t="s">
        <v>17</v>
      </c>
      <c r="F10" s="46" t="s">
        <v>16</v>
      </c>
    </row>
    <row r="11" spans="1:6" ht="12.75">
      <c r="A11" s="49">
        <f t="shared" si="0"/>
        <v>5</v>
      </c>
      <c r="B11" s="47"/>
      <c r="C11" s="48"/>
      <c r="D11" s="48"/>
      <c r="E11" s="49"/>
      <c r="F11" s="48"/>
    </row>
    <row r="12" spans="1:7" ht="12.75">
      <c r="A12" s="49">
        <f t="shared" si="0"/>
        <v>6</v>
      </c>
      <c r="B12" s="47" t="s">
        <v>33</v>
      </c>
      <c r="C12" s="52">
        <f>'Pg 4 STD OS &amp; Comm Fees'!C11</f>
        <v>35260273.96</v>
      </c>
      <c r="D12" s="144">
        <f>IF(E12=0,"NA",(E12/C12))</f>
        <v>0.003263068520979807</v>
      </c>
      <c r="E12" s="52">
        <f>'Pg 4 STD OS &amp; Comm Fees'!D11</f>
        <v>115056.69</v>
      </c>
      <c r="F12" s="50"/>
      <c r="G12" s="51"/>
    </row>
    <row r="13" spans="1:7" ht="12.75">
      <c r="A13" s="49">
        <f t="shared" si="0"/>
        <v>7</v>
      </c>
      <c r="B13" s="43" t="s">
        <v>107</v>
      </c>
      <c r="C13" s="61">
        <f>'Pg 4 STD OS &amp; Comm Fees'!C12</f>
        <v>29289881.31041097</v>
      </c>
      <c r="D13" s="144">
        <f>IF(E13=0,"NA",(E13/C13))</f>
        <v>0.006138853827860633</v>
      </c>
      <c r="E13" s="52">
        <f>'Pg 4 STD OS &amp; Comm Fees'!D12</f>
        <v>179806.3</v>
      </c>
      <c r="F13" s="50"/>
      <c r="G13" s="51"/>
    </row>
    <row r="14" spans="1:7" ht="12.75">
      <c r="A14" s="49">
        <v>10</v>
      </c>
      <c r="B14" s="43" t="s">
        <v>187</v>
      </c>
      <c r="C14" s="61">
        <f>'Pg 4 STD OS &amp; Comm Fees'!C13</f>
        <v>4383561.640000001</v>
      </c>
      <c r="D14" s="144">
        <f>IF(E14=0,"NA",(E14/C14))</f>
        <v>0.01759479079664544</v>
      </c>
      <c r="E14" s="52">
        <f>'Pg 4 STD OS &amp; Comm Fees'!D13</f>
        <v>77127.85</v>
      </c>
      <c r="F14" s="50"/>
      <c r="G14" s="51"/>
    </row>
    <row r="15" spans="1:7" ht="12.75">
      <c r="A15" s="49">
        <f t="shared" si="0"/>
        <v>11</v>
      </c>
      <c r="B15" s="215" t="s">
        <v>147</v>
      </c>
      <c r="C15" s="217">
        <f>SUM(C12:C14)</f>
        <v>68933716.91041097</v>
      </c>
      <c r="D15" s="218">
        <f>IF(E15=0,"NA",(E15/C15))</f>
        <v>0.005396355465402427</v>
      </c>
      <c r="E15" s="216">
        <f>SUM(E12:E14)</f>
        <v>371990.83999999997</v>
      </c>
      <c r="F15" s="50"/>
      <c r="G15" s="51"/>
    </row>
    <row r="16" spans="1:7" ht="12.75">
      <c r="A16" s="49">
        <f t="shared" si="0"/>
        <v>12</v>
      </c>
      <c r="C16" s="62"/>
      <c r="D16" s="145"/>
      <c r="E16" s="53"/>
      <c r="G16" s="51"/>
    </row>
    <row r="17" spans="1:7" ht="12.75">
      <c r="A17" s="49">
        <f t="shared" si="0"/>
        <v>13</v>
      </c>
      <c r="B17" s="47" t="s">
        <v>49</v>
      </c>
      <c r="C17" s="63"/>
      <c r="D17" s="64"/>
      <c r="E17" s="225">
        <f>'Pg 4 STD OS &amp; Comm Fees'!F15</f>
        <v>1318081.9542296669</v>
      </c>
      <c r="F17" s="133" t="s">
        <v>71</v>
      </c>
      <c r="G17" s="51"/>
    </row>
    <row r="18" spans="1:7" ht="12.75">
      <c r="A18" s="49">
        <f t="shared" si="0"/>
        <v>14</v>
      </c>
      <c r="B18" s="47"/>
      <c r="C18" s="54"/>
      <c r="D18" s="55"/>
      <c r="E18" s="59"/>
      <c r="F18" s="50"/>
      <c r="G18" s="51"/>
    </row>
    <row r="19" spans="1:7" ht="12.75">
      <c r="A19" s="49">
        <f t="shared" si="0"/>
        <v>15</v>
      </c>
      <c r="B19" s="47" t="s">
        <v>50</v>
      </c>
      <c r="C19" s="54"/>
      <c r="D19" s="55"/>
      <c r="E19" s="225">
        <f>-'Pg 5 STD Amort'!G28</f>
        <v>1171402.0899999999</v>
      </c>
      <c r="F19" s="133" t="s">
        <v>91</v>
      </c>
      <c r="G19" s="51"/>
    </row>
    <row r="20" spans="1:5" ht="13.5" thickBot="1">
      <c r="A20" s="49">
        <f t="shared" si="0"/>
        <v>16</v>
      </c>
      <c r="C20" s="53"/>
      <c r="D20" s="52"/>
      <c r="E20" s="60"/>
    </row>
    <row r="21" spans="1:7" ht="13.5" thickBot="1">
      <c r="A21" s="49">
        <f t="shared" si="0"/>
        <v>17</v>
      </c>
      <c r="B21" s="56" t="s">
        <v>36</v>
      </c>
      <c r="C21" s="57">
        <f>C15</f>
        <v>68933716.91041097</v>
      </c>
      <c r="D21" s="58"/>
      <c r="E21" s="57">
        <f>SUM(E15:E20)</f>
        <v>2861474.8842296666</v>
      </c>
      <c r="F21" s="149">
        <f>E21/C21</f>
        <v>0.041510526524321245</v>
      </c>
      <c r="G21" s="51"/>
    </row>
    <row r="22" spans="1:7" ht="12.75">
      <c r="A22" s="49">
        <f t="shared" si="0"/>
        <v>18</v>
      </c>
      <c r="G22" s="51"/>
    </row>
    <row r="23" spans="1:7" ht="12.75">
      <c r="A23" s="49">
        <f t="shared" si="0"/>
        <v>19</v>
      </c>
      <c r="E23" s="51"/>
      <c r="F23" s="50"/>
      <c r="G23" s="51"/>
    </row>
    <row r="24" spans="1:7" ht="12.75">
      <c r="A24" s="49">
        <f t="shared" si="0"/>
        <v>20</v>
      </c>
      <c r="B24" s="92" t="s">
        <v>164</v>
      </c>
      <c r="C24" s="360"/>
      <c r="D24" s="360"/>
      <c r="E24" s="360"/>
      <c r="F24" s="47"/>
      <c r="G24" s="51"/>
    </row>
    <row r="25" spans="1:7" ht="12.75">
      <c r="A25" s="49">
        <f t="shared" si="0"/>
        <v>21</v>
      </c>
      <c r="B25" s="92" t="s">
        <v>140</v>
      </c>
      <c r="C25" s="360"/>
      <c r="D25" s="360"/>
      <c r="E25" s="360"/>
      <c r="F25" s="47"/>
      <c r="G25" s="51"/>
    </row>
    <row r="26" spans="1:7" ht="12.75">
      <c r="A26" s="49">
        <f t="shared" si="0"/>
        <v>22</v>
      </c>
      <c r="B26" s="92" t="s">
        <v>163</v>
      </c>
      <c r="C26" s="47"/>
      <c r="D26" s="47"/>
      <c r="E26" s="47"/>
      <c r="F26" s="47"/>
      <c r="G26" s="51"/>
    </row>
    <row r="27" spans="1:7" ht="12.75">
      <c r="A27" s="49"/>
      <c r="B27" s="92"/>
      <c r="E27" s="51"/>
      <c r="F27" s="50"/>
      <c r="G27" s="51"/>
    </row>
    <row r="28" spans="1:2" ht="12.75">
      <c r="A28" s="49"/>
      <c r="B28" s="92"/>
    </row>
    <row r="29" spans="1:2" ht="12.75">
      <c r="A29" s="49"/>
      <c r="B29" s="47"/>
    </row>
    <row r="30" spans="1:2" ht="12.75">
      <c r="A30" s="49"/>
      <c r="B30" s="47"/>
    </row>
    <row r="31" ht="12.75">
      <c r="A31" s="49" t="s">
        <v>1</v>
      </c>
    </row>
    <row r="32" ht="12.75" customHeight="1">
      <c r="A32" s="361"/>
    </row>
    <row r="33" spans="1:7" ht="12.75">
      <c r="A33" s="49" t="s">
        <v>1</v>
      </c>
      <c r="E33" s="51"/>
      <c r="F33" s="50"/>
      <c r="G33" s="51"/>
    </row>
    <row r="34" spans="1:7" ht="12.75">
      <c r="A34" s="49" t="s">
        <v>1</v>
      </c>
      <c r="E34" s="51"/>
      <c r="F34" s="50"/>
      <c r="G34" s="51"/>
    </row>
    <row r="35" spans="5:7" ht="12.75">
      <c r="E35" s="51"/>
      <c r="F35" s="50"/>
      <c r="G35" s="51"/>
    </row>
    <row r="39" spans="4:7" ht="12.75">
      <c r="D39" s="362"/>
      <c r="E39" s="51"/>
      <c r="F39" s="50"/>
      <c r="G39" s="51"/>
    </row>
    <row r="40" spans="4:7" ht="12.75">
      <c r="D40" s="362"/>
      <c r="E40" s="51"/>
      <c r="F40" s="50"/>
      <c r="G40" s="51"/>
    </row>
    <row r="41" spans="4:7" ht="12.75">
      <c r="D41" s="362"/>
      <c r="E41" s="51"/>
      <c r="F41" s="50"/>
      <c r="G41" s="51"/>
    </row>
    <row r="42" spans="4:7" ht="12.75">
      <c r="D42" s="362"/>
      <c r="E42" s="51"/>
      <c r="F42" s="50"/>
      <c r="G42" s="51"/>
    </row>
    <row r="43" ht="12.75">
      <c r="E43" s="51"/>
    </row>
    <row r="44" spans="5:7" ht="12.75">
      <c r="E44" s="51"/>
      <c r="G44" s="51"/>
    </row>
    <row r="53" ht="12.75">
      <c r="B53" s="362"/>
    </row>
    <row r="54" ht="12.75">
      <c r="B54" s="47"/>
    </row>
    <row r="71" ht="12.75">
      <c r="F71" s="50"/>
    </row>
    <row r="82" ht="12.75">
      <c r="D82" s="362"/>
    </row>
    <row r="84" ht="12.75">
      <c r="D84" s="362"/>
    </row>
    <row r="87" ht="12.75">
      <c r="D87" s="362"/>
    </row>
    <row r="88" ht="12.75">
      <c r="D88" s="362"/>
    </row>
    <row r="93" ht="12.75">
      <c r="D93" s="362"/>
    </row>
    <row r="94" ht="12.75">
      <c r="D94" s="362"/>
    </row>
    <row r="101" ht="12.75">
      <c r="C101" s="363"/>
    </row>
    <row r="102" ht="12.75">
      <c r="C102" s="364"/>
    </row>
    <row r="104" ht="12.75">
      <c r="C104" s="363"/>
    </row>
    <row r="105" ht="12.75">
      <c r="C105" s="5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0.65" bottom="0.63" header="0.5" footer="0.31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16" sqref="D16"/>
    </sheetView>
  </sheetViews>
  <sheetFormatPr defaultColWidth="9.33203125" defaultRowHeight="11.25"/>
  <cols>
    <col min="1" max="1" width="5.66015625" style="329" bestFit="1" customWidth="1"/>
    <col min="2" max="2" width="24.66015625" style="329" customWidth="1"/>
    <col min="3" max="3" width="16.16015625" style="329" customWidth="1"/>
    <col min="4" max="4" width="15.16015625" style="329" customWidth="1"/>
    <col min="5" max="5" width="11.83203125" style="329" customWidth="1"/>
    <col min="6" max="7" width="15" style="329" customWidth="1"/>
    <col min="8" max="8" width="14.83203125" style="329" customWidth="1"/>
    <col min="9" max="10" width="12.83203125" style="329" customWidth="1"/>
    <col min="11" max="11" width="5.83203125" style="329" customWidth="1"/>
    <col min="12" max="12" width="10" style="329" customWidth="1"/>
    <col min="13" max="13" width="11.16015625" style="329" customWidth="1"/>
    <col min="14" max="14" width="11.5" style="329" customWidth="1"/>
    <col min="15" max="16384" width="9.33203125" style="329" customWidth="1"/>
  </cols>
  <sheetData>
    <row r="1" spans="1:14" ht="12">
      <c r="A1" s="386" t="s">
        <v>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14"/>
      <c r="M1" s="14"/>
      <c r="N1" s="14"/>
    </row>
    <row r="2" spans="1:14" ht="12">
      <c r="A2" s="386" t="s">
        <v>230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M2" s="14"/>
      <c r="N2" s="14"/>
    </row>
    <row r="3" spans="1:14" ht="12" customHeight="1">
      <c r="A3" s="385">
        <f>'Pg 1 CofCap'!A4</f>
        <v>41912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M3" s="14"/>
      <c r="N3" s="14"/>
    </row>
    <row r="4" spans="1:14" ht="12">
      <c r="A4" s="14"/>
      <c r="B4" s="15"/>
      <c r="C4" s="21"/>
      <c r="D4" s="14"/>
      <c r="E4" s="14"/>
      <c r="F4" s="14"/>
      <c r="G4" s="14"/>
      <c r="H4" s="14"/>
      <c r="I4" s="14"/>
      <c r="J4" s="14"/>
      <c r="K4" s="14"/>
      <c r="M4" s="14"/>
      <c r="N4" s="14"/>
    </row>
    <row r="5" spans="1:14" ht="13.5" thickBot="1">
      <c r="A5" s="330">
        <v>1</v>
      </c>
      <c r="B5" s="227" t="s">
        <v>2</v>
      </c>
      <c r="C5" s="227" t="s">
        <v>24</v>
      </c>
      <c r="D5" s="227" t="s">
        <v>47</v>
      </c>
      <c r="E5" s="227" t="s">
        <v>58</v>
      </c>
      <c r="F5" s="227" t="s">
        <v>59</v>
      </c>
      <c r="G5" s="227" t="s">
        <v>60</v>
      </c>
      <c r="H5" s="227" t="s">
        <v>61</v>
      </c>
      <c r="I5" s="227" t="s">
        <v>62</v>
      </c>
      <c r="J5" s="227" t="s">
        <v>63</v>
      </c>
      <c r="K5" s="45"/>
      <c r="M5" s="14"/>
      <c r="N5" s="14"/>
    </row>
    <row r="6" spans="1:14" ht="12">
      <c r="A6" s="330">
        <f>+A5+1</f>
        <v>2</v>
      </c>
      <c r="B6" s="228" t="s">
        <v>113</v>
      </c>
      <c r="C6" s="229"/>
      <c r="D6" s="229"/>
      <c r="E6" s="229"/>
      <c r="F6" s="229"/>
      <c r="G6" s="229"/>
      <c r="H6" s="331"/>
      <c r="I6" s="331"/>
      <c r="J6" s="331"/>
      <c r="K6" s="332"/>
      <c r="L6" s="14"/>
      <c r="M6" s="14"/>
      <c r="N6" s="14"/>
    </row>
    <row r="7" spans="1:14" ht="12">
      <c r="A7" s="330">
        <f>+A6+1</f>
        <v>3</v>
      </c>
      <c r="B7" s="140"/>
      <c r="C7" s="141"/>
      <c r="D7" s="141"/>
      <c r="E7" s="141"/>
      <c r="F7" s="141" t="s">
        <v>1</v>
      </c>
      <c r="G7" s="16" t="s">
        <v>1</v>
      </c>
      <c r="H7" s="16"/>
      <c r="I7" s="16"/>
      <c r="J7" s="16"/>
      <c r="K7" s="230" t="s">
        <v>1</v>
      </c>
      <c r="L7" s="14"/>
      <c r="M7" s="14"/>
      <c r="N7" s="14"/>
    </row>
    <row r="8" spans="1:14" ht="12">
      <c r="A8" s="330">
        <f>A7+1</f>
        <v>4</v>
      </c>
      <c r="B8" s="140"/>
      <c r="C8" s="146" t="s">
        <v>45</v>
      </c>
      <c r="D8" s="146" t="s">
        <v>106</v>
      </c>
      <c r="E8" s="146" t="s">
        <v>45</v>
      </c>
      <c r="F8" s="146" t="s">
        <v>123</v>
      </c>
      <c r="G8" s="16"/>
      <c r="H8" s="16"/>
      <c r="I8" s="16"/>
      <c r="J8" s="16"/>
      <c r="K8" s="230"/>
      <c r="L8" s="14"/>
      <c r="M8" s="14"/>
      <c r="N8" s="14"/>
    </row>
    <row r="9" spans="1:14" ht="12">
      <c r="A9" s="330">
        <f>A8+1</f>
        <v>5</v>
      </c>
      <c r="B9" s="140"/>
      <c r="C9" s="147" t="s">
        <v>142</v>
      </c>
      <c r="D9" s="147" t="s">
        <v>35</v>
      </c>
      <c r="E9" s="147" t="s">
        <v>92</v>
      </c>
      <c r="F9" s="147" t="s">
        <v>143</v>
      </c>
      <c r="G9" s="18"/>
      <c r="H9" s="18"/>
      <c r="I9" s="16"/>
      <c r="J9" s="16"/>
      <c r="K9" s="230"/>
      <c r="L9" s="165"/>
      <c r="M9" s="14"/>
      <c r="N9" s="14"/>
    </row>
    <row r="10" spans="1:14" ht="12">
      <c r="A10" s="330">
        <f>A9+1</f>
        <v>6</v>
      </c>
      <c r="B10" s="140"/>
      <c r="C10" s="333"/>
      <c r="D10" s="333"/>
      <c r="E10" s="333"/>
      <c r="F10" s="334"/>
      <c r="G10" s="16"/>
      <c r="H10" s="16"/>
      <c r="I10" s="16"/>
      <c r="J10" s="16"/>
      <c r="K10" s="230"/>
      <c r="L10" s="14"/>
      <c r="N10" s="14"/>
    </row>
    <row r="11" spans="1:14" ht="12">
      <c r="A11" s="330">
        <f aca="true" t="shared" si="0" ref="A11:A32">A10+1</f>
        <v>7</v>
      </c>
      <c r="B11" s="140" t="s">
        <v>33</v>
      </c>
      <c r="C11" s="174">
        <v>35260273.96</v>
      </c>
      <c r="D11" s="174">
        <v>115056.69</v>
      </c>
      <c r="E11" s="181">
        <f>IF(C11=0,"NA",(D11/C11))</f>
        <v>0.003263068520979807</v>
      </c>
      <c r="F11" s="335">
        <v>0</v>
      </c>
      <c r="G11" s="336"/>
      <c r="I11" s="16"/>
      <c r="J11" s="16"/>
      <c r="K11" s="230"/>
      <c r="L11" s="240"/>
      <c r="N11" s="14"/>
    </row>
    <row r="12" spans="1:14" ht="12">
      <c r="A12" s="330">
        <f t="shared" si="0"/>
        <v>8</v>
      </c>
      <c r="B12" s="140" t="s">
        <v>107</v>
      </c>
      <c r="C12" s="174">
        <v>29289881.31041097</v>
      </c>
      <c r="D12" s="174">
        <v>179806.3</v>
      </c>
      <c r="E12" s="181">
        <f>IF(C12=0,"NA",(D12/C12))</f>
        <v>0.006138853827860633</v>
      </c>
      <c r="F12" s="335">
        <v>0</v>
      </c>
      <c r="G12" s="336"/>
      <c r="H12" s="337"/>
      <c r="I12" s="16"/>
      <c r="J12" s="16"/>
      <c r="K12" s="230"/>
      <c r="L12" s="240"/>
      <c r="N12" s="14"/>
    </row>
    <row r="13" spans="1:14" ht="12">
      <c r="A13" s="330">
        <v>9</v>
      </c>
      <c r="B13" s="140" t="s">
        <v>187</v>
      </c>
      <c r="C13" s="174">
        <f>4246575.34+68493.15+68493.15</f>
        <v>4383561.640000001</v>
      </c>
      <c r="D13" s="174">
        <f>72333.33+4794.52</f>
        <v>77127.85</v>
      </c>
      <c r="E13" s="181">
        <f>IF(C13=0,"NA",(D13/C13))</f>
        <v>0.01759479079664544</v>
      </c>
      <c r="F13" s="143">
        <f>J22</f>
        <v>1251689.557713</v>
      </c>
      <c r="G13" s="336"/>
      <c r="H13" s="338"/>
      <c r="I13" s="16"/>
      <c r="J13" s="16"/>
      <c r="K13" s="230"/>
      <c r="L13" s="240"/>
      <c r="N13" s="14"/>
    </row>
    <row r="14" spans="1:14" ht="12">
      <c r="A14" s="330">
        <f>A13+1</f>
        <v>10</v>
      </c>
      <c r="B14" s="140" t="s">
        <v>149</v>
      </c>
      <c r="C14" s="174"/>
      <c r="D14" s="174"/>
      <c r="E14" s="181"/>
      <c r="F14" s="143">
        <f>J29</f>
        <v>66392.39651666666</v>
      </c>
      <c r="G14" s="336"/>
      <c r="H14" s="337"/>
      <c r="I14" s="16"/>
      <c r="J14" s="16"/>
      <c r="K14" s="230"/>
      <c r="L14" s="139"/>
      <c r="M14" s="14"/>
      <c r="N14" s="14"/>
    </row>
    <row r="15" spans="1:14" ht="12.75" thickBot="1">
      <c r="A15" s="330">
        <f t="shared" si="0"/>
        <v>11</v>
      </c>
      <c r="B15" s="220" t="s">
        <v>153</v>
      </c>
      <c r="C15" s="243">
        <f>SUM(C10:C14)</f>
        <v>68933716.91041097</v>
      </c>
      <c r="D15" s="245">
        <f>SUM(D10:D14)</f>
        <v>371990.83999999997</v>
      </c>
      <c r="E15" s="244">
        <f>D15/C15</f>
        <v>0.005396355465402427</v>
      </c>
      <c r="F15" s="245">
        <f>SUM(F10:F14)</f>
        <v>1318081.9542296669</v>
      </c>
      <c r="G15" s="16"/>
      <c r="H15" s="16"/>
      <c r="I15" s="16"/>
      <c r="J15" s="16"/>
      <c r="K15" s="230"/>
      <c r="L15" s="14"/>
      <c r="M15" s="14"/>
      <c r="N15" s="14"/>
    </row>
    <row r="16" spans="1:14" ht="12.75" thickTop="1">
      <c r="A16" s="330">
        <f t="shared" si="0"/>
        <v>12</v>
      </c>
      <c r="B16" s="140"/>
      <c r="C16" s="339"/>
      <c r="D16" s="340"/>
      <c r="E16" s="141"/>
      <c r="F16" s="339"/>
      <c r="G16" s="16"/>
      <c r="H16" s="16"/>
      <c r="I16" s="16"/>
      <c r="J16" s="16"/>
      <c r="K16" s="230"/>
      <c r="L16" s="14"/>
      <c r="M16" s="14"/>
      <c r="N16" s="14"/>
    </row>
    <row r="17" spans="1:14" ht="12.75" thickBot="1">
      <c r="A17" s="330">
        <f t="shared" si="0"/>
        <v>13</v>
      </c>
      <c r="B17" s="224"/>
      <c r="C17" s="142"/>
      <c r="D17" s="142"/>
      <c r="E17" s="142"/>
      <c r="F17" s="142"/>
      <c r="G17" s="231"/>
      <c r="H17" s="231"/>
      <c r="I17" s="231"/>
      <c r="J17" s="231"/>
      <c r="K17" s="232"/>
      <c r="L17" s="14"/>
      <c r="M17" s="14"/>
      <c r="N17" s="14"/>
    </row>
    <row r="18" spans="1:14" ht="12">
      <c r="A18" s="330">
        <f t="shared" si="0"/>
        <v>14</v>
      </c>
      <c r="B18" s="383" t="s">
        <v>90</v>
      </c>
      <c r="C18" s="384"/>
      <c r="D18" s="331"/>
      <c r="E18" s="331"/>
      <c r="F18" s="331"/>
      <c r="G18" s="331"/>
      <c r="H18" s="127"/>
      <c r="I18" s="127"/>
      <c r="J18" s="127"/>
      <c r="K18" s="104"/>
      <c r="L18" s="14"/>
      <c r="M18" s="14"/>
      <c r="N18" s="14"/>
    </row>
    <row r="19" spans="1:14" ht="12">
      <c r="A19" s="330">
        <f t="shared" si="0"/>
        <v>15</v>
      </c>
      <c r="B19" s="381" t="s">
        <v>98</v>
      </c>
      <c r="C19" s="382"/>
      <c r="D19" s="16"/>
      <c r="E19" s="16"/>
      <c r="F19" s="16"/>
      <c r="G19" s="166" t="s">
        <v>189</v>
      </c>
      <c r="H19" s="166" t="s">
        <v>189</v>
      </c>
      <c r="I19" s="20"/>
      <c r="J19" s="20"/>
      <c r="K19" s="341"/>
      <c r="L19" s="14"/>
      <c r="M19" s="14"/>
      <c r="N19" s="14"/>
    </row>
    <row r="20" spans="1:14" ht="12">
      <c r="A20" s="330">
        <f t="shared" si="0"/>
        <v>16</v>
      </c>
      <c r="B20" s="128"/>
      <c r="C20" s="126"/>
      <c r="D20" s="16"/>
      <c r="E20" s="16"/>
      <c r="F20" s="16"/>
      <c r="G20" s="150" t="s">
        <v>145</v>
      </c>
      <c r="H20" s="150" t="s">
        <v>146</v>
      </c>
      <c r="I20" s="20"/>
      <c r="J20" s="20"/>
      <c r="K20" s="341"/>
      <c r="L20" s="14"/>
      <c r="M20" s="14"/>
      <c r="N20" s="14"/>
    </row>
    <row r="21" spans="1:14" ht="12">
      <c r="A21" s="330">
        <f t="shared" si="0"/>
        <v>17</v>
      </c>
      <c r="B21" s="342"/>
      <c r="C21" s="17" t="s">
        <v>43</v>
      </c>
      <c r="D21" s="17" t="s">
        <v>44</v>
      </c>
      <c r="E21" s="18" t="s">
        <v>46</v>
      </c>
      <c r="F21" s="18" t="s">
        <v>123</v>
      </c>
      <c r="G21" s="18" t="s">
        <v>144</v>
      </c>
      <c r="H21" s="18" t="s">
        <v>123</v>
      </c>
      <c r="I21" s="18" t="s">
        <v>55</v>
      </c>
      <c r="J21" s="18" t="s">
        <v>56</v>
      </c>
      <c r="K21" s="129"/>
      <c r="L21" s="14"/>
      <c r="M21" s="14"/>
      <c r="N21" s="14"/>
    </row>
    <row r="22" spans="1:14" ht="12">
      <c r="A22" s="330">
        <v>18</v>
      </c>
      <c r="B22" s="140" t="s">
        <v>187</v>
      </c>
      <c r="C22" s="337">
        <v>41548</v>
      </c>
      <c r="D22" s="337">
        <v>41912</v>
      </c>
      <c r="E22" s="223">
        <f>D22-C22+1</f>
        <v>365</v>
      </c>
      <c r="F22" s="343">
        <v>650000000</v>
      </c>
      <c r="G22" s="174">
        <f>C13+H28</f>
        <v>5627209.223561645</v>
      </c>
      <c r="H22" s="174">
        <f>F22-G22</f>
        <v>644372790.7764384</v>
      </c>
      <c r="I22" s="181">
        <v>0.0019158833878261743</v>
      </c>
      <c r="J22" s="143">
        <f>ROUND(H22*I22*E22/360,6)</f>
        <v>1251689.557713</v>
      </c>
      <c r="K22" s="341"/>
      <c r="L22" s="14"/>
      <c r="M22" s="14"/>
      <c r="N22" s="14"/>
    </row>
    <row r="23" spans="1:14" ht="12.75" thickBot="1">
      <c r="A23" s="330">
        <f>A22+1</f>
        <v>19</v>
      </c>
      <c r="B23" s="178" t="s">
        <v>122</v>
      </c>
      <c r="C23" s="19"/>
      <c r="D23" s="334"/>
      <c r="E23" s="223"/>
      <c r="F23" s="344"/>
      <c r="I23" s="334"/>
      <c r="J23" s="242">
        <f>SUM(J22:J22)</f>
        <v>1251689.557713</v>
      </c>
      <c r="K23" s="130"/>
      <c r="L23" s="14"/>
      <c r="M23" s="14"/>
      <c r="N23" s="14"/>
    </row>
    <row r="24" spans="1:14" ht="12.75" thickTop="1">
      <c r="A24" s="330">
        <f t="shared" si="0"/>
        <v>20</v>
      </c>
      <c r="B24" s="178"/>
      <c r="C24" s="19"/>
      <c r="D24" s="334"/>
      <c r="E24" s="223"/>
      <c r="F24" s="344"/>
      <c r="I24" s="334"/>
      <c r="J24" s="241"/>
      <c r="K24" s="130"/>
      <c r="L24" s="14"/>
      <c r="M24" s="14"/>
      <c r="N24" s="14"/>
    </row>
    <row r="25" spans="1:14" ht="12">
      <c r="A25" s="330">
        <f t="shared" si="0"/>
        <v>21</v>
      </c>
      <c r="B25" s="167"/>
      <c r="C25" s="19"/>
      <c r="D25" s="334"/>
      <c r="E25" s="223"/>
      <c r="F25" s="223"/>
      <c r="G25" s="334"/>
      <c r="H25" s="345"/>
      <c r="I25" s="345"/>
      <c r="J25" s="345"/>
      <c r="K25" s="130"/>
      <c r="L25" s="14"/>
      <c r="M25" s="14"/>
      <c r="N25" s="14"/>
    </row>
    <row r="26" spans="1:14" ht="12">
      <c r="A26" s="330">
        <f t="shared" si="0"/>
        <v>22</v>
      </c>
      <c r="B26" s="177" t="s">
        <v>125</v>
      </c>
      <c r="C26" s="19"/>
      <c r="F26" s="18" t="s">
        <v>165</v>
      </c>
      <c r="G26" s="18" t="s">
        <v>46</v>
      </c>
      <c r="H26" s="18" t="s">
        <v>150</v>
      </c>
      <c r="I26" s="334"/>
      <c r="J26" s="345"/>
      <c r="K26" s="130"/>
      <c r="L26" s="14"/>
      <c r="M26" s="14"/>
      <c r="N26" s="14"/>
    </row>
    <row r="27" spans="1:14" ht="12">
      <c r="A27" s="330">
        <f t="shared" si="0"/>
        <v>23</v>
      </c>
      <c r="B27" s="178" t="s">
        <v>151</v>
      </c>
      <c r="F27" s="261" t="s">
        <v>168</v>
      </c>
      <c r="G27" s="223">
        <v>365</v>
      </c>
      <c r="H27" s="174">
        <v>4491742.808219178</v>
      </c>
      <c r="I27" s="346">
        <v>0.01</v>
      </c>
      <c r="J27" s="174">
        <f>(I27*H27)*(G27/360)</f>
        <v>45541.28124999999</v>
      </c>
      <c r="K27" s="130"/>
      <c r="L27" s="14"/>
      <c r="M27" s="14"/>
      <c r="N27" s="14"/>
    </row>
    <row r="28" spans="1:14" ht="12.75" customHeight="1">
      <c r="A28" s="330">
        <f>A27+1</f>
        <v>24</v>
      </c>
      <c r="B28" s="178" t="s">
        <v>167</v>
      </c>
      <c r="F28" s="261" t="s">
        <v>188</v>
      </c>
      <c r="G28" s="223">
        <v>365</v>
      </c>
      <c r="H28" s="174">
        <v>1243647.5835616437</v>
      </c>
      <c r="I28" s="181">
        <v>0.01653642384105961</v>
      </c>
      <c r="J28" s="174">
        <f>(I28*H28)*(G28/360)</f>
        <v>20851.11526666667</v>
      </c>
      <c r="K28" s="341"/>
      <c r="L28" s="14"/>
      <c r="M28" s="14"/>
      <c r="N28" s="14"/>
    </row>
    <row r="29" spans="1:14" ht="12.75" customHeight="1" thickBot="1">
      <c r="A29" s="330">
        <f t="shared" si="0"/>
        <v>25</v>
      </c>
      <c r="B29" s="219" t="s">
        <v>152</v>
      </c>
      <c r="E29" s="347"/>
      <c r="F29" s="343"/>
      <c r="G29" s="223"/>
      <c r="H29" s="20"/>
      <c r="I29" s="20"/>
      <c r="J29" s="242">
        <f>SUM(J27:J28)</f>
        <v>66392.39651666666</v>
      </c>
      <c r="K29" s="341"/>
      <c r="L29" s="14"/>
      <c r="M29" s="14"/>
      <c r="N29" s="14"/>
    </row>
    <row r="30" spans="1:14" ht="12.75" customHeight="1" thickTop="1">
      <c r="A30" s="330">
        <f t="shared" si="0"/>
        <v>26</v>
      </c>
      <c r="B30" s="178"/>
      <c r="F30" s="348"/>
      <c r="G30" s="346"/>
      <c r="H30" s="20"/>
      <c r="I30" s="20"/>
      <c r="J30" s="20"/>
      <c r="K30" s="341"/>
      <c r="L30" s="14"/>
      <c r="M30" s="14"/>
      <c r="N30" s="14"/>
    </row>
    <row r="31" spans="1:11" ht="12">
      <c r="A31" s="330">
        <f t="shared" si="0"/>
        <v>27</v>
      </c>
      <c r="B31" s="128"/>
      <c r="C31" s="126"/>
      <c r="D31" s="126"/>
      <c r="E31" s="333"/>
      <c r="F31" s="333"/>
      <c r="G31" s="333"/>
      <c r="H31" s="105"/>
      <c r="I31" s="105"/>
      <c r="J31" s="105"/>
      <c r="K31" s="341"/>
    </row>
    <row r="32" spans="1:11" ht="12.75" thickBot="1">
      <c r="A32" s="330">
        <f t="shared" si="0"/>
        <v>28</v>
      </c>
      <c r="B32" s="349" t="s">
        <v>77</v>
      </c>
      <c r="C32" s="131"/>
      <c r="D32" s="131"/>
      <c r="E32" s="350"/>
      <c r="F32" s="350"/>
      <c r="G32" s="350"/>
      <c r="H32" s="132"/>
      <c r="I32" s="132"/>
      <c r="J32" s="132"/>
      <c r="K32" s="351"/>
    </row>
  </sheetData>
  <sheetProtection/>
  <mergeCells count="5">
    <mergeCell ref="B19:C19"/>
    <mergeCell ref="B18:C18"/>
    <mergeCell ref="A3:K3"/>
    <mergeCell ref="A2:K2"/>
    <mergeCell ref="A1:K1"/>
  </mergeCells>
  <printOptions horizontalCentered="1" verticalCentered="1"/>
  <pageMargins left="0.5" right="0.5" top="0.51" bottom="0.96" header="0.29" footer="0.28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G28"/>
    </sheetView>
  </sheetViews>
  <sheetFormatPr defaultColWidth="9.33203125" defaultRowHeight="11.25"/>
  <cols>
    <col min="1" max="1" width="4.83203125" style="329" customWidth="1"/>
    <col min="2" max="2" width="52.66015625" style="329" bestFit="1" customWidth="1"/>
    <col min="3" max="6" width="21.66015625" style="329" customWidth="1"/>
    <col min="7" max="7" width="15.83203125" style="329" customWidth="1"/>
    <col min="8" max="9" width="12" style="352" customWidth="1"/>
    <col min="10" max="16384" width="9.33203125" style="329" customWidth="1"/>
  </cols>
  <sheetData>
    <row r="1" spans="1:7" ht="11.25" customHeight="1">
      <c r="A1" s="386" t="s">
        <v>22</v>
      </c>
      <c r="B1" s="386"/>
      <c r="C1" s="386"/>
      <c r="D1" s="386"/>
      <c r="E1" s="386"/>
      <c r="F1" s="386"/>
      <c r="G1" s="386"/>
    </row>
    <row r="2" spans="1:7" ht="11.25" customHeight="1">
      <c r="A2" s="387" t="s">
        <v>231</v>
      </c>
      <c r="B2" s="387"/>
      <c r="C2" s="387"/>
      <c r="D2" s="387"/>
      <c r="E2" s="387"/>
      <c r="F2" s="387"/>
      <c r="G2" s="387"/>
    </row>
    <row r="3" spans="1:7" ht="11.25" customHeight="1">
      <c r="A3" s="388">
        <f>'Pg 1 CofCap'!A4</f>
        <v>41912</v>
      </c>
      <c r="B3" s="388"/>
      <c r="C3" s="388"/>
      <c r="D3" s="388"/>
      <c r="E3" s="388"/>
      <c r="F3" s="388"/>
      <c r="G3" s="388"/>
    </row>
    <row r="4" spans="1:7" ht="12">
      <c r="A4" s="16"/>
      <c r="B4" s="15"/>
      <c r="C4" s="14"/>
      <c r="D4" s="14"/>
      <c r="E4" s="14"/>
      <c r="F4" s="14"/>
      <c r="G4" s="14"/>
    </row>
    <row r="5" spans="1:7" ht="12">
      <c r="A5" s="247" t="s">
        <v>2</v>
      </c>
      <c r="B5" s="247" t="s">
        <v>24</v>
      </c>
      <c r="C5" s="247" t="s">
        <v>47</v>
      </c>
      <c r="D5" s="247" t="s">
        <v>58</v>
      </c>
      <c r="E5" s="247" t="s">
        <v>58</v>
      </c>
      <c r="F5" s="247" t="s">
        <v>59</v>
      </c>
      <c r="G5" s="247" t="s">
        <v>60</v>
      </c>
    </row>
    <row r="6" spans="1:7" ht="11.25" customHeight="1">
      <c r="A6" s="14"/>
      <c r="B6" s="248"/>
      <c r="C6" s="248"/>
      <c r="D6" s="248"/>
      <c r="E6" s="248"/>
      <c r="F6" s="248"/>
      <c r="G6" s="248"/>
    </row>
    <row r="7" spans="1:6" ht="11.25" customHeight="1">
      <c r="A7" s="330"/>
      <c r="B7" s="110"/>
      <c r="C7" s="353"/>
      <c r="D7" s="353"/>
      <c r="E7" s="353"/>
      <c r="F7" s="353"/>
    </row>
    <row r="8" spans="1:7" ht="11.25" customHeight="1">
      <c r="A8" s="330">
        <v>1</v>
      </c>
      <c r="B8" s="249" t="s">
        <v>6</v>
      </c>
      <c r="C8" s="250" t="s">
        <v>154</v>
      </c>
      <c r="D8" s="250" t="s">
        <v>154</v>
      </c>
      <c r="E8" s="250" t="s">
        <v>190</v>
      </c>
      <c r="F8" s="250" t="s">
        <v>190</v>
      </c>
      <c r="G8" s="14"/>
    </row>
    <row r="9" spans="1:7" ht="11.25" customHeight="1">
      <c r="A9" s="330">
        <f>A8+1</f>
        <v>2</v>
      </c>
      <c r="B9" s="249"/>
      <c r="C9" s="251" t="s">
        <v>155</v>
      </c>
      <c r="D9" s="251" t="s">
        <v>226</v>
      </c>
      <c r="E9" s="251" t="s">
        <v>191</v>
      </c>
      <c r="F9" s="251" t="s">
        <v>228</v>
      </c>
      <c r="G9" s="252" t="s">
        <v>156</v>
      </c>
    </row>
    <row r="10" spans="1:7" ht="11.25" customHeight="1">
      <c r="A10" s="330">
        <f aca="true" t="shared" si="0" ref="A10:A28">A9+1</f>
        <v>3</v>
      </c>
      <c r="B10" s="88" t="s">
        <v>141</v>
      </c>
      <c r="C10" s="253" t="s">
        <v>227</v>
      </c>
      <c r="D10" s="253">
        <v>18900423</v>
      </c>
      <c r="E10" s="253">
        <v>18100673</v>
      </c>
      <c r="F10" s="253">
        <v>18900443</v>
      </c>
      <c r="G10" s="253" t="s">
        <v>157</v>
      </c>
    </row>
    <row r="11" spans="1:7" ht="11.25" customHeight="1">
      <c r="A11" s="330">
        <f t="shared" si="0"/>
        <v>4</v>
      </c>
      <c r="B11" s="88"/>
      <c r="C11" s="254"/>
      <c r="D11" s="254"/>
      <c r="E11" s="14"/>
      <c r="F11" s="14"/>
      <c r="G11" s="14"/>
    </row>
    <row r="12" spans="1:7" ht="12">
      <c r="A12" s="330">
        <f t="shared" si="0"/>
        <v>5</v>
      </c>
      <c r="B12" s="141" t="s">
        <v>57</v>
      </c>
      <c r="C12" s="14"/>
      <c r="D12" s="14"/>
      <c r="E12" s="14"/>
      <c r="F12" s="14"/>
      <c r="G12" s="255"/>
    </row>
    <row r="13" spans="1:7" ht="12">
      <c r="A13" s="330">
        <f t="shared" si="0"/>
        <v>6</v>
      </c>
      <c r="B13" s="14" t="s">
        <v>232</v>
      </c>
      <c r="C13" s="174">
        <v>1161861.77</v>
      </c>
      <c r="D13" s="174">
        <v>1436199.33</v>
      </c>
      <c r="E13" s="174">
        <v>2113436.09</v>
      </c>
      <c r="F13" s="174">
        <v>0</v>
      </c>
      <c r="G13" s="255"/>
    </row>
    <row r="14" spans="1:7" ht="12">
      <c r="A14" s="330">
        <f t="shared" si="0"/>
        <v>7</v>
      </c>
      <c r="B14" s="14"/>
      <c r="C14" s="354"/>
      <c r="D14" s="354"/>
      <c r="E14" s="354"/>
      <c r="F14" s="354"/>
      <c r="G14" s="255"/>
    </row>
    <row r="15" spans="1:7" ht="12">
      <c r="A15" s="330">
        <f t="shared" si="0"/>
        <v>8</v>
      </c>
      <c r="B15" s="256">
        <v>41578</v>
      </c>
      <c r="C15" s="354">
        <f>-22343.5-5275.16</f>
        <v>-27618.66</v>
      </c>
      <c r="D15" s="354">
        <v>-27619.22</v>
      </c>
      <c r="E15" s="354">
        <v>-40647.35</v>
      </c>
      <c r="F15" s="354"/>
      <c r="G15" s="255"/>
    </row>
    <row r="16" spans="1:10" ht="12">
      <c r="A16" s="330">
        <f t="shared" si="0"/>
        <v>9</v>
      </c>
      <c r="B16" s="256">
        <v>41608</v>
      </c>
      <c r="C16" s="354">
        <f aca="true" t="shared" si="1" ref="C16:C26">-22343.5-5275.16</f>
        <v>-27618.66</v>
      </c>
      <c r="D16" s="354">
        <v>-27619.22</v>
      </c>
      <c r="E16" s="354">
        <v>-40643</v>
      </c>
      <c r="F16" s="354"/>
      <c r="G16" s="255"/>
      <c r="J16" s="355"/>
    </row>
    <row r="17" spans="1:7" ht="12">
      <c r="A17" s="330">
        <f t="shared" si="0"/>
        <v>10</v>
      </c>
      <c r="B17" s="256">
        <v>41639</v>
      </c>
      <c r="C17" s="354">
        <f t="shared" si="1"/>
        <v>-27618.66</v>
      </c>
      <c r="D17" s="354">
        <v>-27619.22</v>
      </c>
      <c r="E17" s="354">
        <v>-40643</v>
      </c>
      <c r="F17" s="354"/>
      <c r="G17" s="255"/>
    </row>
    <row r="18" spans="1:7" ht="12">
      <c r="A18" s="330">
        <f t="shared" si="0"/>
        <v>11</v>
      </c>
      <c r="B18" s="256">
        <v>41640</v>
      </c>
      <c r="C18" s="354">
        <f t="shared" si="1"/>
        <v>-27618.66</v>
      </c>
      <c r="D18" s="354">
        <v>-27619.22</v>
      </c>
      <c r="E18" s="354">
        <v>-40643</v>
      </c>
      <c r="F18" s="354"/>
      <c r="G18" s="255"/>
    </row>
    <row r="19" spans="1:7" ht="12">
      <c r="A19" s="330">
        <f t="shared" si="0"/>
        <v>12</v>
      </c>
      <c r="B19" s="256">
        <v>41671</v>
      </c>
      <c r="C19" s="354">
        <f t="shared" si="1"/>
        <v>-27618.66</v>
      </c>
      <c r="D19" s="354">
        <v>-27619.22</v>
      </c>
      <c r="E19" s="354">
        <v>-40869.28</v>
      </c>
      <c r="F19" s="354"/>
      <c r="G19" s="255"/>
    </row>
    <row r="20" spans="1:7" ht="12">
      <c r="A20" s="330">
        <f t="shared" si="0"/>
        <v>13</v>
      </c>
      <c r="B20" s="256">
        <v>41699</v>
      </c>
      <c r="C20" s="354">
        <f t="shared" si="1"/>
        <v>-27618.66</v>
      </c>
      <c r="D20" s="354">
        <v>-27619.22</v>
      </c>
      <c r="E20" s="354">
        <v>-40653.23</v>
      </c>
      <c r="F20" s="354"/>
      <c r="G20" s="255"/>
    </row>
    <row r="21" spans="1:7" ht="12">
      <c r="A21" s="330">
        <f t="shared" si="0"/>
        <v>14</v>
      </c>
      <c r="B21" s="256">
        <v>41730</v>
      </c>
      <c r="C21" s="354">
        <f t="shared" si="1"/>
        <v>-27618.66</v>
      </c>
      <c r="D21" s="354">
        <v>-27619.22</v>
      </c>
      <c r="E21" s="354">
        <f>-40653.23-19515.87</f>
        <v>-60169.100000000006</v>
      </c>
      <c r="F21" s="354">
        <v>-1507.53</v>
      </c>
      <c r="G21" s="255"/>
    </row>
    <row r="22" spans="1:7" ht="12">
      <c r="A22" s="330">
        <f t="shared" si="0"/>
        <v>15</v>
      </c>
      <c r="B22" s="256">
        <v>41760</v>
      </c>
      <c r="C22" s="354">
        <f t="shared" si="1"/>
        <v>-27618.66</v>
      </c>
      <c r="D22" s="354">
        <v>-27619.22</v>
      </c>
      <c r="E22" s="354">
        <v>-37556.67</v>
      </c>
      <c r="F22" s="354"/>
      <c r="G22" s="255"/>
    </row>
    <row r="23" spans="1:7" ht="12">
      <c r="A23" s="330">
        <f t="shared" si="0"/>
        <v>16</v>
      </c>
      <c r="B23" s="256">
        <v>41791</v>
      </c>
      <c r="C23" s="354">
        <f t="shared" si="1"/>
        <v>-27618.66</v>
      </c>
      <c r="D23" s="354">
        <v>-27619.22</v>
      </c>
      <c r="E23" s="354">
        <v>-40723.6</v>
      </c>
      <c r="F23" s="354"/>
      <c r="G23" s="255"/>
    </row>
    <row r="24" spans="1:7" ht="12">
      <c r="A24" s="330">
        <f t="shared" si="0"/>
        <v>17</v>
      </c>
      <c r="B24" s="256">
        <v>41821</v>
      </c>
      <c r="C24" s="354">
        <f t="shared" si="1"/>
        <v>-27618.66</v>
      </c>
      <c r="D24" s="354">
        <v>-27619.22</v>
      </c>
      <c r="E24" s="354">
        <v>-39008.64</v>
      </c>
      <c r="F24" s="354">
        <v>-6934.65</v>
      </c>
      <c r="G24" s="255"/>
    </row>
    <row r="25" spans="1:7" ht="12">
      <c r="A25" s="330">
        <f t="shared" si="0"/>
        <v>18</v>
      </c>
      <c r="B25" s="256">
        <v>41852</v>
      </c>
      <c r="C25" s="354">
        <f t="shared" si="1"/>
        <v>-27618.66</v>
      </c>
      <c r="D25" s="354">
        <v>-27619.22</v>
      </c>
      <c r="E25" s="354">
        <v>-36989.14</v>
      </c>
      <c r="F25" s="354">
        <v>-2285.1</v>
      </c>
      <c r="G25" s="255"/>
    </row>
    <row r="26" spans="1:7" ht="12">
      <c r="A26" s="330">
        <f t="shared" si="0"/>
        <v>19</v>
      </c>
      <c r="B26" s="256">
        <v>41883</v>
      </c>
      <c r="C26" s="354">
        <f t="shared" si="1"/>
        <v>-27618.66</v>
      </c>
      <c r="D26" s="354">
        <v>-27619.22</v>
      </c>
      <c r="E26" s="354">
        <v>-36989.14</v>
      </c>
      <c r="F26" s="354">
        <v>-2285.1</v>
      </c>
      <c r="G26" s="255"/>
    </row>
    <row r="27" spans="1:7" ht="12.75" thickBot="1">
      <c r="A27" s="330">
        <f t="shared" si="0"/>
        <v>20</v>
      </c>
      <c r="B27" s="256"/>
      <c r="C27" s="354"/>
      <c r="D27" s="354"/>
      <c r="E27" s="354"/>
      <c r="F27" s="354"/>
      <c r="G27" s="255"/>
    </row>
    <row r="28" spans="1:7" ht="12.75" thickBot="1">
      <c r="A28" s="330">
        <f t="shared" si="0"/>
        <v>21</v>
      </c>
      <c r="B28" s="257" t="s">
        <v>162</v>
      </c>
      <c r="C28" s="259">
        <f>SUM(C15:C27)</f>
        <v>-331423.9199999999</v>
      </c>
      <c r="D28" s="259">
        <f>SUM(D15:D27)</f>
        <v>-331430.64</v>
      </c>
      <c r="E28" s="259">
        <f>SUM(E15:E27)</f>
        <v>-495535.15</v>
      </c>
      <c r="F28" s="259">
        <f>SUM(F15:F27)</f>
        <v>-13012.380000000001</v>
      </c>
      <c r="G28" s="260">
        <f>SUM(C28:F28)</f>
        <v>-1171402.0899999999</v>
      </c>
    </row>
    <row r="29" spans="1:7" ht="12">
      <c r="A29" s="330"/>
      <c r="B29" s="14"/>
      <c r="C29" s="255"/>
      <c r="D29" s="255"/>
      <c r="E29" s="255"/>
      <c r="F29" s="255"/>
      <c r="G29" s="14"/>
    </row>
    <row r="30" spans="1:7" ht="12">
      <c r="A30" s="330"/>
      <c r="B30" s="14"/>
      <c r="C30" s="258"/>
      <c r="D30" s="258"/>
      <c r="E30" s="258"/>
      <c r="F30" s="258"/>
      <c r="G30" s="14"/>
    </row>
    <row r="31" spans="1:7" ht="12">
      <c r="A31" s="330"/>
      <c r="B31" s="14"/>
      <c r="C31" s="14"/>
      <c r="D31" s="14"/>
      <c r="E31" s="14"/>
      <c r="F31" s="14"/>
      <c r="G31" s="14"/>
    </row>
    <row r="32" ht="11.25">
      <c r="A32" s="330"/>
    </row>
    <row r="33" ht="11.25">
      <c r="A33" s="330"/>
    </row>
    <row r="34" spans="1:2" ht="11.25">
      <c r="A34" s="330"/>
      <c r="B34" s="356"/>
    </row>
    <row r="35" ht="11.25">
      <c r="A35" s="330"/>
    </row>
    <row r="36" ht="11.25">
      <c r="A36" s="330"/>
    </row>
    <row r="37" ht="11.25">
      <c r="A37" s="330"/>
    </row>
    <row r="38" ht="11.25">
      <c r="A38" s="330"/>
    </row>
    <row r="39" ht="11.25">
      <c r="A39" s="330"/>
    </row>
    <row r="40" ht="11.25">
      <c r="A40" s="330"/>
    </row>
    <row r="41" ht="11.25">
      <c r="A41" s="330"/>
    </row>
    <row r="42" spans="1:2" ht="11.25">
      <c r="A42" s="330"/>
      <c r="B42" s="153"/>
    </row>
    <row r="43" ht="11.25">
      <c r="A43" s="330"/>
    </row>
    <row r="44" ht="11.25">
      <c r="A44" s="330"/>
    </row>
    <row r="45" ht="11.25">
      <c r="A45" s="330"/>
    </row>
    <row r="46" ht="11.25">
      <c r="A46" s="330"/>
    </row>
    <row r="47" ht="11.25">
      <c r="A47" s="330"/>
    </row>
    <row r="48" ht="11.25">
      <c r="A48" s="330"/>
    </row>
    <row r="49" spans="1:2" ht="11.25">
      <c r="A49" s="330"/>
      <c r="B49" s="357"/>
    </row>
    <row r="50" spans="1:2" ht="11.25">
      <c r="A50" s="330"/>
      <c r="B50" s="357"/>
    </row>
    <row r="51" spans="1:2" ht="11.25">
      <c r="A51" s="330"/>
      <c r="B51" s="153"/>
    </row>
  </sheetData>
  <sheetProtection/>
  <mergeCells count="3">
    <mergeCell ref="A1:G1"/>
    <mergeCell ref="A2:G2"/>
    <mergeCell ref="A3:G3"/>
  </mergeCells>
  <printOptions horizontalCentered="1" verticalCentered="1"/>
  <pageMargins left="0.79" right="0.67" top="0.44" bottom="0.44" header="0.23" footer="0.17"/>
  <pageSetup fitToHeight="1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1"/>
  <sheetViews>
    <sheetView zoomScalePageLayoutView="0" workbookViewId="0" topLeftCell="A1">
      <pane xSplit="5" ySplit="6" topLeftCell="F1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41" sqref="A41"/>
    </sheetView>
  </sheetViews>
  <sheetFormatPr defaultColWidth="8.83203125" defaultRowHeight="11.25" outlineLevelCol="1"/>
  <cols>
    <col min="1" max="1" width="3.83203125" style="5" customWidth="1"/>
    <col min="2" max="2" width="7" style="3" customWidth="1"/>
    <col min="3" max="3" width="8.33203125" style="3" customWidth="1"/>
    <col min="4" max="5" width="7.16015625" style="3" customWidth="1"/>
    <col min="6" max="6" width="10" style="6" customWidth="1"/>
    <col min="7" max="7" width="9.83203125" style="3" customWidth="1"/>
    <col min="8" max="8" width="8" style="3" customWidth="1"/>
    <col min="9" max="9" width="7.83203125" style="6" customWidth="1"/>
    <col min="10" max="10" width="10.5" style="3" customWidth="1"/>
    <col min="11" max="14" width="9.16015625" style="3" customWidth="1"/>
    <col min="15" max="15" width="9.83203125" style="3" customWidth="1"/>
    <col min="16" max="16" width="9.16015625" style="3" customWidth="1"/>
    <col min="17" max="17" width="9.83203125" style="3" customWidth="1"/>
    <col min="18" max="22" width="8.83203125" style="3" customWidth="1"/>
    <col min="23" max="24" width="6" style="3" customWidth="1"/>
    <col min="25" max="25" width="8.83203125" style="3" customWidth="1" outlineLevel="1"/>
    <col min="26" max="26" width="10.83203125" style="3" bestFit="1" customWidth="1" outlineLevel="1"/>
    <col min="27" max="27" width="8.83203125" style="3" customWidth="1" outlineLevel="1"/>
    <col min="28" max="16384" width="8.83203125" style="3" customWidth="1"/>
  </cols>
  <sheetData>
    <row r="1" spans="1:22" ht="12.75" customHeight="1">
      <c r="A1" s="389" t="s">
        <v>22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2" ht="12.75" customHeight="1">
      <c r="A2" s="389" t="s">
        <v>233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2" s="35" customFormat="1" ht="12.75" customHeight="1">
      <c r="A3" s="390">
        <f>'Pg 1 CofCap'!A4</f>
        <v>41912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</row>
    <row r="4" spans="1:22" s="35" customFormat="1" ht="12.75" customHeight="1">
      <c r="A4" s="180"/>
      <c r="B4" s="107"/>
      <c r="C4" s="107"/>
      <c r="D4" s="107"/>
      <c r="E4" s="108"/>
      <c r="F4" s="107"/>
      <c r="G4" s="109"/>
      <c r="H4" s="108"/>
      <c r="I4" s="10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5" ht="10.5" customHeight="1">
      <c r="A5" s="123" t="s">
        <v>2</v>
      </c>
      <c r="B5" s="123" t="s">
        <v>24</v>
      </c>
      <c r="C5" s="123" t="s">
        <v>47</v>
      </c>
      <c r="D5" s="123" t="s">
        <v>58</v>
      </c>
      <c r="E5" s="123" t="s">
        <v>59</v>
      </c>
      <c r="F5" s="123" t="s">
        <v>60</v>
      </c>
      <c r="G5" s="123" t="s">
        <v>61</v>
      </c>
      <c r="H5" s="123" t="s">
        <v>62</v>
      </c>
      <c r="I5" s="123" t="s">
        <v>63</v>
      </c>
      <c r="J5" s="123" t="s">
        <v>65</v>
      </c>
      <c r="K5" s="123" t="s">
        <v>66</v>
      </c>
      <c r="L5" s="123" t="s">
        <v>67</v>
      </c>
      <c r="M5" s="123" t="s">
        <v>68</v>
      </c>
      <c r="N5" s="123" t="s">
        <v>69</v>
      </c>
      <c r="O5" s="123" t="s">
        <v>70</v>
      </c>
      <c r="P5" s="123" t="s">
        <v>81</v>
      </c>
      <c r="Q5" s="123" t="s">
        <v>82</v>
      </c>
      <c r="R5" s="123" t="s">
        <v>83</v>
      </c>
      <c r="S5" s="123" t="s">
        <v>84</v>
      </c>
      <c r="T5" s="123" t="s">
        <v>85</v>
      </c>
      <c r="U5" s="123" t="s">
        <v>86</v>
      </c>
      <c r="V5" s="123" t="s">
        <v>158</v>
      </c>
      <c r="Y5" s="262" t="s">
        <v>169</v>
      </c>
    </row>
    <row r="6" spans="1:26" ht="33.75">
      <c r="A6" s="235">
        <v>1</v>
      </c>
      <c r="B6" s="236" t="s">
        <v>119</v>
      </c>
      <c r="C6" s="236" t="s">
        <v>93</v>
      </c>
      <c r="D6" s="236" t="s">
        <v>52</v>
      </c>
      <c r="E6" s="236" t="s">
        <v>97</v>
      </c>
      <c r="F6" s="236" t="s">
        <v>109</v>
      </c>
      <c r="G6" s="236" t="s">
        <v>78</v>
      </c>
      <c r="H6" s="236" t="s">
        <v>88</v>
      </c>
      <c r="I6" s="236" t="s">
        <v>74</v>
      </c>
      <c r="J6" s="237">
        <v>41530</v>
      </c>
      <c r="K6" s="237">
        <v>41560</v>
      </c>
      <c r="L6" s="237">
        <v>41591</v>
      </c>
      <c r="M6" s="237">
        <v>41621</v>
      </c>
      <c r="N6" s="237">
        <f>'Pg 2 CapStructure'!G6</f>
        <v>41670</v>
      </c>
      <c r="O6" s="237">
        <f>'Pg 2 CapStructure'!H6</f>
        <v>41698</v>
      </c>
      <c r="P6" s="237">
        <f>'Pg 2 CapStructure'!I6</f>
        <v>41729</v>
      </c>
      <c r="Q6" s="237">
        <f>'Pg 2 CapStructure'!J6</f>
        <v>41759</v>
      </c>
      <c r="R6" s="237">
        <f>'Pg 2 CapStructure'!K6</f>
        <v>41790</v>
      </c>
      <c r="S6" s="237">
        <f>'Pg 2 CapStructure'!L6</f>
        <v>41820</v>
      </c>
      <c r="T6" s="237">
        <f>'Pg 2 CapStructure'!M6</f>
        <v>41851</v>
      </c>
      <c r="U6" s="237">
        <f>'Pg 2 CapStructure'!N6</f>
        <v>41882</v>
      </c>
      <c r="V6" s="237">
        <f>'Pg 2 CapStructure'!O6</f>
        <v>41912</v>
      </c>
      <c r="Y6" s="263" t="s">
        <v>35</v>
      </c>
      <c r="Z6" s="263" t="s">
        <v>170</v>
      </c>
    </row>
    <row r="7" spans="1:25" ht="12.75">
      <c r="A7" s="93">
        <f>A6+1</f>
        <v>2</v>
      </c>
      <c r="B7" s="97" t="s">
        <v>19</v>
      </c>
      <c r="C7" s="188">
        <v>0.069</v>
      </c>
      <c r="D7" s="189">
        <v>34242</v>
      </c>
      <c r="E7" s="189">
        <v>41548</v>
      </c>
      <c r="F7" s="184">
        <f aca="true" t="shared" si="0" ref="F7:F23">ROUND(((+J7+V7)+(SUM(K7:U7)*2))/24,0)</f>
        <v>416667</v>
      </c>
      <c r="G7" s="190">
        <v>98.82208</v>
      </c>
      <c r="H7" s="125">
        <f aca="true" t="shared" si="1" ref="H7:H16">ROUND(YIELD(D7,E7,C7,G7,100,2,2),4)</f>
        <v>0.0701</v>
      </c>
      <c r="I7" s="184">
        <f aca="true" t="shared" si="2" ref="I7:I16">ROUND(+H7*F7,0)</f>
        <v>29208</v>
      </c>
      <c r="J7" s="184">
        <v>10000000</v>
      </c>
      <c r="K7" s="184">
        <v>0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Y7" s="184">
        <f aca="true" t="shared" si="3" ref="Y7:Y28">H7*V7</f>
        <v>0</v>
      </c>
    </row>
    <row r="8" spans="1:25" ht="12.75">
      <c r="A8" s="93">
        <f>A7+1</f>
        <v>3</v>
      </c>
      <c r="B8" s="97" t="s">
        <v>20</v>
      </c>
      <c r="C8" s="188">
        <v>0.0735</v>
      </c>
      <c r="D8" s="189">
        <v>34953</v>
      </c>
      <c r="E8" s="189">
        <v>42258</v>
      </c>
      <c r="F8" s="184">
        <f t="shared" si="0"/>
        <v>10000000</v>
      </c>
      <c r="G8" s="190">
        <v>98.84387199999999</v>
      </c>
      <c r="H8" s="125">
        <f t="shared" si="1"/>
        <v>0.0746</v>
      </c>
      <c r="I8" s="184">
        <f t="shared" si="2"/>
        <v>746000</v>
      </c>
      <c r="J8" s="184">
        <v>10000000</v>
      </c>
      <c r="K8" s="184">
        <v>10000000</v>
      </c>
      <c r="L8" s="184">
        <v>10000000</v>
      </c>
      <c r="M8" s="184">
        <v>10000000</v>
      </c>
      <c r="N8" s="184">
        <v>10000000</v>
      </c>
      <c r="O8" s="184">
        <v>10000000</v>
      </c>
      <c r="P8" s="184">
        <v>10000000</v>
      </c>
      <c r="Q8" s="184">
        <v>10000000</v>
      </c>
      <c r="R8" s="184">
        <v>10000000</v>
      </c>
      <c r="S8" s="184">
        <v>10000000</v>
      </c>
      <c r="T8" s="184">
        <v>10000000</v>
      </c>
      <c r="U8" s="184">
        <v>10000000</v>
      </c>
      <c r="V8" s="184">
        <v>10000000</v>
      </c>
      <c r="Y8" s="184">
        <f t="shared" si="3"/>
        <v>746000</v>
      </c>
    </row>
    <row r="9" spans="1:26" s="7" customFormat="1" ht="12.75">
      <c r="A9" s="93">
        <f>A8+1</f>
        <v>4</v>
      </c>
      <c r="B9" s="97" t="s">
        <v>20</v>
      </c>
      <c r="C9" s="188">
        <v>0.0736</v>
      </c>
      <c r="D9" s="189">
        <v>34953</v>
      </c>
      <c r="E9" s="189">
        <v>42262</v>
      </c>
      <c r="F9" s="184">
        <f t="shared" si="0"/>
        <v>2000000</v>
      </c>
      <c r="G9" s="190">
        <v>98.84392</v>
      </c>
      <c r="H9" s="125">
        <f t="shared" si="1"/>
        <v>0.0747</v>
      </c>
      <c r="I9" s="184">
        <f t="shared" si="2"/>
        <v>149400</v>
      </c>
      <c r="J9" s="184">
        <v>2000000</v>
      </c>
      <c r="K9" s="184">
        <v>2000000</v>
      </c>
      <c r="L9" s="184">
        <v>2000000</v>
      </c>
      <c r="M9" s="184">
        <v>2000000</v>
      </c>
      <c r="N9" s="184">
        <v>2000000</v>
      </c>
      <c r="O9" s="184">
        <v>2000000</v>
      </c>
      <c r="P9" s="184">
        <v>2000000</v>
      </c>
      <c r="Q9" s="184">
        <v>2000000</v>
      </c>
      <c r="R9" s="184">
        <v>2000000</v>
      </c>
      <c r="S9" s="184">
        <v>2000000</v>
      </c>
      <c r="T9" s="184">
        <v>2000000</v>
      </c>
      <c r="U9" s="184">
        <v>2000000</v>
      </c>
      <c r="V9" s="184">
        <v>2000000</v>
      </c>
      <c r="Y9" s="184">
        <f t="shared" si="3"/>
        <v>149400</v>
      </c>
      <c r="Z9" s="3"/>
    </row>
    <row r="10" spans="1:26" s="7" customFormat="1" ht="12.75">
      <c r="A10" s="93">
        <f>A9+1</f>
        <v>5</v>
      </c>
      <c r="B10" s="97" t="s">
        <v>89</v>
      </c>
      <c r="C10" s="188">
        <v>0.05197</v>
      </c>
      <c r="D10" s="189">
        <v>38637</v>
      </c>
      <c r="E10" s="189">
        <v>42278</v>
      </c>
      <c r="F10" s="184">
        <f>ROUND(((+J10+V10)+(SUM(K10:U10)*2))/24,0)</f>
        <v>150000000</v>
      </c>
      <c r="G10" s="190">
        <v>99.19303999333334</v>
      </c>
      <c r="H10" s="125">
        <f t="shared" si="1"/>
        <v>0.053</v>
      </c>
      <c r="I10" s="184">
        <f>ROUND(+H10*F10,0)</f>
        <v>7950000</v>
      </c>
      <c r="J10" s="184">
        <v>150000000</v>
      </c>
      <c r="K10" s="184">
        <v>150000000</v>
      </c>
      <c r="L10" s="184">
        <v>150000000</v>
      </c>
      <c r="M10" s="184">
        <v>150000000</v>
      </c>
      <c r="N10" s="184">
        <v>150000000</v>
      </c>
      <c r="O10" s="184">
        <v>150000000</v>
      </c>
      <c r="P10" s="184">
        <v>150000000</v>
      </c>
      <c r="Q10" s="184">
        <v>150000000</v>
      </c>
      <c r="R10" s="184">
        <v>150000000</v>
      </c>
      <c r="S10" s="184">
        <v>150000000</v>
      </c>
      <c r="T10" s="184">
        <v>150000000</v>
      </c>
      <c r="U10" s="184">
        <v>150000000</v>
      </c>
      <c r="V10" s="184">
        <v>150000000</v>
      </c>
      <c r="Y10" s="184">
        <f t="shared" si="3"/>
        <v>7950000</v>
      </c>
      <c r="Z10" s="3"/>
    </row>
    <row r="11" spans="1:26" s="7" customFormat="1" ht="12.75">
      <c r="A11" s="93">
        <f aca="true" t="shared" si="4" ref="A11:A35">A10+1</f>
        <v>6</v>
      </c>
      <c r="B11" s="97" t="s">
        <v>89</v>
      </c>
      <c r="C11" s="188">
        <v>0.0675</v>
      </c>
      <c r="D11" s="189">
        <v>39836</v>
      </c>
      <c r="E11" s="189">
        <v>42384</v>
      </c>
      <c r="F11" s="184">
        <f>ROUND(((+J11+V11)+(SUM(K11:U11)*2))/24,0)</f>
        <v>250000000</v>
      </c>
      <c r="G11" s="190">
        <v>99.2399</v>
      </c>
      <c r="H11" s="125">
        <f t="shared" si="1"/>
        <v>0.0689</v>
      </c>
      <c r="I11" s="184">
        <f>ROUND(+H11*F11,0)</f>
        <v>17225000</v>
      </c>
      <c r="J11" s="184">
        <v>250000000</v>
      </c>
      <c r="K11" s="184">
        <v>250000000</v>
      </c>
      <c r="L11" s="184">
        <v>250000000</v>
      </c>
      <c r="M11" s="184">
        <v>250000000</v>
      </c>
      <c r="N11" s="184">
        <v>250000000</v>
      </c>
      <c r="O11" s="184">
        <v>250000000</v>
      </c>
      <c r="P11" s="184">
        <v>250000000</v>
      </c>
      <c r="Q11" s="184">
        <v>250000000</v>
      </c>
      <c r="R11" s="184">
        <v>250000000</v>
      </c>
      <c r="S11" s="184">
        <v>250000000</v>
      </c>
      <c r="T11" s="184">
        <v>250000000</v>
      </c>
      <c r="U11" s="184">
        <v>250000000</v>
      </c>
      <c r="V11" s="184">
        <v>250000000</v>
      </c>
      <c r="Y11" s="184">
        <f t="shared" si="3"/>
        <v>17225000</v>
      </c>
      <c r="Z11" s="3"/>
    </row>
    <row r="12" spans="1:25" s="7" customFormat="1" ht="12.75">
      <c r="A12" s="93">
        <f t="shared" si="4"/>
        <v>7</v>
      </c>
      <c r="B12" s="97" t="s">
        <v>18</v>
      </c>
      <c r="C12" s="188">
        <v>0.0674</v>
      </c>
      <c r="D12" s="189">
        <v>35961</v>
      </c>
      <c r="E12" s="189">
        <v>43266</v>
      </c>
      <c r="F12" s="184">
        <f t="shared" si="0"/>
        <v>200000000</v>
      </c>
      <c r="G12" s="190">
        <v>98.98509159000001</v>
      </c>
      <c r="H12" s="125">
        <f t="shared" si="1"/>
        <v>0.0683</v>
      </c>
      <c r="I12" s="184">
        <f t="shared" si="2"/>
        <v>13660000</v>
      </c>
      <c r="J12" s="184">
        <v>200000000</v>
      </c>
      <c r="K12" s="184">
        <v>200000000</v>
      </c>
      <c r="L12" s="184">
        <v>200000000</v>
      </c>
      <c r="M12" s="184">
        <v>200000000</v>
      </c>
      <c r="N12" s="184">
        <v>200000000</v>
      </c>
      <c r="O12" s="184">
        <v>200000000</v>
      </c>
      <c r="P12" s="184">
        <v>200000000</v>
      </c>
      <c r="Q12" s="184">
        <v>200000000</v>
      </c>
      <c r="R12" s="184">
        <v>200000000</v>
      </c>
      <c r="S12" s="184">
        <v>200000000</v>
      </c>
      <c r="T12" s="184">
        <v>200000000</v>
      </c>
      <c r="U12" s="184">
        <v>200000000</v>
      </c>
      <c r="V12" s="184">
        <v>200000000</v>
      </c>
      <c r="Y12" s="184">
        <f t="shared" si="3"/>
        <v>13660000</v>
      </c>
    </row>
    <row r="13" spans="1:26" s="8" customFormat="1" ht="12.75">
      <c r="A13" s="93">
        <f>A12+1</f>
        <v>8</v>
      </c>
      <c r="B13" s="97" t="s">
        <v>20</v>
      </c>
      <c r="C13" s="188">
        <v>0.0715</v>
      </c>
      <c r="D13" s="189">
        <v>35053</v>
      </c>
      <c r="E13" s="189">
        <v>46010</v>
      </c>
      <c r="F13" s="184">
        <f t="shared" si="0"/>
        <v>15000000</v>
      </c>
      <c r="G13" s="190">
        <v>99.211912</v>
      </c>
      <c r="H13" s="125">
        <f t="shared" si="1"/>
        <v>0.0721</v>
      </c>
      <c r="I13" s="184">
        <f t="shared" si="2"/>
        <v>1081500</v>
      </c>
      <c r="J13" s="184">
        <v>15000000</v>
      </c>
      <c r="K13" s="184">
        <v>15000000</v>
      </c>
      <c r="L13" s="184">
        <v>15000000</v>
      </c>
      <c r="M13" s="184">
        <v>15000000</v>
      </c>
      <c r="N13" s="184">
        <v>15000000</v>
      </c>
      <c r="O13" s="184">
        <v>15000000</v>
      </c>
      <c r="P13" s="184">
        <v>15000000</v>
      </c>
      <c r="Q13" s="184">
        <v>15000000</v>
      </c>
      <c r="R13" s="184">
        <v>15000000</v>
      </c>
      <c r="S13" s="184">
        <v>15000000</v>
      </c>
      <c r="T13" s="184">
        <v>15000000</v>
      </c>
      <c r="U13" s="184">
        <v>15000000</v>
      </c>
      <c r="V13" s="184">
        <v>15000000</v>
      </c>
      <c r="Y13" s="184">
        <f t="shared" si="3"/>
        <v>1081500</v>
      </c>
      <c r="Z13" s="7"/>
    </row>
    <row r="14" spans="1:25" s="8" customFormat="1" ht="12.75">
      <c r="A14" s="93">
        <f t="shared" si="4"/>
        <v>9</v>
      </c>
      <c r="B14" s="97" t="s">
        <v>20</v>
      </c>
      <c r="C14" s="188">
        <v>0.072</v>
      </c>
      <c r="D14" s="189">
        <v>35054</v>
      </c>
      <c r="E14" s="189">
        <v>46013</v>
      </c>
      <c r="F14" s="184">
        <f t="shared" si="0"/>
        <v>2000000</v>
      </c>
      <c r="G14" s="190">
        <v>99.2116</v>
      </c>
      <c r="H14" s="125">
        <f t="shared" si="1"/>
        <v>0.0726</v>
      </c>
      <c r="I14" s="184">
        <f t="shared" si="2"/>
        <v>145200</v>
      </c>
      <c r="J14" s="184">
        <v>2000000</v>
      </c>
      <c r="K14" s="184">
        <v>2000000</v>
      </c>
      <c r="L14" s="184">
        <v>2000000</v>
      </c>
      <c r="M14" s="184">
        <v>2000000</v>
      </c>
      <c r="N14" s="184">
        <v>2000000</v>
      </c>
      <c r="O14" s="184">
        <v>2000000</v>
      </c>
      <c r="P14" s="184">
        <v>2000000</v>
      </c>
      <c r="Q14" s="184">
        <v>2000000</v>
      </c>
      <c r="R14" s="184">
        <v>2000000</v>
      </c>
      <c r="S14" s="184">
        <v>2000000</v>
      </c>
      <c r="T14" s="184">
        <v>2000000</v>
      </c>
      <c r="U14" s="184">
        <v>2000000</v>
      </c>
      <c r="V14" s="184">
        <v>2000000</v>
      </c>
      <c r="Y14" s="184">
        <f t="shared" si="3"/>
        <v>145200</v>
      </c>
    </row>
    <row r="15" spans="1:25" s="8" customFormat="1" ht="12.75">
      <c r="A15" s="93">
        <f t="shared" si="4"/>
        <v>10</v>
      </c>
      <c r="B15" s="97" t="s">
        <v>18</v>
      </c>
      <c r="C15" s="188">
        <v>0.0702</v>
      </c>
      <c r="D15" s="189">
        <v>35786</v>
      </c>
      <c r="E15" s="189">
        <v>46722</v>
      </c>
      <c r="F15" s="184">
        <f t="shared" si="0"/>
        <v>300000000</v>
      </c>
      <c r="G15" s="190">
        <v>98.98573577666666</v>
      </c>
      <c r="H15" s="125">
        <f t="shared" si="1"/>
        <v>0.071</v>
      </c>
      <c r="I15" s="184">
        <f t="shared" si="2"/>
        <v>21300000</v>
      </c>
      <c r="J15" s="184">
        <v>300000000</v>
      </c>
      <c r="K15" s="184">
        <v>300000000</v>
      </c>
      <c r="L15" s="184">
        <v>300000000</v>
      </c>
      <c r="M15" s="184">
        <v>300000000</v>
      </c>
      <c r="N15" s="184">
        <v>300000000</v>
      </c>
      <c r="O15" s="184">
        <v>300000000</v>
      </c>
      <c r="P15" s="184">
        <v>300000000</v>
      </c>
      <c r="Q15" s="184">
        <v>300000000</v>
      </c>
      <c r="R15" s="184">
        <v>300000000</v>
      </c>
      <c r="S15" s="184">
        <v>300000000</v>
      </c>
      <c r="T15" s="184">
        <v>300000000</v>
      </c>
      <c r="U15" s="184">
        <v>300000000</v>
      </c>
      <c r="V15" s="184">
        <v>300000000</v>
      </c>
      <c r="Y15" s="184">
        <f t="shared" si="3"/>
        <v>21299999.999999996</v>
      </c>
    </row>
    <row r="16" spans="1:26" ht="12.75">
      <c r="A16" s="93">
        <f t="shared" si="4"/>
        <v>11</v>
      </c>
      <c r="B16" s="97" t="s">
        <v>19</v>
      </c>
      <c r="C16" s="188">
        <v>0.07</v>
      </c>
      <c r="D16" s="189">
        <v>36228</v>
      </c>
      <c r="E16" s="189">
        <v>47186</v>
      </c>
      <c r="F16" s="184">
        <f t="shared" si="0"/>
        <v>100000000</v>
      </c>
      <c r="G16" s="190">
        <v>99.04287054999999</v>
      </c>
      <c r="H16" s="125">
        <f t="shared" si="1"/>
        <v>0.0708</v>
      </c>
      <c r="I16" s="184">
        <f t="shared" si="2"/>
        <v>7080000</v>
      </c>
      <c r="J16" s="184">
        <v>100000000</v>
      </c>
      <c r="K16" s="184">
        <v>100000000</v>
      </c>
      <c r="L16" s="184">
        <v>100000000</v>
      </c>
      <c r="M16" s="184">
        <v>100000000</v>
      </c>
      <c r="N16" s="184">
        <v>100000000</v>
      </c>
      <c r="O16" s="184">
        <v>100000000</v>
      </c>
      <c r="P16" s="184">
        <v>100000000</v>
      </c>
      <c r="Q16" s="184">
        <v>100000000</v>
      </c>
      <c r="R16" s="184">
        <v>100000000</v>
      </c>
      <c r="S16" s="184">
        <v>100000000</v>
      </c>
      <c r="T16" s="184">
        <v>100000000</v>
      </c>
      <c r="U16" s="184">
        <v>100000000</v>
      </c>
      <c r="V16" s="184">
        <v>100000000</v>
      </c>
      <c r="Y16" s="184">
        <f t="shared" si="3"/>
        <v>7080000</v>
      </c>
      <c r="Z16" s="8"/>
    </row>
    <row r="17" spans="1:25" ht="12.75">
      <c r="A17" s="93">
        <f>A16+1</f>
        <v>12</v>
      </c>
      <c r="B17" s="191" t="s">
        <v>21</v>
      </c>
      <c r="C17" s="188">
        <v>0.039</v>
      </c>
      <c r="D17" s="192">
        <v>41417</v>
      </c>
      <c r="E17" s="193">
        <v>47908</v>
      </c>
      <c r="F17" s="184">
        <f>ROUND(((+J17+V17)+(SUM(K17:U17)*2))/24,0)</f>
        <v>138460000</v>
      </c>
      <c r="G17" s="190">
        <v>98.9391</v>
      </c>
      <c r="H17" s="125">
        <f aca="true" t="shared" si="5" ref="H17:H28">ROUND(YIELD(D17,E17,C17,G17,100,2,2),4)</f>
        <v>0.0398</v>
      </c>
      <c r="I17" s="184">
        <f aca="true" t="shared" si="6" ref="I17:I28">ROUND(+H17*F17,0)</f>
        <v>5510708</v>
      </c>
      <c r="J17" s="184">
        <v>138460000</v>
      </c>
      <c r="K17" s="184">
        <v>138460000</v>
      </c>
      <c r="L17" s="184">
        <v>138460000</v>
      </c>
      <c r="M17" s="184">
        <v>138460000</v>
      </c>
      <c r="N17" s="184">
        <v>138460000</v>
      </c>
      <c r="O17" s="184">
        <v>138460000</v>
      </c>
      <c r="P17" s="184">
        <v>138460000</v>
      </c>
      <c r="Q17" s="184">
        <v>138460000</v>
      </c>
      <c r="R17" s="184">
        <v>138460000</v>
      </c>
      <c r="S17" s="184">
        <v>138460000</v>
      </c>
      <c r="T17" s="184">
        <v>138460000</v>
      </c>
      <c r="U17" s="184">
        <v>138460000</v>
      </c>
      <c r="V17" s="184">
        <v>138460000</v>
      </c>
      <c r="Y17" s="184">
        <f>H17*V17</f>
        <v>5510708</v>
      </c>
    </row>
    <row r="18" spans="1:25" ht="12.75">
      <c r="A18" s="93">
        <f t="shared" si="4"/>
        <v>13</v>
      </c>
      <c r="B18" s="191" t="s">
        <v>21</v>
      </c>
      <c r="C18" s="188">
        <v>0.04</v>
      </c>
      <c r="D18" s="192">
        <v>41417</v>
      </c>
      <c r="E18" s="193">
        <v>47908</v>
      </c>
      <c r="F18" s="184">
        <f>ROUND(((+J18+V18)+(SUM(K18:U18)*2))/24,0)</f>
        <v>23400000</v>
      </c>
      <c r="G18" s="190">
        <v>98.9391</v>
      </c>
      <c r="H18" s="125">
        <f t="shared" si="5"/>
        <v>0.0408</v>
      </c>
      <c r="I18" s="184">
        <f t="shared" si="6"/>
        <v>954720</v>
      </c>
      <c r="J18" s="184">
        <v>23400000</v>
      </c>
      <c r="K18" s="184">
        <v>23400000</v>
      </c>
      <c r="L18" s="184">
        <v>23400000</v>
      </c>
      <c r="M18" s="184">
        <v>23400000</v>
      </c>
      <c r="N18" s="184">
        <v>23400000</v>
      </c>
      <c r="O18" s="184">
        <v>23400000</v>
      </c>
      <c r="P18" s="184">
        <v>23400000</v>
      </c>
      <c r="Q18" s="184">
        <v>23400000</v>
      </c>
      <c r="R18" s="184">
        <v>23400000</v>
      </c>
      <c r="S18" s="184">
        <v>23400000</v>
      </c>
      <c r="T18" s="184">
        <v>23400000</v>
      </c>
      <c r="U18" s="184">
        <v>23400000</v>
      </c>
      <c r="V18" s="184">
        <v>23400000</v>
      </c>
      <c r="Y18" s="184">
        <f>H18*V18</f>
        <v>954720.0000000001</v>
      </c>
    </row>
    <row r="19" spans="1:25" ht="12.75">
      <c r="A19" s="93">
        <f>A18+1</f>
        <v>14</v>
      </c>
      <c r="B19" s="97" t="s">
        <v>89</v>
      </c>
      <c r="C19" s="188">
        <v>0.05483</v>
      </c>
      <c r="D19" s="189">
        <v>38499</v>
      </c>
      <c r="E19" s="189">
        <v>49461</v>
      </c>
      <c r="F19" s="184">
        <f t="shared" si="0"/>
        <v>250000000</v>
      </c>
      <c r="G19" s="190">
        <v>84.886606836</v>
      </c>
      <c r="H19" s="125">
        <f t="shared" si="5"/>
        <v>0.0665</v>
      </c>
      <c r="I19" s="187">
        <f t="shared" si="6"/>
        <v>16625000</v>
      </c>
      <c r="J19" s="187">
        <v>250000000</v>
      </c>
      <c r="K19" s="187">
        <v>250000000</v>
      </c>
      <c r="L19" s="187">
        <v>250000000</v>
      </c>
      <c r="M19" s="187">
        <v>250000000</v>
      </c>
      <c r="N19" s="187">
        <v>250000000</v>
      </c>
      <c r="O19" s="187">
        <v>250000000</v>
      </c>
      <c r="P19" s="187">
        <v>250000000</v>
      </c>
      <c r="Q19" s="187">
        <v>250000000</v>
      </c>
      <c r="R19" s="187">
        <v>250000000</v>
      </c>
      <c r="S19" s="187">
        <v>250000000</v>
      </c>
      <c r="T19" s="187">
        <v>250000000</v>
      </c>
      <c r="U19" s="187">
        <v>250000000</v>
      </c>
      <c r="V19" s="187">
        <v>250000000</v>
      </c>
      <c r="Y19" s="184">
        <f t="shared" si="3"/>
        <v>16625000</v>
      </c>
    </row>
    <row r="20" spans="1:25" ht="12.75">
      <c r="A20" s="93">
        <f t="shared" si="4"/>
        <v>15</v>
      </c>
      <c r="B20" s="97" t="s">
        <v>89</v>
      </c>
      <c r="C20" s="188">
        <v>0.06724</v>
      </c>
      <c r="D20" s="189">
        <v>38898</v>
      </c>
      <c r="E20" s="189">
        <v>49841</v>
      </c>
      <c r="F20" s="184">
        <f>ROUND(((+J20+V20)+(SUM(K20:U20)*2))/24,0)</f>
        <v>250000000</v>
      </c>
      <c r="G20" s="190">
        <v>107.515271756</v>
      </c>
      <c r="H20" s="125">
        <f t="shared" si="5"/>
        <v>0.0617</v>
      </c>
      <c r="I20" s="187">
        <f t="shared" si="6"/>
        <v>15425000</v>
      </c>
      <c r="J20" s="187">
        <v>250000000</v>
      </c>
      <c r="K20" s="187">
        <v>250000000</v>
      </c>
      <c r="L20" s="187">
        <v>250000000</v>
      </c>
      <c r="M20" s="187">
        <v>250000000</v>
      </c>
      <c r="N20" s="187">
        <v>250000000</v>
      </c>
      <c r="O20" s="187">
        <v>250000000</v>
      </c>
      <c r="P20" s="187">
        <v>250000000</v>
      </c>
      <c r="Q20" s="187">
        <v>250000000</v>
      </c>
      <c r="R20" s="187">
        <v>250000000</v>
      </c>
      <c r="S20" s="187">
        <v>250000000</v>
      </c>
      <c r="T20" s="187">
        <v>250000000</v>
      </c>
      <c r="U20" s="187">
        <v>250000000</v>
      </c>
      <c r="V20" s="187">
        <v>250000000</v>
      </c>
      <c r="Y20" s="184">
        <f t="shared" si="3"/>
        <v>15425000</v>
      </c>
    </row>
    <row r="21" spans="1:25" ht="12.75">
      <c r="A21" s="93">
        <f t="shared" si="4"/>
        <v>16</v>
      </c>
      <c r="B21" s="97" t="s">
        <v>89</v>
      </c>
      <c r="C21" s="188">
        <v>0.06274</v>
      </c>
      <c r="D21" s="189">
        <v>38978</v>
      </c>
      <c r="E21" s="189">
        <v>50114</v>
      </c>
      <c r="F21" s="184">
        <f t="shared" si="0"/>
        <v>300000000</v>
      </c>
      <c r="G21" s="190">
        <v>98.8127</v>
      </c>
      <c r="H21" s="125">
        <f t="shared" si="5"/>
        <v>0.0636</v>
      </c>
      <c r="I21" s="187">
        <f t="shared" si="6"/>
        <v>19080000</v>
      </c>
      <c r="J21" s="187">
        <v>300000000</v>
      </c>
      <c r="K21" s="187">
        <v>300000000</v>
      </c>
      <c r="L21" s="187">
        <v>300000000</v>
      </c>
      <c r="M21" s="187">
        <v>300000000</v>
      </c>
      <c r="N21" s="187">
        <v>300000000</v>
      </c>
      <c r="O21" s="187">
        <v>300000000</v>
      </c>
      <c r="P21" s="187">
        <v>300000000</v>
      </c>
      <c r="Q21" s="187">
        <v>300000000</v>
      </c>
      <c r="R21" s="187">
        <v>300000000</v>
      </c>
      <c r="S21" s="187">
        <v>300000000</v>
      </c>
      <c r="T21" s="187">
        <v>300000000</v>
      </c>
      <c r="U21" s="187">
        <v>300000000</v>
      </c>
      <c r="V21" s="187">
        <v>300000000</v>
      </c>
      <c r="Y21" s="184">
        <f t="shared" si="3"/>
        <v>19080000</v>
      </c>
    </row>
    <row r="22" spans="1:25" ht="12.75">
      <c r="A22" s="93">
        <f t="shared" si="4"/>
        <v>17</v>
      </c>
      <c r="B22" s="97" t="s">
        <v>89</v>
      </c>
      <c r="C22" s="188">
        <v>0.05757</v>
      </c>
      <c r="D22" s="189">
        <v>40067</v>
      </c>
      <c r="E22" s="189">
        <v>51058</v>
      </c>
      <c r="F22" s="184">
        <f t="shared" si="0"/>
        <v>350000000</v>
      </c>
      <c r="G22" s="190">
        <v>98.9836</v>
      </c>
      <c r="H22" s="125">
        <f t="shared" si="5"/>
        <v>0.0583</v>
      </c>
      <c r="I22" s="187">
        <f t="shared" si="6"/>
        <v>20405000</v>
      </c>
      <c r="J22" s="187">
        <v>350000000</v>
      </c>
      <c r="K22" s="187">
        <v>350000000</v>
      </c>
      <c r="L22" s="187">
        <v>350000000</v>
      </c>
      <c r="M22" s="187">
        <v>350000000</v>
      </c>
      <c r="N22" s="187">
        <v>350000000</v>
      </c>
      <c r="O22" s="187">
        <v>350000000</v>
      </c>
      <c r="P22" s="187">
        <v>350000000</v>
      </c>
      <c r="Q22" s="187">
        <v>350000000</v>
      </c>
      <c r="R22" s="187">
        <v>350000000</v>
      </c>
      <c r="S22" s="187">
        <v>350000000</v>
      </c>
      <c r="T22" s="187">
        <v>350000000</v>
      </c>
      <c r="U22" s="187">
        <v>350000000</v>
      </c>
      <c r="V22" s="187">
        <v>350000000</v>
      </c>
      <c r="Y22" s="184">
        <f t="shared" si="3"/>
        <v>20405000</v>
      </c>
    </row>
    <row r="23" spans="1:25" ht="12.75">
      <c r="A23" s="93">
        <f t="shared" si="4"/>
        <v>18</v>
      </c>
      <c r="B23" s="97" t="s">
        <v>89</v>
      </c>
      <c r="C23" s="188">
        <v>0.05795</v>
      </c>
      <c r="D23" s="189">
        <v>40245</v>
      </c>
      <c r="E23" s="189">
        <v>51210</v>
      </c>
      <c r="F23" s="184">
        <f t="shared" si="0"/>
        <v>325000000</v>
      </c>
      <c r="G23" s="190">
        <v>98.9588</v>
      </c>
      <c r="H23" s="125">
        <f t="shared" si="5"/>
        <v>0.0587</v>
      </c>
      <c r="I23" s="187">
        <f t="shared" si="6"/>
        <v>19077500</v>
      </c>
      <c r="J23" s="187">
        <v>325000000</v>
      </c>
      <c r="K23" s="187">
        <v>325000000</v>
      </c>
      <c r="L23" s="187">
        <v>325000000</v>
      </c>
      <c r="M23" s="187">
        <v>325000000</v>
      </c>
      <c r="N23" s="187">
        <v>325000000</v>
      </c>
      <c r="O23" s="187">
        <v>325000000</v>
      </c>
      <c r="P23" s="187">
        <v>325000000</v>
      </c>
      <c r="Q23" s="187">
        <v>325000000</v>
      </c>
      <c r="R23" s="187">
        <v>325000000</v>
      </c>
      <c r="S23" s="187">
        <v>325000000</v>
      </c>
      <c r="T23" s="187">
        <v>325000000</v>
      </c>
      <c r="U23" s="187">
        <v>325000000</v>
      </c>
      <c r="V23" s="187">
        <v>325000000</v>
      </c>
      <c r="Y23" s="184">
        <f t="shared" si="3"/>
        <v>19077500</v>
      </c>
    </row>
    <row r="24" spans="1:25" ht="12.75">
      <c r="A24" s="93">
        <f t="shared" si="4"/>
        <v>19</v>
      </c>
      <c r="B24" s="97" t="s">
        <v>89</v>
      </c>
      <c r="C24" s="188">
        <v>0.05764</v>
      </c>
      <c r="D24" s="189">
        <v>40358</v>
      </c>
      <c r="E24" s="189">
        <v>51332</v>
      </c>
      <c r="F24" s="184">
        <f>ROUND(((+J24+V24)+(SUM(K24:U24)*2))/24,0)</f>
        <v>250000000</v>
      </c>
      <c r="G24" s="190">
        <v>98.9652</v>
      </c>
      <c r="H24" s="125">
        <f t="shared" si="5"/>
        <v>0.0584</v>
      </c>
      <c r="I24" s="187">
        <f t="shared" si="6"/>
        <v>14600000</v>
      </c>
      <c r="J24" s="187">
        <v>250000000</v>
      </c>
      <c r="K24" s="187">
        <v>250000000</v>
      </c>
      <c r="L24" s="187">
        <v>250000000</v>
      </c>
      <c r="M24" s="187">
        <v>250000000</v>
      </c>
      <c r="N24" s="187">
        <v>250000000</v>
      </c>
      <c r="O24" s="187">
        <v>250000000</v>
      </c>
      <c r="P24" s="187">
        <v>250000000</v>
      </c>
      <c r="Q24" s="187">
        <v>250000000</v>
      </c>
      <c r="R24" s="187">
        <v>250000000</v>
      </c>
      <c r="S24" s="187">
        <v>250000000</v>
      </c>
      <c r="T24" s="187">
        <v>250000000</v>
      </c>
      <c r="U24" s="187">
        <v>250000000</v>
      </c>
      <c r="V24" s="187">
        <v>250000000</v>
      </c>
      <c r="Y24" s="184">
        <f t="shared" si="3"/>
        <v>14600000</v>
      </c>
    </row>
    <row r="25" spans="1:25" ht="12.75">
      <c r="A25" s="93">
        <v>25</v>
      </c>
      <c r="B25" s="97" t="s">
        <v>89</v>
      </c>
      <c r="C25" s="188">
        <v>0.05638</v>
      </c>
      <c r="D25" s="189">
        <v>40627</v>
      </c>
      <c r="E25" s="189">
        <v>51606</v>
      </c>
      <c r="F25" s="184">
        <f>ROUND(((+J25+V25)+(SUM(K25:U25)*2))/24,0)</f>
        <v>300000000</v>
      </c>
      <c r="G25" s="190">
        <v>98.971</v>
      </c>
      <c r="H25" s="125">
        <f t="shared" si="5"/>
        <v>0.0571</v>
      </c>
      <c r="I25" s="187">
        <f t="shared" si="6"/>
        <v>17130000</v>
      </c>
      <c r="J25" s="187">
        <v>300000000</v>
      </c>
      <c r="K25" s="187">
        <v>300000000</v>
      </c>
      <c r="L25" s="187">
        <v>300000000</v>
      </c>
      <c r="M25" s="187">
        <v>300000000</v>
      </c>
      <c r="N25" s="187">
        <v>300000000</v>
      </c>
      <c r="O25" s="187">
        <v>300000000</v>
      </c>
      <c r="P25" s="187">
        <v>300000000</v>
      </c>
      <c r="Q25" s="187">
        <v>300000000</v>
      </c>
      <c r="R25" s="187">
        <v>300000000</v>
      </c>
      <c r="S25" s="187">
        <v>300000000</v>
      </c>
      <c r="T25" s="187">
        <v>300000000</v>
      </c>
      <c r="U25" s="187">
        <v>300000000</v>
      </c>
      <c r="V25" s="187">
        <v>300000000</v>
      </c>
      <c r="Y25" s="184">
        <f t="shared" si="3"/>
        <v>17130000</v>
      </c>
    </row>
    <row r="26" spans="1:25" ht="12.75">
      <c r="A26" s="93">
        <v>26</v>
      </c>
      <c r="B26" s="97" t="s">
        <v>89</v>
      </c>
      <c r="C26" s="188">
        <v>0.04434</v>
      </c>
      <c r="D26" s="189">
        <v>40863</v>
      </c>
      <c r="E26" s="189">
        <v>51820</v>
      </c>
      <c r="F26" s="184">
        <f>ROUND(((+J26+V26)+(SUM(K26:U26)*2))/24,0)</f>
        <v>250000000</v>
      </c>
      <c r="G26" s="190">
        <v>98.963</v>
      </c>
      <c r="H26" s="125">
        <f t="shared" si="5"/>
        <v>0.045</v>
      </c>
      <c r="I26" s="187">
        <f t="shared" si="6"/>
        <v>11250000</v>
      </c>
      <c r="J26" s="187">
        <v>250000000</v>
      </c>
      <c r="K26" s="187">
        <v>250000000</v>
      </c>
      <c r="L26" s="187">
        <v>250000000</v>
      </c>
      <c r="M26" s="187">
        <v>250000000</v>
      </c>
      <c r="N26" s="187">
        <v>250000000</v>
      </c>
      <c r="O26" s="187">
        <v>250000000</v>
      </c>
      <c r="P26" s="187">
        <v>250000000</v>
      </c>
      <c r="Q26" s="187">
        <v>250000000</v>
      </c>
      <c r="R26" s="187">
        <v>250000000</v>
      </c>
      <c r="S26" s="187">
        <v>250000000</v>
      </c>
      <c r="T26" s="187">
        <v>250000000</v>
      </c>
      <c r="U26" s="187">
        <v>250000000</v>
      </c>
      <c r="V26" s="187">
        <v>250000000</v>
      </c>
      <c r="Y26" s="184">
        <f t="shared" si="3"/>
        <v>11250000</v>
      </c>
    </row>
    <row r="27" spans="1:25" ht="12.75">
      <c r="A27" s="93">
        <v>27</v>
      </c>
      <c r="B27" s="97" t="s">
        <v>89</v>
      </c>
      <c r="C27" s="188">
        <v>0.047</v>
      </c>
      <c r="D27" s="189">
        <v>40869</v>
      </c>
      <c r="E27" s="189">
        <v>55472</v>
      </c>
      <c r="F27" s="184">
        <f>ROUND(((+J27+V27)+(SUM(K27:U27)*2))/24,0)</f>
        <v>45000000</v>
      </c>
      <c r="G27" s="190">
        <v>98.8639</v>
      </c>
      <c r="H27" s="125">
        <f t="shared" si="5"/>
        <v>0.0476</v>
      </c>
      <c r="I27" s="187">
        <f t="shared" si="6"/>
        <v>2142000</v>
      </c>
      <c r="J27" s="187">
        <v>45000000</v>
      </c>
      <c r="K27" s="187">
        <v>45000000</v>
      </c>
      <c r="L27" s="187">
        <v>45000000</v>
      </c>
      <c r="M27" s="187">
        <v>45000000</v>
      </c>
      <c r="N27" s="187">
        <v>45000000</v>
      </c>
      <c r="O27" s="187">
        <v>45000000</v>
      </c>
      <c r="P27" s="187">
        <v>45000000</v>
      </c>
      <c r="Q27" s="187">
        <v>45000000</v>
      </c>
      <c r="R27" s="187">
        <v>45000000</v>
      </c>
      <c r="S27" s="187">
        <v>45000000</v>
      </c>
      <c r="T27" s="187">
        <v>45000000</v>
      </c>
      <c r="U27" s="187">
        <v>45000000</v>
      </c>
      <c r="V27" s="187">
        <v>45000000</v>
      </c>
      <c r="Y27" s="184">
        <f t="shared" si="3"/>
        <v>2142000</v>
      </c>
    </row>
    <row r="28" spans="1:25" ht="12.75">
      <c r="A28" s="93">
        <v>28</v>
      </c>
      <c r="B28" s="97" t="s">
        <v>118</v>
      </c>
      <c r="C28" s="188">
        <v>0.06974</v>
      </c>
      <c r="D28" s="189">
        <v>39237</v>
      </c>
      <c r="E28" s="189">
        <v>42887</v>
      </c>
      <c r="F28" s="184">
        <f>ROUND(((+J28+V28)+(SUM(K28:U28)*2))/24,0)</f>
        <v>250000000</v>
      </c>
      <c r="G28" s="190">
        <v>98.2262</v>
      </c>
      <c r="H28" s="125">
        <f t="shared" si="5"/>
        <v>0.0723</v>
      </c>
      <c r="I28" s="187">
        <f t="shared" si="6"/>
        <v>18075000</v>
      </c>
      <c r="J28" s="184">
        <v>250000000</v>
      </c>
      <c r="K28" s="184">
        <v>250000000</v>
      </c>
      <c r="L28" s="184">
        <v>250000000</v>
      </c>
      <c r="M28" s="184">
        <v>250000000</v>
      </c>
      <c r="N28" s="184">
        <v>250000000</v>
      </c>
      <c r="O28" s="184">
        <v>250000000</v>
      </c>
      <c r="P28" s="184">
        <v>250000000</v>
      </c>
      <c r="Q28" s="184">
        <v>250000000</v>
      </c>
      <c r="R28" s="184">
        <v>250000000</v>
      </c>
      <c r="S28" s="184">
        <v>250000000</v>
      </c>
      <c r="T28" s="184">
        <v>250000000</v>
      </c>
      <c r="U28" s="184">
        <v>250000000</v>
      </c>
      <c r="V28" s="184">
        <v>250000000</v>
      </c>
      <c r="Y28" s="184">
        <f t="shared" si="3"/>
        <v>18075000</v>
      </c>
    </row>
    <row r="29" spans="1:25" ht="12.75">
      <c r="A29" s="93">
        <f t="shared" si="4"/>
        <v>29</v>
      </c>
      <c r="B29" s="97"/>
      <c r="C29" s="188"/>
      <c r="D29" s="189"/>
      <c r="E29" s="189"/>
      <c r="F29" s="184"/>
      <c r="G29" s="198"/>
      <c r="H29" s="125"/>
      <c r="I29" s="187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Y29" s="264">
        <f>SUM(Y7:Y28)</f>
        <v>229612028</v>
      </c>
    </row>
    <row r="30" spans="1:25" ht="13.5" thickBot="1">
      <c r="A30" s="93">
        <f t="shared" si="4"/>
        <v>30</v>
      </c>
      <c r="B30" s="97"/>
      <c r="C30" s="99" t="s">
        <v>108</v>
      </c>
      <c r="D30" s="189"/>
      <c r="E30" s="189"/>
      <c r="F30" s="184"/>
      <c r="G30" s="194"/>
      <c r="H30" s="125"/>
      <c r="I30" s="195">
        <f>'Pg 7 Reacquired Debt'!I28</f>
        <v>1870892.9999999998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Y30" s="264">
        <f>I30</f>
        <v>1870892.9999999998</v>
      </c>
    </row>
    <row r="31" spans="1:26" ht="13.5" thickBot="1">
      <c r="A31" s="93">
        <f t="shared" si="4"/>
        <v>31</v>
      </c>
      <c r="B31" s="99" t="s">
        <v>121</v>
      </c>
      <c r="C31" s="188"/>
      <c r="D31" s="189"/>
      <c r="E31" s="189"/>
      <c r="F31" s="195">
        <f>SUM(F7:F30)</f>
        <v>3761276667</v>
      </c>
      <c r="G31" s="196"/>
      <c r="H31" s="148">
        <f>ROUND(+I31/F31,4)</f>
        <v>0.0616</v>
      </c>
      <c r="I31" s="199">
        <f aca="true" t="shared" si="7" ref="I31:V31">SUM(I7:I30)</f>
        <v>231512129</v>
      </c>
      <c r="J31" s="199">
        <f t="shared" si="7"/>
        <v>3770860000</v>
      </c>
      <c r="K31" s="199">
        <f t="shared" si="7"/>
        <v>3760860000</v>
      </c>
      <c r="L31" s="199">
        <f t="shared" si="7"/>
        <v>3760860000</v>
      </c>
      <c r="M31" s="199">
        <f t="shared" si="7"/>
        <v>3760860000</v>
      </c>
      <c r="N31" s="199">
        <f t="shared" si="7"/>
        <v>3760860000</v>
      </c>
      <c r="O31" s="199">
        <f t="shared" si="7"/>
        <v>3760860000</v>
      </c>
      <c r="P31" s="199">
        <f t="shared" si="7"/>
        <v>3760860000</v>
      </c>
      <c r="Q31" s="199">
        <f t="shared" si="7"/>
        <v>3760860000</v>
      </c>
      <c r="R31" s="199">
        <f t="shared" si="7"/>
        <v>3760860000</v>
      </c>
      <c r="S31" s="199">
        <f t="shared" si="7"/>
        <v>3760860000</v>
      </c>
      <c r="T31" s="199">
        <f t="shared" si="7"/>
        <v>3760860000</v>
      </c>
      <c r="U31" s="199">
        <f t="shared" si="7"/>
        <v>3760860000</v>
      </c>
      <c r="V31" s="199">
        <f t="shared" si="7"/>
        <v>3760860000</v>
      </c>
      <c r="Y31" s="199">
        <f>SUM(Y29:Y30)</f>
        <v>231482921</v>
      </c>
      <c r="Z31" s="265">
        <f>Y31/V31</f>
        <v>0.061550528602500494</v>
      </c>
    </row>
    <row r="32" spans="1:25" ht="12.75">
      <c r="A32" s="93">
        <f t="shared" si="4"/>
        <v>32</v>
      </c>
      <c r="B32" s="97"/>
      <c r="C32" s="188"/>
      <c r="D32" s="189"/>
      <c r="E32" s="189"/>
      <c r="F32" s="197"/>
      <c r="G32" s="194"/>
      <c r="H32" s="169"/>
      <c r="I32" s="197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Y32" s="185">
        <f>H32*V32</f>
        <v>0</v>
      </c>
    </row>
    <row r="33" spans="1:25" ht="12.75">
      <c r="A33" s="93">
        <f t="shared" si="4"/>
        <v>33</v>
      </c>
      <c r="B33" s="99"/>
      <c r="C33" s="96"/>
      <c r="D33" s="96"/>
      <c r="E33" s="96"/>
      <c r="F33" s="197"/>
      <c r="G33" s="5"/>
      <c r="H33" s="169"/>
      <c r="I33" s="197"/>
      <c r="J33" s="187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Y33" s="184">
        <f>I33</f>
        <v>0</v>
      </c>
    </row>
    <row r="34" spans="1:26" ht="12.75">
      <c r="A34" s="93">
        <f t="shared" si="4"/>
        <v>34</v>
      </c>
      <c r="B34" s="95" t="s">
        <v>79</v>
      </c>
      <c r="C34" s="96"/>
      <c r="D34" s="96"/>
      <c r="E34" s="96"/>
      <c r="F34" s="96"/>
      <c r="G34" s="96"/>
      <c r="H34" s="96"/>
      <c r="I34" s="96"/>
      <c r="Y34" s="197"/>
      <c r="Z34" s="169"/>
    </row>
    <row r="35" spans="1:9" ht="12.75">
      <c r="A35" s="93">
        <f t="shared" si="4"/>
        <v>35</v>
      </c>
      <c r="B35" s="95" t="s">
        <v>87</v>
      </c>
      <c r="C35" s="96"/>
      <c r="D35" s="96"/>
      <c r="E35" s="96"/>
      <c r="F35" s="96"/>
      <c r="G35" s="98"/>
      <c r="H35" s="96"/>
      <c r="I35" s="96"/>
    </row>
    <row r="36" spans="1:9" ht="12.75">
      <c r="A36" s="93"/>
      <c r="B36" s="95"/>
      <c r="C36" s="96"/>
      <c r="D36" s="96"/>
      <c r="E36" s="96"/>
      <c r="F36" s="96"/>
      <c r="G36" s="98"/>
      <c r="H36" s="96"/>
      <c r="I36" s="96"/>
    </row>
    <row r="37" spans="1:56" ht="12.75">
      <c r="A37" s="93"/>
      <c r="B37" s="94"/>
      <c r="C37" s="94"/>
      <c r="D37" s="94"/>
      <c r="E37" s="214"/>
      <c r="G37" s="94"/>
      <c r="H37" s="200"/>
      <c r="I37" s="201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</row>
    <row r="38" spans="1:22" ht="12.75">
      <c r="A38" s="22"/>
      <c r="B38" s="203"/>
      <c r="C38" s="203"/>
      <c r="D38" s="203"/>
      <c r="E38" s="203"/>
      <c r="F38" s="183"/>
      <c r="G38" s="203"/>
      <c r="H38" s="96"/>
      <c r="I38" s="122"/>
      <c r="J38" s="204"/>
      <c r="K38" s="204"/>
      <c r="L38" s="204"/>
      <c r="M38" s="204"/>
      <c r="N38" s="97"/>
      <c r="O38" s="97"/>
      <c r="P38" s="97"/>
      <c r="Q38" s="97"/>
      <c r="R38" s="97"/>
      <c r="S38" s="97"/>
      <c r="T38" s="97"/>
      <c r="U38" s="97"/>
      <c r="V38" s="97"/>
    </row>
    <row r="39" spans="1:22" ht="12.75">
      <c r="A39" s="22"/>
      <c r="B39" s="203"/>
      <c r="C39" s="203"/>
      <c r="D39" s="203"/>
      <c r="E39" s="203"/>
      <c r="F39" s="182"/>
      <c r="G39" s="203"/>
      <c r="H39" s="94"/>
      <c r="I39" s="201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</row>
    <row r="40" spans="1:22" ht="12.75">
      <c r="A40" s="22"/>
      <c r="B40" s="8"/>
      <c r="C40" s="8"/>
      <c r="D40" s="8"/>
      <c r="E40" s="8"/>
      <c r="F40" s="183"/>
      <c r="G40" s="8"/>
      <c r="H40" s="8"/>
      <c r="I40" s="23"/>
      <c r="J40" s="151">
        <f aca="true" t="shared" si="8" ref="J40:V40">IF(J39&lt;&gt;0,"ERROR","")</f>
      </c>
      <c r="K40" s="151">
        <f t="shared" si="8"/>
      </c>
      <c r="L40" s="151">
        <f t="shared" si="8"/>
      </c>
      <c r="M40" s="151">
        <f t="shared" si="8"/>
      </c>
      <c r="N40" s="151">
        <f t="shared" si="8"/>
      </c>
      <c r="O40" s="151">
        <f t="shared" si="8"/>
      </c>
      <c r="P40" s="151">
        <f t="shared" si="8"/>
      </c>
      <c r="Q40" s="151">
        <f t="shared" si="8"/>
      </c>
      <c r="R40" s="151">
        <f t="shared" si="8"/>
      </c>
      <c r="S40" s="151">
        <f t="shared" si="8"/>
      </c>
      <c r="T40" s="151">
        <f t="shared" si="8"/>
      </c>
      <c r="U40" s="151">
        <f t="shared" si="8"/>
      </c>
      <c r="V40" s="22">
        <f t="shared" si="8"/>
      </c>
    </row>
    <row r="41" spans="1:8" ht="12.75">
      <c r="A41" s="22"/>
      <c r="B41" s="8"/>
      <c r="C41" s="8"/>
      <c r="D41" s="8"/>
      <c r="E41" s="8"/>
      <c r="F41" s="23"/>
      <c r="G41" s="8"/>
      <c r="H41" s="125"/>
    </row>
    <row r="42" spans="1:9" ht="12.75">
      <c r="A42" s="24"/>
      <c r="B42" s="25"/>
      <c r="C42" s="26"/>
      <c r="D42" s="27"/>
      <c r="E42" s="27"/>
      <c r="F42" s="175"/>
      <c r="G42" s="29"/>
      <c r="H42" s="125"/>
      <c r="I42" s="66"/>
    </row>
    <row r="43" spans="1:9" ht="12.75">
      <c r="A43" s="24"/>
      <c r="B43" s="25"/>
      <c r="C43" s="26"/>
      <c r="D43" s="27"/>
      <c r="E43" s="27"/>
      <c r="F43" s="28"/>
      <c r="G43" s="29"/>
      <c r="H43" s="30"/>
      <c r="I43" s="31"/>
    </row>
    <row r="44" spans="1:9" ht="12.75">
      <c r="A44" s="24"/>
      <c r="B44" s="25"/>
      <c r="C44" s="26"/>
      <c r="D44" s="27"/>
      <c r="E44" s="27"/>
      <c r="F44" s="28"/>
      <c r="G44" s="29"/>
      <c r="H44" s="30"/>
      <c r="I44" s="31"/>
    </row>
    <row r="45" spans="1:9" ht="12.75" hidden="1">
      <c r="A45" s="32"/>
      <c r="B45" s="8"/>
      <c r="C45" s="8"/>
      <c r="D45" s="8"/>
      <c r="E45" s="8"/>
      <c r="F45" s="23"/>
      <c r="G45" s="8"/>
      <c r="H45" s="33"/>
      <c r="I45" s="23"/>
    </row>
    <row r="46" spans="1:9" ht="12.75" hidden="1">
      <c r="A46" s="32"/>
      <c r="B46" s="8"/>
      <c r="C46" s="8"/>
      <c r="D46" s="8"/>
      <c r="E46" s="8"/>
      <c r="F46" s="23"/>
      <c r="G46" s="8"/>
      <c r="H46" s="34"/>
      <c r="I46" s="23"/>
    </row>
    <row r="47" spans="1:9" ht="12.75" hidden="1">
      <c r="A47" s="32"/>
      <c r="B47" s="8"/>
      <c r="C47" s="8"/>
      <c r="D47" s="8"/>
      <c r="E47" s="8"/>
      <c r="F47" s="23"/>
      <c r="G47" s="8"/>
      <c r="H47" s="8"/>
      <c r="I47" s="23"/>
    </row>
    <row r="48" spans="1:9" ht="12.75">
      <c r="A48" s="24"/>
      <c r="B48" s="25"/>
      <c r="C48" s="26"/>
      <c r="D48" s="27"/>
      <c r="E48" s="27"/>
      <c r="F48" s="28"/>
      <c r="G48" s="29"/>
      <c r="H48" s="30"/>
      <c r="I48" s="31"/>
    </row>
    <row r="49" spans="1:9" ht="12.75">
      <c r="A49" s="24"/>
      <c r="B49" s="25"/>
      <c r="C49" s="26"/>
      <c r="D49" s="27"/>
      <c r="E49" s="27"/>
      <c r="F49" s="28"/>
      <c r="G49" s="29"/>
      <c r="H49" s="30"/>
      <c r="I49" s="31"/>
    </row>
    <row r="50" spans="1:9" ht="12.75">
      <c r="A50" s="32"/>
      <c r="B50" s="8"/>
      <c r="C50" s="8"/>
      <c r="D50" s="8"/>
      <c r="E50" s="8"/>
      <c r="F50" s="23"/>
      <c r="G50" s="8"/>
      <c r="H50" s="8"/>
      <c r="I50" s="23"/>
    </row>
    <row r="51" spans="1:9" ht="12.75">
      <c r="A51" s="32"/>
      <c r="B51" s="8"/>
      <c r="C51" s="8"/>
      <c r="D51" s="8"/>
      <c r="E51" s="8"/>
      <c r="F51" s="23"/>
      <c r="G51" s="8"/>
      <c r="H51" s="8"/>
      <c r="I51" s="23"/>
    </row>
    <row r="52" spans="1:9" ht="12.75">
      <c r="A52" s="32"/>
      <c r="B52" s="8"/>
      <c r="C52" s="8"/>
      <c r="D52" s="8"/>
      <c r="E52" s="8"/>
      <c r="F52" s="23"/>
      <c r="G52" s="8"/>
      <c r="H52" s="8"/>
      <c r="I52" s="23"/>
    </row>
    <row r="53" spans="1:9" ht="12.75">
      <c r="A53" s="32"/>
      <c r="B53" s="8"/>
      <c r="C53" s="8"/>
      <c r="D53" s="8"/>
      <c r="E53" s="8"/>
      <c r="F53" s="23"/>
      <c r="G53" s="8"/>
      <c r="H53" s="8"/>
      <c r="I53" s="23"/>
    </row>
    <row r="54" spans="1:9" ht="12.75">
      <c r="A54" s="32"/>
      <c r="B54" s="8"/>
      <c r="C54" s="8"/>
      <c r="D54" s="8"/>
      <c r="E54" s="8"/>
      <c r="F54" s="23"/>
      <c r="G54" s="8"/>
      <c r="H54" s="8"/>
      <c r="I54" s="23"/>
    </row>
    <row r="55" spans="1:9" ht="12.75">
      <c r="A55" s="32"/>
      <c r="B55" s="8"/>
      <c r="C55" s="8"/>
      <c r="D55" s="8"/>
      <c r="E55" s="8"/>
      <c r="F55" s="23"/>
      <c r="G55" s="8"/>
      <c r="H55" s="8"/>
      <c r="I55" s="23"/>
    </row>
    <row r="56" spans="1:9" ht="12.75">
      <c r="A56" s="32"/>
      <c r="B56" s="8"/>
      <c r="C56" s="8"/>
      <c r="D56" s="8"/>
      <c r="E56" s="8"/>
      <c r="F56" s="23"/>
      <c r="G56" s="8"/>
      <c r="H56" s="8"/>
      <c r="I56" s="23"/>
    </row>
    <row r="57" spans="1:9" ht="12.75">
      <c r="A57" s="32"/>
      <c r="B57" s="8"/>
      <c r="C57" s="8"/>
      <c r="D57" s="8"/>
      <c r="E57" s="8"/>
      <c r="F57" s="23"/>
      <c r="G57" s="8"/>
      <c r="H57" s="8"/>
      <c r="I57" s="23"/>
    </row>
    <row r="58" spans="1:9" ht="12.75">
      <c r="A58" s="32"/>
      <c r="B58" s="8"/>
      <c r="C58" s="8"/>
      <c r="D58" s="8"/>
      <c r="E58" s="8"/>
      <c r="F58" s="23"/>
      <c r="G58" s="8"/>
      <c r="H58" s="8"/>
      <c r="I58" s="23"/>
    </row>
    <row r="59" spans="1:9" ht="12.75">
      <c r="A59" s="22"/>
      <c r="B59" s="8"/>
      <c r="C59" s="25"/>
      <c r="D59" s="8"/>
      <c r="E59" s="8"/>
      <c r="F59" s="23"/>
      <c r="G59" s="8"/>
      <c r="H59" s="8"/>
      <c r="I59" s="23"/>
    </row>
    <row r="60" spans="3:5" ht="12.75">
      <c r="C60" s="4"/>
      <c r="E60" s="10"/>
    </row>
    <row r="61" ht="12.75">
      <c r="C61" s="9"/>
    </row>
  </sheetData>
  <sheetProtection/>
  <mergeCells count="3">
    <mergeCell ref="A1:V1"/>
    <mergeCell ref="A2:V2"/>
    <mergeCell ref="A3:V3"/>
  </mergeCells>
  <printOptions horizontalCentered="1" verticalCentered="1"/>
  <pageMargins left="0.2" right="0.2" top="0.41" bottom="0.35" header="0.17" footer="0.17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4" sqref="A4"/>
    </sheetView>
  </sheetViews>
  <sheetFormatPr defaultColWidth="8.83203125" defaultRowHeight="11.25" outlineLevelCol="1"/>
  <cols>
    <col min="1" max="1" width="4.66015625" style="11" customWidth="1"/>
    <col min="2" max="2" width="46" style="11" customWidth="1"/>
    <col min="3" max="3" width="10.83203125" style="11" customWidth="1"/>
    <col min="4" max="4" width="11.83203125" style="11" customWidth="1"/>
    <col min="5" max="5" width="12.83203125" style="11" customWidth="1"/>
    <col min="6" max="6" width="15.83203125" style="11" customWidth="1"/>
    <col min="7" max="7" width="13" style="11" customWidth="1"/>
    <col min="8" max="8" width="13.83203125" style="11" customWidth="1"/>
    <col min="9" max="9" width="15.16015625" style="11" customWidth="1"/>
    <col min="10" max="10" width="12.16015625" style="11" customWidth="1"/>
    <col min="11" max="11" width="6.33203125" style="11" customWidth="1"/>
    <col min="12" max="12" width="12" style="11" hidden="1" customWidth="1" outlineLevel="1"/>
    <col min="13" max="13" width="14.66015625" style="11" hidden="1" customWidth="1" outlineLevel="1"/>
    <col min="14" max="14" width="15.16015625" style="11" hidden="1" customWidth="1" outlineLevel="1"/>
    <col min="15" max="15" width="12.16015625" style="11" hidden="1" customWidth="1" outlineLevel="1"/>
    <col min="16" max="16" width="9.66015625" style="11" hidden="1" customWidth="1" outlineLevel="1"/>
    <col min="17" max="17" width="13.5" style="11" bestFit="1" customWidth="1" collapsed="1"/>
    <col min="18" max="18" width="10.5" style="11" bestFit="1" customWidth="1"/>
    <col min="19" max="19" width="9.16015625" style="11" bestFit="1" customWidth="1"/>
    <col min="20" max="16384" width="8.83203125" style="11" customWidth="1"/>
  </cols>
  <sheetData>
    <row r="1" spans="1:16" ht="12.75" customHeight="1">
      <c r="A1" s="391" t="s">
        <v>22</v>
      </c>
      <c r="B1" s="391"/>
      <c r="C1" s="391"/>
      <c r="D1" s="391"/>
      <c r="E1" s="391"/>
      <c r="F1" s="391"/>
      <c r="G1" s="391"/>
      <c r="H1" s="391"/>
      <c r="I1" s="391"/>
      <c r="J1" s="391"/>
      <c r="K1" s="36"/>
      <c r="L1" s="36"/>
      <c r="M1" s="36"/>
      <c r="N1" s="36"/>
      <c r="O1" s="36"/>
      <c r="P1" s="36"/>
    </row>
    <row r="2" spans="1:16" s="12" customFormat="1" ht="12.75" customHeight="1">
      <c r="A2" s="391" t="s">
        <v>23</v>
      </c>
      <c r="B2" s="391"/>
      <c r="C2" s="391"/>
      <c r="D2" s="391"/>
      <c r="E2" s="391"/>
      <c r="F2" s="391"/>
      <c r="G2" s="391"/>
      <c r="H2" s="391"/>
      <c r="I2" s="391"/>
      <c r="J2" s="391"/>
      <c r="K2" s="36"/>
      <c r="L2" s="36"/>
      <c r="M2" s="36"/>
      <c r="N2" s="36"/>
      <c r="O2" s="36"/>
      <c r="P2" s="36"/>
    </row>
    <row r="3" spans="1:16" s="12" customFormat="1" ht="12.75" customHeight="1">
      <c r="A3" s="392">
        <f>+'Pg 1 CofCap'!A4</f>
        <v>41912</v>
      </c>
      <c r="B3" s="392"/>
      <c r="C3" s="392"/>
      <c r="D3" s="392"/>
      <c r="E3" s="392"/>
      <c r="F3" s="392"/>
      <c r="G3" s="392"/>
      <c r="H3" s="392"/>
      <c r="I3" s="392"/>
      <c r="J3" s="392"/>
      <c r="K3" s="36"/>
      <c r="L3" s="36"/>
      <c r="M3" s="36"/>
      <c r="N3" s="36"/>
      <c r="O3" s="36"/>
      <c r="P3" s="36"/>
    </row>
    <row r="4" spans="2:16" s="12" customFormat="1" ht="12.75" customHeight="1">
      <c r="B4" s="87"/>
      <c r="C4" s="87"/>
      <c r="D4" s="87"/>
      <c r="E4" s="37"/>
      <c r="F4" s="37"/>
      <c r="G4" s="37"/>
      <c r="H4" s="37"/>
      <c r="I4" s="37"/>
      <c r="J4" s="38"/>
      <c r="K4" s="36"/>
      <c r="L4" s="275" t="s">
        <v>177</v>
      </c>
      <c r="M4" s="36"/>
      <c r="N4" s="36"/>
      <c r="O4" s="36"/>
      <c r="P4" s="36"/>
    </row>
    <row r="5" spans="1:16" s="12" customFormat="1" ht="12.75" customHeight="1">
      <c r="A5" s="163">
        <v>1</v>
      </c>
      <c r="B5" s="89" t="s">
        <v>2</v>
      </c>
      <c r="C5" s="89" t="s">
        <v>24</v>
      </c>
      <c r="D5" s="89" t="s">
        <v>47</v>
      </c>
      <c r="E5" s="89" t="s">
        <v>58</v>
      </c>
      <c r="F5" s="89" t="s">
        <v>59</v>
      </c>
      <c r="G5" s="176" t="s">
        <v>60</v>
      </c>
      <c r="H5" s="89" t="s">
        <v>61</v>
      </c>
      <c r="I5" s="89" t="s">
        <v>62</v>
      </c>
      <c r="J5" s="89" t="s">
        <v>63</v>
      </c>
      <c r="K5" s="36"/>
      <c r="L5" s="36"/>
      <c r="M5" s="36"/>
      <c r="N5" s="36"/>
      <c r="O5" s="36"/>
      <c r="P5" s="36"/>
    </row>
    <row r="6" spans="1:16" s="12" customFormat="1" ht="12.75" customHeight="1">
      <c r="A6" s="163">
        <f aca="true" t="shared" si="0" ref="A6:A26">A5+1</f>
        <v>2</v>
      </c>
      <c r="B6" s="39" t="s">
        <v>1</v>
      </c>
      <c r="C6" s="170" t="s">
        <v>14</v>
      </c>
      <c r="D6" s="171" t="s">
        <v>99</v>
      </c>
      <c r="E6" s="152" t="s">
        <v>136</v>
      </c>
      <c r="F6" s="152" t="s">
        <v>137</v>
      </c>
      <c r="G6" s="152" t="s">
        <v>137</v>
      </c>
      <c r="H6" s="152" t="s">
        <v>64</v>
      </c>
      <c r="I6" s="171" t="s">
        <v>15</v>
      </c>
      <c r="J6" s="38"/>
      <c r="K6" s="36"/>
      <c r="L6" s="274" t="s">
        <v>174</v>
      </c>
      <c r="M6" s="36"/>
      <c r="N6" s="36"/>
      <c r="O6" s="36"/>
      <c r="P6" s="36"/>
    </row>
    <row r="7" spans="1:16" s="12" customFormat="1" ht="12.75" customHeight="1">
      <c r="A7" s="163">
        <f t="shared" si="0"/>
        <v>3</v>
      </c>
      <c r="B7" s="78" t="s">
        <v>14</v>
      </c>
      <c r="C7" s="40" t="s">
        <v>100</v>
      </c>
      <c r="D7" s="40" t="s">
        <v>100</v>
      </c>
      <c r="E7" s="40" t="s">
        <v>100</v>
      </c>
      <c r="F7" s="40" t="s">
        <v>14</v>
      </c>
      <c r="G7" s="40" t="s">
        <v>100</v>
      </c>
      <c r="H7" s="40" t="s">
        <v>138</v>
      </c>
      <c r="I7" s="40" t="s">
        <v>135</v>
      </c>
      <c r="J7" s="41" t="s">
        <v>51</v>
      </c>
      <c r="K7" s="36"/>
      <c r="L7" s="274" t="s">
        <v>175</v>
      </c>
      <c r="M7" s="36"/>
      <c r="N7" s="36"/>
      <c r="O7" s="269">
        <v>40543</v>
      </c>
      <c r="P7" s="36"/>
    </row>
    <row r="8" spans="1:16" s="12" customFormat="1" ht="12.75" customHeight="1">
      <c r="A8" s="163">
        <f t="shared" si="0"/>
        <v>4</v>
      </c>
      <c r="B8" s="79"/>
      <c r="C8" s="80"/>
      <c r="D8" s="80"/>
      <c r="E8" s="80"/>
      <c r="F8" s="80"/>
      <c r="G8" s="80"/>
      <c r="H8" s="205"/>
      <c r="I8" s="42"/>
      <c r="J8" s="81"/>
      <c r="L8" s="270">
        <v>40543</v>
      </c>
      <c r="M8" s="268" t="s">
        <v>171</v>
      </c>
      <c r="N8" s="268" t="s">
        <v>172</v>
      </c>
      <c r="O8" s="268" t="s">
        <v>176</v>
      </c>
      <c r="P8" s="268" t="s">
        <v>173</v>
      </c>
    </row>
    <row r="9" spans="1:19" s="12" customFormat="1" ht="12.75" customHeight="1">
      <c r="A9" s="163">
        <f>A8+1</f>
        <v>5</v>
      </c>
      <c r="B9" s="79">
        <v>0.1025</v>
      </c>
      <c r="C9" s="80">
        <v>32140</v>
      </c>
      <c r="D9" s="80">
        <v>35779</v>
      </c>
      <c r="E9" s="80">
        <v>35048</v>
      </c>
      <c r="F9" s="80"/>
      <c r="G9" s="80"/>
      <c r="H9" s="205">
        <v>42684</v>
      </c>
      <c r="I9" s="206">
        <v>18336</v>
      </c>
      <c r="J9" s="81">
        <v>18900013</v>
      </c>
      <c r="L9" s="267"/>
      <c r="M9" s="273"/>
      <c r="N9" s="273"/>
      <c r="O9" s="271"/>
      <c r="P9" s="273"/>
      <c r="Q9" s="206"/>
      <c r="R9" s="206"/>
      <c r="S9" s="280"/>
    </row>
    <row r="10" spans="1:19" s="12" customFormat="1" ht="12.75" customHeight="1">
      <c r="A10" s="163">
        <f t="shared" si="0"/>
        <v>6</v>
      </c>
      <c r="B10" s="79" t="s">
        <v>116</v>
      </c>
      <c r="C10" s="80">
        <v>35587</v>
      </c>
      <c r="D10" s="80">
        <v>46539</v>
      </c>
      <c r="E10" s="80">
        <v>39234</v>
      </c>
      <c r="F10" s="80" t="s">
        <v>126</v>
      </c>
      <c r="G10" s="80">
        <v>39237</v>
      </c>
      <c r="H10" s="205">
        <v>42887</v>
      </c>
      <c r="I10" s="206">
        <f>15912.9*12</f>
        <v>190954.8</v>
      </c>
      <c r="J10" s="81">
        <v>18900383</v>
      </c>
      <c r="L10" s="267"/>
      <c r="M10" s="273"/>
      <c r="N10" s="273"/>
      <c r="O10" s="271"/>
      <c r="P10" s="273"/>
      <c r="Q10" s="206"/>
      <c r="R10" s="206"/>
      <c r="S10" s="280"/>
    </row>
    <row r="11" spans="1:19" s="12" customFormat="1" ht="12.75" customHeight="1">
      <c r="A11" s="163">
        <f t="shared" si="0"/>
        <v>7</v>
      </c>
      <c r="B11" s="79" t="s">
        <v>131</v>
      </c>
      <c r="C11" s="80">
        <v>33410</v>
      </c>
      <c r="D11" s="80">
        <v>37063</v>
      </c>
      <c r="E11" s="80">
        <v>35961</v>
      </c>
      <c r="F11" s="80" t="s">
        <v>127</v>
      </c>
      <c r="G11" s="80">
        <v>35961</v>
      </c>
      <c r="H11" s="205">
        <v>43266</v>
      </c>
      <c r="I11" s="206">
        <v>3498.84</v>
      </c>
      <c r="J11" s="81">
        <v>18900243</v>
      </c>
      <c r="L11" s="267"/>
      <c r="M11" s="273"/>
      <c r="N11" s="273"/>
      <c r="O11" s="271"/>
      <c r="P11" s="273"/>
      <c r="Q11" s="206"/>
      <c r="R11" s="206"/>
      <c r="S11" s="280"/>
    </row>
    <row r="12" spans="1:19" s="12" customFormat="1" ht="12.75" customHeight="1">
      <c r="A12" s="163">
        <f t="shared" si="0"/>
        <v>8</v>
      </c>
      <c r="B12" s="207" t="s">
        <v>41</v>
      </c>
      <c r="C12" s="80">
        <v>33616</v>
      </c>
      <c r="D12" s="80">
        <f>DATE(2022,1,12)</f>
        <v>44573</v>
      </c>
      <c r="E12" s="208">
        <v>37701</v>
      </c>
      <c r="F12" s="208"/>
      <c r="G12" s="208"/>
      <c r="H12" s="205">
        <f>DATE(2022,1,12)</f>
        <v>44573</v>
      </c>
      <c r="I12" s="206">
        <f>95.09*12</f>
        <v>1141.08</v>
      </c>
      <c r="J12" s="81">
        <v>18900293</v>
      </c>
      <c r="L12" s="267"/>
      <c r="M12" s="273"/>
      <c r="N12" s="273"/>
      <c r="O12" s="271"/>
      <c r="P12" s="273"/>
      <c r="Q12" s="206"/>
      <c r="R12" s="206"/>
      <c r="S12" s="280"/>
    </row>
    <row r="13" spans="1:18" s="12" customFormat="1" ht="12.75" customHeight="1">
      <c r="A13" s="163">
        <f t="shared" si="0"/>
        <v>9</v>
      </c>
      <c r="B13" s="207" t="s">
        <v>42</v>
      </c>
      <c r="C13" s="80">
        <v>33616</v>
      </c>
      <c r="D13" s="80">
        <f>DATE(2022,1,13)</f>
        <v>44574</v>
      </c>
      <c r="E13" s="208">
        <v>37701</v>
      </c>
      <c r="F13" s="208"/>
      <c r="G13" s="208"/>
      <c r="H13" s="205">
        <f>DATE(2022,1,13)</f>
        <v>44574</v>
      </c>
      <c r="I13" s="206">
        <f>221.88*12</f>
        <v>2662.56</v>
      </c>
      <c r="J13" s="81">
        <v>18900303</v>
      </c>
      <c r="K13" s="267"/>
      <c r="L13" s="272"/>
      <c r="M13" s="273"/>
      <c r="N13" s="273"/>
      <c r="O13" s="271"/>
      <c r="P13" s="273"/>
      <c r="Q13" s="206"/>
      <c r="R13" s="206"/>
    </row>
    <row r="14" spans="1:18" s="12" customFormat="1" ht="12.75" customHeight="1">
      <c r="A14" s="163">
        <f t="shared" si="0"/>
        <v>10</v>
      </c>
      <c r="B14" s="207" t="s">
        <v>117</v>
      </c>
      <c r="C14" s="80">
        <v>33828</v>
      </c>
      <c r="D14" s="80">
        <v>44785</v>
      </c>
      <c r="E14" s="208">
        <v>37770</v>
      </c>
      <c r="F14" s="208"/>
      <c r="G14" s="208"/>
      <c r="H14" s="205">
        <v>44785</v>
      </c>
      <c r="I14" s="206">
        <f>5207.14*12</f>
        <v>62485.68000000001</v>
      </c>
      <c r="J14" s="81">
        <v>18900323</v>
      </c>
      <c r="L14" s="272"/>
      <c r="M14" s="273"/>
      <c r="N14" s="273"/>
      <c r="O14" s="271"/>
      <c r="P14" s="273"/>
      <c r="Q14" s="206"/>
      <c r="R14" s="206"/>
    </row>
    <row r="15" spans="1:18" s="12" customFormat="1" ht="12.75" customHeight="1">
      <c r="A15" s="163">
        <f t="shared" si="0"/>
        <v>11</v>
      </c>
      <c r="B15" s="207" t="s">
        <v>139</v>
      </c>
      <c r="C15" s="80">
        <v>34199</v>
      </c>
      <c r="D15" s="80">
        <v>45156</v>
      </c>
      <c r="E15" s="208">
        <v>37851</v>
      </c>
      <c r="H15" s="205">
        <v>45156</v>
      </c>
      <c r="I15" s="206">
        <f>887.99*12</f>
        <v>10655.880000000001</v>
      </c>
      <c r="J15" s="81">
        <v>18900353</v>
      </c>
      <c r="K15" s="267"/>
      <c r="L15" s="272"/>
      <c r="M15" s="273"/>
      <c r="N15" s="273"/>
      <c r="O15" s="271"/>
      <c r="P15" s="273"/>
      <c r="Q15" s="206"/>
      <c r="R15" s="206"/>
    </row>
    <row r="16" spans="1:18" s="12" customFormat="1" ht="12.75" customHeight="1">
      <c r="A16" s="163">
        <f t="shared" si="0"/>
        <v>12</v>
      </c>
      <c r="B16" s="79" t="s">
        <v>132</v>
      </c>
      <c r="C16" s="80">
        <v>33161</v>
      </c>
      <c r="D16" s="80">
        <v>35718</v>
      </c>
      <c r="E16" s="80">
        <v>34372</v>
      </c>
      <c r="F16" s="80" t="s">
        <v>128</v>
      </c>
      <c r="G16" s="80">
        <v>34366</v>
      </c>
      <c r="H16" s="205">
        <v>45323</v>
      </c>
      <c r="I16" s="206">
        <v>168880.08</v>
      </c>
      <c r="J16" s="81">
        <v>18900173</v>
      </c>
      <c r="L16" s="267"/>
      <c r="M16" s="273"/>
      <c r="N16" s="273"/>
      <c r="O16" s="271"/>
      <c r="P16" s="273"/>
      <c r="Q16" s="206"/>
      <c r="R16" s="206"/>
    </row>
    <row r="17" spans="1:18" s="12" customFormat="1" ht="12.75" customHeight="1">
      <c r="A17" s="163">
        <f t="shared" si="0"/>
        <v>13</v>
      </c>
      <c r="B17" s="79" t="s">
        <v>115</v>
      </c>
      <c r="C17" s="80">
        <v>35587</v>
      </c>
      <c r="D17" s="80">
        <v>46539</v>
      </c>
      <c r="E17" s="80">
        <v>38504</v>
      </c>
      <c r="F17" s="80"/>
      <c r="G17" s="80"/>
      <c r="H17" s="205">
        <v>46539</v>
      </c>
      <c r="I17" s="206">
        <f>229804.2</f>
        <v>229804.2</v>
      </c>
      <c r="J17" s="81">
        <v>18900193</v>
      </c>
      <c r="L17" s="267"/>
      <c r="M17" s="273"/>
      <c r="N17" s="273"/>
      <c r="O17" s="271"/>
      <c r="P17" s="273"/>
      <c r="Q17" s="206"/>
      <c r="R17" s="206"/>
    </row>
    <row r="18" spans="1:18" s="12" customFormat="1" ht="12.75" customHeight="1">
      <c r="A18" s="163">
        <f t="shared" si="0"/>
        <v>14</v>
      </c>
      <c r="B18" s="207" t="s">
        <v>37</v>
      </c>
      <c r="C18" s="80">
        <v>33457</v>
      </c>
      <c r="D18" s="80">
        <f>DATE(2021,8,1)</f>
        <v>44409</v>
      </c>
      <c r="E18" s="208">
        <v>37691</v>
      </c>
      <c r="F18" s="208" t="s">
        <v>129</v>
      </c>
      <c r="G18" s="208">
        <v>37691</v>
      </c>
      <c r="H18" s="205">
        <v>47908</v>
      </c>
      <c r="I18" s="206">
        <v>45480.48</v>
      </c>
      <c r="J18" s="81">
        <v>18900253</v>
      </c>
      <c r="L18" s="267"/>
      <c r="M18" s="273"/>
      <c r="N18" s="273"/>
      <c r="O18" s="271"/>
      <c r="P18" s="273"/>
      <c r="Q18" s="206"/>
      <c r="R18" s="206"/>
    </row>
    <row r="19" spans="1:18" s="12" customFormat="1" ht="12.75" customHeight="1">
      <c r="A19" s="163">
        <f t="shared" si="0"/>
        <v>15</v>
      </c>
      <c r="B19" s="207" t="s">
        <v>38</v>
      </c>
      <c r="C19" s="80">
        <v>33457</v>
      </c>
      <c r="D19" s="80">
        <f>DATE(2021,8,1)</f>
        <v>44409</v>
      </c>
      <c r="E19" s="208">
        <v>37691</v>
      </c>
      <c r="F19" s="208" t="s">
        <v>129</v>
      </c>
      <c r="G19" s="208">
        <v>37691</v>
      </c>
      <c r="H19" s="205">
        <v>47908</v>
      </c>
      <c r="I19" s="206">
        <v>34561.44</v>
      </c>
      <c r="J19" s="81">
        <v>18900263</v>
      </c>
      <c r="L19" s="267"/>
      <c r="M19" s="273"/>
      <c r="N19" s="273"/>
      <c r="O19" s="271"/>
      <c r="P19" s="273"/>
      <c r="Q19" s="206"/>
      <c r="R19" s="206"/>
    </row>
    <row r="20" spans="1:18" s="12" customFormat="1" ht="12.75" customHeight="1">
      <c r="A20" s="163">
        <f t="shared" si="0"/>
        <v>16</v>
      </c>
      <c r="B20" s="207" t="s">
        <v>39</v>
      </c>
      <c r="C20" s="80">
        <v>33664</v>
      </c>
      <c r="D20" s="80">
        <f>DATE(2022,3,1)</f>
        <v>44621</v>
      </c>
      <c r="E20" s="208">
        <v>37691</v>
      </c>
      <c r="F20" s="208" t="s">
        <v>129</v>
      </c>
      <c r="G20" s="208">
        <v>37691</v>
      </c>
      <c r="H20" s="205">
        <v>47908</v>
      </c>
      <c r="I20" s="206">
        <v>105825.48</v>
      </c>
      <c r="J20" s="81">
        <v>18900273</v>
      </c>
      <c r="L20" s="267"/>
      <c r="M20" s="273"/>
      <c r="N20" s="273"/>
      <c r="O20" s="271"/>
      <c r="P20" s="273"/>
      <c r="Q20" s="206"/>
      <c r="R20" s="206"/>
    </row>
    <row r="21" spans="1:18" s="12" customFormat="1" ht="12.75" customHeight="1">
      <c r="A21" s="163">
        <f t="shared" si="0"/>
        <v>17</v>
      </c>
      <c r="B21" s="207" t="s">
        <v>40</v>
      </c>
      <c r="C21" s="80">
        <v>33664</v>
      </c>
      <c r="D21" s="80">
        <f>DATE(2022,3,1)</f>
        <v>44621</v>
      </c>
      <c r="E21" s="208">
        <v>37691</v>
      </c>
      <c r="F21" s="208" t="s">
        <v>129</v>
      </c>
      <c r="G21" s="208">
        <v>37691</v>
      </c>
      <c r="H21" s="205">
        <v>47908</v>
      </c>
      <c r="I21" s="206">
        <v>32297.76</v>
      </c>
      <c r="J21" s="81">
        <v>18900283</v>
      </c>
      <c r="L21" s="267"/>
      <c r="M21" s="273"/>
      <c r="N21" s="273"/>
      <c r="O21" s="271"/>
      <c r="P21" s="273"/>
      <c r="Q21" s="206"/>
      <c r="R21" s="206"/>
    </row>
    <row r="22" spans="1:18" s="12" customFormat="1" ht="12.75" customHeight="1">
      <c r="A22" s="163">
        <f t="shared" si="0"/>
        <v>18</v>
      </c>
      <c r="B22" s="207" t="s">
        <v>192</v>
      </c>
      <c r="C22" s="80">
        <v>37691</v>
      </c>
      <c r="D22" s="80">
        <v>47908</v>
      </c>
      <c r="E22" s="208">
        <v>41449</v>
      </c>
      <c r="F22" s="208" t="s">
        <v>193</v>
      </c>
      <c r="G22" s="208">
        <v>41417</v>
      </c>
      <c r="H22" s="205">
        <v>47908</v>
      </c>
      <c r="I22" s="206">
        <f>12*24927.39</f>
        <v>299128.68</v>
      </c>
      <c r="J22" s="81">
        <v>18900433</v>
      </c>
      <c r="L22" s="267"/>
      <c r="M22" s="273"/>
      <c r="N22" s="273"/>
      <c r="O22" s="271"/>
      <c r="P22" s="273"/>
      <c r="Q22" s="206"/>
      <c r="R22" s="206"/>
    </row>
    <row r="23" spans="1:18" s="12" customFormat="1" ht="12.75" customHeight="1">
      <c r="A23" s="163">
        <f t="shared" si="0"/>
        <v>19</v>
      </c>
      <c r="B23" s="207" t="s">
        <v>192</v>
      </c>
      <c r="C23" s="80">
        <v>37691</v>
      </c>
      <c r="D23" s="80">
        <v>47908</v>
      </c>
      <c r="E23" s="208">
        <v>41449</v>
      </c>
      <c r="F23" s="208" t="s">
        <v>193</v>
      </c>
      <c r="G23" s="208">
        <v>41417</v>
      </c>
      <c r="H23" s="205">
        <v>47908</v>
      </c>
      <c r="I23" s="206">
        <f>12*4212.77</f>
        <v>50553.240000000005</v>
      </c>
      <c r="J23" s="81">
        <v>18900533</v>
      </c>
      <c r="L23" s="267"/>
      <c r="M23" s="273"/>
      <c r="N23" s="273"/>
      <c r="O23" s="271"/>
      <c r="P23" s="273"/>
      <c r="Q23" s="206"/>
      <c r="R23" s="206"/>
    </row>
    <row r="24" spans="1:18" s="12" customFormat="1" ht="12.75" customHeight="1">
      <c r="A24" s="163">
        <f>A23+1</f>
        <v>20</v>
      </c>
      <c r="B24" s="79" t="s">
        <v>94</v>
      </c>
      <c r="C24" s="80">
        <v>38183</v>
      </c>
      <c r="D24" s="80">
        <v>38913</v>
      </c>
      <c r="E24" s="80">
        <v>38499</v>
      </c>
      <c r="F24" s="80" t="s">
        <v>95</v>
      </c>
      <c r="G24" s="80">
        <v>38499</v>
      </c>
      <c r="H24" s="205">
        <v>49456</v>
      </c>
      <c r="I24" s="206">
        <f>17086.56</f>
        <v>17086.56</v>
      </c>
      <c r="J24" s="81">
        <v>18900183</v>
      </c>
      <c r="L24" s="267"/>
      <c r="M24" s="273"/>
      <c r="N24" s="273"/>
      <c r="O24" s="271"/>
      <c r="P24" s="273"/>
      <c r="Q24" s="206"/>
      <c r="R24" s="206"/>
    </row>
    <row r="25" spans="1:18" s="12" customFormat="1" ht="12.75" customHeight="1">
      <c r="A25" s="163">
        <f t="shared" si="0"/>
        <v>21</v>
      </c>
      <c r="B25" s="79" t="s">
        <v>26</v>
      </c>
      <c r="C25" s="80">
        <v>37035</v>
      </c>
      <c r="D25" s="80">
        <v>51682</v>
      </c>
      <c r="E25" s="80">
        <v>38898</v>
      </c>
      <c r="F25" s="80" t="s">
        <v>130</v>
      </c>
      <c r="G25" s="80">
        <v>38898</v>
      </c>
      <c r="H25" s="205">
        <v>49841</v>
      </c>
      <c r="I25" s="206">
        <f>(16418.45*12)</f>
        <v>197021.40000000002</v>
      </c>
      <c r="J25" s="81">
        <v>18900373</v>
      </c>
      <c r="L25" s="267"/>
      <c r="M25" s="273"/>
      <c r="N25" s="273"/>
      <c r="O25" s="271"/>
      <c r="P25" s="273"/>
      <c r="Q25" s="206"/>
      <c r="R25" s="206"/>
    </row>
    <row r="26" spans="1:18" s="12" customFormat="1" ht="12.75" customHeight="1">
      <c r="A26" s="163">
        <f t="shared" si="0"/>
        <v>22</v>
      </c>
      <c r="B26" s="79" t="s">
        <v>185</v>
      </c>
      <c r="C26" s="80">
        <v>33117</v>
      </c>
      <c r="D26" s="80">
        <v>44075</v>
      </c>
      <c r="E26" s="80">
        <v>40900</v>
      </c>
      <c r="F26" s="80" t="s">
        <v>186</v>
      </c>
      <c r="G26" s="80">
        <v>40869</v>
      </c>
      <c r="H26" s="205">
        <v>55472</v>
      </c>
      <c r="I26" s="206">
        <v>400518.84</v>
      </c>
      <c r="J26" s="81">
        <v>18900393</v>
      </c>
      <c r="L26" s="267"/>
      <c r="M26" s="186"/>
      <c r="N26" s="186"/>
      <c r="O26" s="186"/>
      <c r="P26" s="186"/>
      <c r="Q26" s="206"/>
      <c r="R26" s="206"/>
    </row>
    <row r="27" spans="1:10" s="12" customFormat="1" ht="12.75" customHeight="1">
      <c r="A27" s="163">
        <v>28</v>
      </c>
      <c r="B27" s="79"/>
      <c r="C27" s="80"/>
      <c r="D27" s="80"/>
      <c r="E27" s="80"/>
      <c r="F27" s="80"/>
      <c r="G27" s="80"/>
      <c r="H27" s="205"/>
      <c r="I27" s="209"/>
      <c r="J27" s="210"/>
    </row>
    <row r="28" spans="1:10" s="12" customFormat="1" ht="15" customHeight="1" thickBot="1">
      <c r="A28" s="163">
        <v>29</v>
      </c>
      <c r="B28" s="77" t="s">
        <v>25</v>
      </c>
      <c r="C28" s="82"/>
      <c r="D28" s="82"/>
      <c r="E28" s="82"/>
      <c r="F28" s="82"/>
      <c r="G28" s="82"/>
      <c r="H28" s="82"/>
      <c r="I28" s="211">
        <f>SUM(I8:I27)</f>
        <v>1870892.9999999998</v>
      </c>
      <c r="J28" s="84"/>
    </row>
    <row r="29" spans="1:10" s="12" customFormat="1" ht="12.75" customHeight="1" thickTop="1">
      <c r="A29" s="163">
        <v>30</v>
      </c>
      <c r="B29" s="85"/>
      <c r="C29" s="86"/>
      <c r="D29" s="86"/>
      <c r="E29" s="86"/>
      <c r="F29" s="86"/>
      <c r="G29" s="86"/>
      <c r="H29" s="86"/>
      <c r="I29" s="42"/>
      <c r="J29" s="83"/>
    </row>
    <row r="30" spans="1:10" s="12" customFormat="1" ht="12.75" customHeight="1">
      <c r="A30" s="163">
        <v>31</v>
      </c>
      <c r="C30" s="36"/>
      <c r="D30" s="36"/>
      <c r="E30" s="36"/>
      <c r="F30" s="36"/>
      <c r="G30" s="36"/>
      <c r="H30" s="106"/>
      <c r="I30" s="42"/>
      <c r="J30" s="83"/>
    </row>
    <row r="31" spans="1:9" s="12" customFormat="1" ht="12.75" customHeight="1">
      <c r="A31" s="163">
        <v>32</v>
      </c>
      <c r="B31" s="161"/>
      <c r="C31" s="162"/>
      <c r="D31" s="162"/>
      <c r="E31" s="162"/>
      <c r="F31" s="162"/>
      <c r="H31" s="13"/>
      <c r="I31" s="42"/>
    </row>
    <row r="32" spans="1:10" s="12" customFormat="1" ht="12.75" customHeight="1">
      <c r="A32" s="163">
        <v>33</v>
      </c>
      <c r="B32" s="36" t="s">
        <v>134</v>
      </c>
      <c r="H32" s="13"/>
      <c r="I32" s="42"/>
      <c r="J32" s="81"/>
    </row>
    <row r="33" spans="1:9" s="12" customFormat="1" ht="12.75" customHeight="1">
      <c r="A33" s="163">
        <v>34</v>
      </c>
      <c r="B33" s="179" t="s">
        <v>133</v>
      </c>
      <c r="H33" s="13"/>
      <c r="I33" s="13"/>
    </row>
    <row r="34" spans="1:9" s="12" customFormat="1" ht="12.75" customHeight="1">
      <c r="A34" s="164"/>
      <c r="H34" s="13"/>
      <c r="I34" s="13"/>
    </row>
    <row r="35" spans="8:9" s="12" customFormat="1" ht="12.75" customHeight="1">
      <c r="H35" s="13"/>
      <c r="I35" s="13"/>
    </row>
    <row r="36" spans="8:9" s="12" customFormat="1" ht="12.75" customHeight="1">
      <c r="H36" s="13"/>
      <c r="I36" s="154"/>
    </row>
    <row r="37" spans="8:9" s="12" customFormat="1" ht="12.75" customHeight="1">
      <c r="H37" s="13"/>
      <c r="I37" s="13"/>
    </row>
    <row r="38" spans="8:9" s="12" customFormat="1" ht="12.75" customHeight="1">
      <c r="H38" s="13"/>
      <c r="I38" s="13"/>
    </row>
    <row r="39" spans="8:9" s="12" customFormat="1" ht="12.75" customHeight="1">
      <c r="H39" s="13"/>
      <c r="I39" s="13"/>
    </row>
    <row r="40" spans="8:9" s="12" customFormat="1" ht="12.75" customHeight="1">
      <c r="H40" s="13"/>
      <c r="I40" s="13"/>
    </row>
    <row r="41" spans="8:9" s="12" customFormat="1" ht="12.75" customHeight="1">
      <c r="H41" s="13"/>
      <c r="I41" s="13"/>
    </row>
    <row r="42" spans="8:9" s="12" customFormat="1" ht="12.75" customHeight="1">
      <c r="H42" s="13"/>
      <c r="I42" s="13"/>
    </row>
    <row r="43" spans="8:9" s="12" customFormat="1" ht="12.75" customHeight="1">
      <c r="H43" s="13"/>
      <c r="I43" s="13"/>
    </row>
    <row r="44" spans="8:9" s="12" customFormat="1" ht="12.75" customHeight="1">
      <c r="H44" s="13"/>
      <c r="I44" s="13"/>
    </row>
    <row r="45" s="12" customFormat="1" ht="12.75" customHeight="1"/>
    <row r="46" s="12" customFormat="1" ht="12.75" customHeight="1"/>
    <row r="47" s="12" customFormat="1" ht="12.75" customHeight="1"/>
    <row r="48" s="12" customFormat="1" ht="12.75" customHeight="1"/>
    <row r="49" s="12" customFormat="1" ht="12.75" customHeight="1"/>
    <row r="50" s="12" customFormat="1" ht="12.75" customHeight="1"/>
    <row r="51" s="12" customFormat="1" ht="12.75" customHeight="1"/>
    <row r="52" s="12" customFormat="1" ht="15.75"/>
    <row r="53" s="12" customFormat="1" ht="15.75"/>
    <row r="54" s="12" customFormat="1" ht="15.75"/>
    <row r="55" s="12" customFormat="1" ht="15.75"/>
    <row r="56" s="12" customFormat="1" ht="15.75"/>
    <row r="57" s="12" customFormat="1" ht="15.75"/>
    <row r="58" s="12" customFormat="1" ht="15.75"/>
    <row r="59" s="12" customFormat="1" ht="15.75"/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</sheetData>
  <sheetProtection/>
  <mergeCells count="3">
    <mergeCell ref="A1:J1"/>
    <mergeCell ref="A2:J2"/>
    <mergeCell ref="A3:J3"/>
  </mergeCells>
  <printOptions horizontalCentered="1" verticalCentered="1"/>
  <pageMargins left="0.2" right="0.2" top="0.75" bottom="0.4" header="0.36" footer="0.17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S72"/>
  <sheetViews>
    <sheetView zoomScalePageLayoutView="0" workbookViewId="0" topLeftCell="A13">
      <selection activeCell="N64" sqref="N64"/>
    </sheetView>
  </sheetViews>
  <sheetFormatPr defaultColWidth="9.33203125" defaultRowHeight="11.25"/>
  <cols>
    <col min="2" max="2" width="9.33203125" style="279" customWidth="1"/>
    <col min="5" max="5" width="10.83203125" style="276" bestFit="1" customWidth="1"/>
    <col min="8" max="8" width="39" style="0" customWidth="1"/>
    <col min="9" max="10" width="9.33203125" style="0" customWidth="1"/>
    <col min="11" max="11" width="10.83203125" style="0" customWidth="1"/>
    <col min="12" max="12" width="9.33203125" style="0" customWidth="1"/>
    <col min="13" max="13" width="10.83203125" style="0" customWidth="1"/>
    <col min="14" max="17" width="9.33203125" style="0" customWidth="1"/>
  </cols>
  <sheetData>
    <row r="1" ht="12.75">
      <c r="B1" s="279" t="s">
        <v>223</v>
      </c>
    </row>
    <row r="2" spans="3:15" ht="12.75">
      <c r="C2">
        <v>1000</v>
      </c>
      <c r="E2" s="276">
        <v>18900013</v>
      </c>
      <c r="H2" t="s">
        <v>198</v>
      </c>
      <c r="K2">
        <v>52742</v>
      </c>
      <c r="M2">
        <v>52742</v>
      </c>
      <c r="O2">
        <v>0</v>
      </c>
    </row>
    <row r="3" spans="3:15" ht="12.75">
      <c r="C3">
        <v>1000</v>
      </c>
      <c r="E3" s="276">
        <v>18900173</v>
      </c>
      <c r="H3" t="s">
        <v>199</v>
      </c>
      <c r="K3">
        <v>1702874.8</v>
      </c>
      <c r="M3">
        <v>1702874.8</v>
      </c>
      <c r="O3">
        <v>0</v>
      </c>
    </row>
    <row r="4" spans="3:15" ht="12.75">
      <c r="C4">
        <v>1000</v>
      </c>
      <c r="E4" s="276">
        <v>18900183</v>
      </c>
      <c r="H4" t="s">
        <v>200</v>
      </c>
      <c r="K4">
        <v>365936.61</v>
      </c>
      <c r="M4">
        <v>365936.61</v>
      </c>
      <c r="O4">
        <v>0</v>
      </c>
    </row>
    <row r="5" spans="3:15" ht="12.75">
      <c r="C5">
        <v>1000</v>
      </c>
      <c r="E5" s="276">
        <v>18900193</v>
      </c>
      <c r="H5" t="s">
        <v>201</v>
      </c>
      <c r="K5">
        <v>3083205.61</v>
      </c>
      <c r="M5">
        <v>3083205.61</v>
      </c>
      <c r="O5">
        <v>0</v>
      </c>
    </row>
    <row r="6" spans="3:15" ht="12.75">
      <c r="C6">
        <v>1000</v>
      </c>
      <c r="E6" s="276">
        <v>18900243</v>
      </c>
      <c r="H6" t="s">
        <v>202</v>
      </c>
      <c r="K6">
        <v>15744.35</v>
      </c>
      <c r="M6">
        <v>15744.35</v>
      </c>
      <c r="O6">
        <v>0</v>
      </c>
    </row>
    <row r="7" spans="3:15" ht="12.75">
      <c r="C7">
        <v>1000</v>
      </c>
      <c r="E7" s="276">
        <v>18900253</v>
      </c>
      <c r="H7" t="s">
        <v>203</v>
      </c>
      <c r="K7">
        <v>780747.67</v>
      </c>
      <c r="M7">
        <v>780747.67</v>
      </c>
      <c r="O7">
        <v>0</v>
      </c>
    </row>
    <row r="8" spans="3:15" ht="12.75">
      <c r="C8">
        <v>1000</v>
      </c>
      <c r="E8" s="276">
        <v>18900263</v>
      </c>
      <c r="H8" t="s">
        <v>204</v>
      </c>
      <c r="K8">
        <v>593303.82</v>
      </c>
      <c r="M8">
        <v>593303.82</v>
      </c>
      <c r="O8">
        <v>0</v>
      </c>
    </row>
    <row r="9" spans="3:15" ht="12.75">
      <c r="C9">
        <v>1000</v>
      </c>
      <c r="E9" s="276">
        <v>18900273</v>
      </c>
      <c r="H9" t="s">
        <v>205</v>
      </c>
      <c r="K9">
        <v>1816669.69</v>
      </c>
      <c r="M9">
        <v>1816669.69</v>
      </c>
      <c r="O9">
        <v>0</v>
      </c>
    </row>
    <row r="10" spans="3:15" ht="12.75">
      <c r="C10">
        <v>1000</v>
      </c>
      <c r="E10" s="276">
        <v>18900283</v>
      </c>
      <c r="H10" t="s">
        <v>206</v>
      </c>
      <c r="K10">
        <v>554446.11</v>
      </c>
      <c r="M10">
        <v>554446.11</v>
      </c>
      <c r="O10">
        <v>0</v>
      </c>
    </row>
    <row r="11" spans="3:15" ht="12.75">
      <c r="C11">
        <v>1000</v>
      </c>
      <c r="E11" s="276">
        <v>18900293</v>
      </c>
      <c r="H11" t="s">
        <v>207</v>
      </c>
      <c r="K11">
        <v>9128.82</v>
      </c>
      <c r="M11">
        <v>9128.82</v>
      </c>
      <c r="O11">
        <v>0</v>
      </c>
    </row>
    <row r="12" spans="3:15" ht="12.75">
      <c r="C12">
        <v>1000</v>
      </c>
      <c r="E12" s="276">
        <v>18900303</v>
      </c>
      <c r="H12" t="s">
        <v>208</v>
      </c>
      <c r="K12">
        <v>21299.61</v>
      </c>
      <c r="M12">
        <v>21299.61</v>
      </c>
      <c r="O12">
        <v>0</v>
      </c>
    </row>
    <row r="13" spans="3:15" ht="12.75">
      <c r="C13">
        <v>1000</v>
      </c>
      <c r="E13" s="276">
        <v>18900323</v>
      </c>
      <c r="H13" t="s">
        <v>209</v>
      </c>
      <c r="K13">
        <v>541542.92</v>
      </c>
      <c r="M13">
        <v>541542.92</v>
      </c>
      <c r="O13">
        <v>0</v>
      </c>
    </row>
    <row r="14" spans="3:15" ht="12.75">
      <c r="C14">
        <v>1000</v>
      </c>
      <c r="E14" s="276">
        <v>18900353</v>
      </c>
      <c r="H14" t="s">
        <v>210</v>
      </c>
      <c r="K14">
        <v>102120.9</v>
      </c>
      <c r="M14">
        <v>102120.9</v>
      </c>
      <c r="O14">
        <v>0</v>
      </c>
    </row>
    <row r="15" spans="3:15" ht="12.75">
      <c r="C15">
        <v>1000</v>
      </c>
      <c r="E15" s="276">
        <v>18900373</v>
      </c>
      <c r="H15" t="s">
        <v>211</v>
      </c>
      <c r="K15">
        <v>4432980.76</v>
      </c>
      <c r="M15">
        <v>4432980.76</v>
      </c>
      <c r="O15">
        <v>0</v>
      </c>
    </row>
    <row r="16" spans="3:15" ht="12.75">
      <c r="C16">
        <v>1000</v>
      </c>
      <c r="E16" s="276">
        <v>18900383</v>
      </c>
      <c r="H16" t="s">
        <v>212</v>
      </c>
      <c r="K16">
        <v>652428.99</v>
      </c>
      <c r="M16">
        <v>652428.99</v>
      </c>
      <c r="O16">
        <v>0</v>
      </c>
    </row>
    <row r="17" spans="3:15" ht="12.75">
      <c r="C17">
        <v>1000</v>
      </c>
      <c r="E17" s="276">
        <v>18900393</v>
      </c>
      <c r="H17" t="s">
        <v>213</v>
      </c>
      <c r="K17">
        <v>15152963.5</v>
      </c>
      <c r="M17">
        <v>15152963.5</v>
      </c>
      <c r="O17">
        <v>0</v>
      </c>
    </row>
    <row r="18" spans="3:17" ht="12.75">
      <c r="C18" s="277">
        <v>1000</v>
      </c>
      <c r="D18" s="277"/>
      <c r="E18" s="278">
        <v>18900403</v>
      </c>
      <c r="F18" s="277"/>
      <c r="G18" s="277"/>
      <c r="H18" s="277" t="s">
        <v>214</v>
      </c>
      <c r="I18" s="277"/>
      <c r="J18" s="277"/>
      <c r="K18" s="277">
        <v>258483.07</v>
      </c>
      <c r="L18" s="277"/>
      <c r="M18" s="277">
        <v>258483.07</v>
      </c>
      <c r="N18" s="277"/>
      <c r="O18" s="277">
        <v>0</v>
      </c>
      <c r="P18" s="277"/>
      <c r="Q18" s="277"/>
    </row>
    <row r="19" spans="3:17" ht="12.75">
      <c r="C19" s="277">
        <v>1000</v>
      </c>
      <c r="D19" s="277"/>
      <c r="E19" s="278">
        <v>18900413</v>
      </c>
      <c r="F19" s="277"/>
      <c r="G19" s="277"/>
      <c r="H19" s="277" t="s">
        <v>215</v>
      </c>
      <c r="I19" s="277"/>
      <c r="J19" s="277"/>
      <c r="K19" s="277">
        <v>339527.78</v>
      </c>
      <c r="L19" s="277"/>
      <c r="M19" s="277">
        <v>339527.78</v>
      </c>
      <c r="N19" s="277"/>
      <c r="O19" s="277">
        <v>0</v>
      </c>
      <c r="P19" s="277"/>
      <c r="Q19" s="277"/>
    </row>
    <row r="20" spans="3:17" ht="12.75">
      <c r="C20" s="277">
        <v>1000</v>
      </c>
      <c r="D20" s="277"/>
      <c r="E20" s="278">
        <v>18900423</v>
      </c>
      <c r="F20" s="277"/>
      <c r="G20" s="277"/>
      <c r="H20" s="277" t="s">
        <v>216</v>
      </c>
      <c r="I20" s="277"/>
      <c r="J20" s="277"/>
      <c r="K20" s="277">
        <v>1353341.67</v>
      </c>
      <c r="L20" s="277"/>
      <c r="M20" s="277">
        <v>1353341.67</v>
      </c>
      <c r="N20" s="277"/>
      <c r="O20" s="277">
        <v>0</v>
      </c>
      <c r="P20" s="277"/>
      <c r="Q20" s="277"/>
    </row>
    <row r="21" spans="3:15" ht="12.75">
      <c r="C21">
        <v>1000</v>
      </c>
      <c r="E21" s="276">
        <v>18900433</v>
      </c>
      <c r="H21" t="s">
        <v>217</v>
      </c>
      <c r="K21">
        <v>5135043.88</v>
      </c>
      <c r="M21">
        <v>5135043.88</v>
      </c>
      <c r="O21">
        <v>0</v>
      </c>
    </row>
    <row r="22" spans="3:15" ht="12.75">
      <c r="C22">
        <v>1000</v>
      </c>
      <c r="E22" s="276">
        <v>18900533</v>
      </c>
      <c r="H22" t="s">
        <v>218</v>
      </c>
      <c r="K22">
        <v>867832.16</v>
      </c>
      <c r="M22">
        <v>867832.16</v>
      </c>
      <c r="O22">
        <v>0</v>
      </c>
    </row>
    <row r="24" ht="12.75">
      <c r="B24" s="279" t="s">
        <v>221</v>
      </c>
    </row>
    <row r="25" spans="3:17" ht="12.75">
      <c r="C25">
        <v>1000</v>
      </c>
      <c r="E25" s="276">
        <v>18900013</v>
      </c>
      <c r="H25" t="s">
        <v>198</v>
      </c>
      <c r="K25">
        <v>43574</v>
      </c>
      <c r="M25">
        <v>52742</v>
      </c>
      <c r="O25">
        <v>-9168</v>
      </c>
      <c r="Q25">
        <v>-17.4</v>
      </c>
    </row>
    <row r="26" spans="3:17" ht="12.75">
      <c r="C26">
        <v>1000</v>
      </c>
      <c r="E26" s="276">
        <v>18900173</v>
      </c>
      <c r="H26" t="s">
        <v>199</v>
      </c>
      <c r="K26">
        <v>1618434.76</v>
      </c>
      <c r="M26">
        <v>1702874.8</v>
      </c>
      <c r="O26">
        <v>-84440.04</v>
      </c>
      <c r="Q26">
        <v>-5</v>
      </c>
    </row>
    <row r="27" spans="3:17" ht="12.75">
      <c r="C27">
        <v>1000</v>
      </c>
      <c r="E27" s="276">
        <v>18900183</v>
      </c>
      <c r="H27" t="s">
        <v>200</v>
      </c>
      <c r="K27">
        <v>357393.33</v>
      </c>
      <c r="M27">
        <v>365936.61</v>
      </c>
      <c r="O27">
        <v>-8543.28</v>
      </c>
      <c r="Q27">
        <v>-2.3</v>
      </c>
    </row>
    <row r="28" spans="3:17" ht="12.75">
      <c r="C28">
        <v>1000</v>
      </c>
      <c r="E28" s="276">
        <v>18900193</v>
      </c>
      <c r="H28" t="s">
        <v>201</v>
      </c>
      <c r="K28">
        <v>2968303.51</v>
      </c>
      <c r="M28">
        <v>3083205.61</v>
      </c>
      <c r="O28">
        <v>-114902.1</v>
      </c>
      <c r="Q28">
        <v>-3.7</v>
      </c>
    </row>
    <row r="29" spans="3:17" ht="12.75">
      <c r="C29">
        <v>1000</v>
      </c>
      <c r="E29" s="276">
        <v>18900243</v>
      </c>
      <c r="H29" t="s">
        <v>202</v>
      </c>
      <c r="K29">
        <v>13994.93</v>
      </c>
      <c r="M29">
        <v>15744.35</v>
      </c>
      <c r="O29">
        <v>-1749.42</v>
      </c>
      <c r="Q29">
        <v>-11.1</v>
      </c>
    </row>
    <row r="30" spans="3:17" ht="12.75">
      <c r="C30">
        <v>1000</v>
      </c>
      <c r="E30" s="276">
        <v>18900253</v>
      </c>
      <c r="H30" t="s">
        <v>203</v>
      </c>
      <c r="K30">
        <v>758007.43</v>
      </c>
      <c r="M30">
        <v>780747.67</v>
      </c>
      <c r="O30">
        <v>-22740.24</v>
      </c>
      <c r="Q30">
        <v>-2.9</v>
      </c>
    </row>
    <row r="31" spans="3:17" ht="12.75">
      <c r="C31">
        <v>1000</v>
      </c>
      <c r="E31" s="276">
        <v>18900263</v>
      </c>
      <c r="H31" t="s">
        <v>204</v>
      </c>
      <c r="K31">
        <v>576023.1</v>
      </c>
      <c r="M31">
        <v>593303.82</v>
      </c>
      <c r="O31">
        <v>-17280.72</v>
      </c>
      <c r="Q31">
        <v>-2.9</v>
      </c>
    </row>
    <row r="32" spans="3:17" ht="12.75">
      <c r="C32">
        <v>1000</v>
      </c>
      <c r="E32" s="276">
        <v>18900273</v>
      </c>
      <c r="H32" t="s">
        <v>205</v>
      </c>
      <c r="K32">
        <v>1763756.95</v>
      </c>
      <c r="M32">
        <v>1816669.69</v>
      </c>
      <c r="O32">
        <v>-52912.74</v>
      </c>
      <c r="Q32">
        <v>-2.9</v>
      </c>
    </row>
    <row r="33" spans="3:17" ht="12.75">
      <c r="C33">
        <v>1000</v>
      </c>
      <c r="E33" s="276">
        <v>18900283</v>
      </c>
      <c r="H33" t="s">
        <v>206</v>
      </c>
      <c r="K33">
        <v>538297.23</v>
      </c>
      <c r="M33">
        <v>554446.11</v>
      </c>
      <c r="O33">
        <v>-16148.88</v>
      </c>
      <c r="Q33">
        <v>-2.9</v>
      </c>
    </row>
    <row r="34" spans="3:17" ht="12.75">
      <c r="C34">
        <v>1000</v>
      </c>
      <c r="E34" s="276">
        <v>18900293</v>
      </c>
      <c r="H34" t="s">
        <v>207</v>
      </c>
      <c r="K34">
        <v>8558.28</v>
      </c>
      <c r="M34">
        <v>9128.82</v>
      </c>
      <c r="O34">
        <v>-570.54</v>
      </c>
      <c r="Q34">
        <v>-6.2</v>
      </c>
    </row>
    <row r="35" spans="3:17" ht="12.75">
      <c r="C35">
        <v>1000</v>
      </c>
      <c r="E35" s="276">
        <v>18900303</v>
      </c>
      <c r="H35" t="s">
        <v>208</v>
      </c>
      <c r="K35">
        <v>19968.33</v>
      </c>
      <c r="M35">
        <v>21299.61</v>
      </c>
      <c r="O35">
        <v>-1331.28</v>
      </c>
      <c r="Q35">
        <v>-6.3</v>
      </c>
    </row>
    <row r="36" spans="3:17" ht="12.75">
      <c r="C36">
        <v>1000</v>
      </c>
      <c r="E36" s="276">
        <v>18900323</v>
      </c>
      <c r="H36" t="s">
        <v>209</v>
      </c>
      <c r="K36">
        <v>510300.08</v>
      </c>
      <c r="M36">
        <v>541542.92</v>
      </c>
      <c r="O36">
        <v>-31242.84</v>
      </c>
      <c r="Q36">
        <v>-5.8</v>
      </c>
    </row>
    <row r="37" spans="3:17" ht="12.75">
      <c r="C37">
        <v>1000</v>
      </c>
      <c r="E37" s="276">
        <v>18900353</v>
      </c>
      <c r="H37" t="s">
        <v>210</v>
      </c>
      <c r="K37">
        <v>96792.96</v>
      </c>
      <c r="M37">
        <v>102120.9</v>
      </c>
      <c r="O37">
        <v>-5327.94</v>
      </c>
      <c r="Q37">
        <v>-5.2</v>
      </c>
    </row>
    <row r="38" spans="3:17" ht="12.75">
      <c r="C38">
        <v>1000</v>
      </c>
      <c r="E38" s="276">
        <v>18900373</v>
      </c>
      <c r="H38" t="s">
        <v>211</v>
      </c>
      <c r="K38">
        <v>4334470.06</v>
      </c>
      <c r="M38">
        <v>4432980.76</v>
      </c>
      <c r="O38">
        <v>-98510.7</v>
      </c>
      <c r="Q38">
        <v>-2.2</v>
      </c>
    </row>
    <row r="39" spans="3:17" ht="12.75">
      <c r="C39">
        <v>1000</v>
      </c>
      <c r="E39" s="276">
        <v>18900383</v>
      </c>
      <c r="H39" t="s">
        <v>212</v>
      </c>
      <c r="K39">
        <v>556951.59</v>
      </c>
      <c r="M39">
        <v>652428.99</v>
      </c>
      <c r="O39">
        <v>-95477.4</v>
      </c>
      <c r="Q39">
        <v>-14.6</v>
      </c>
    </row>
    <row r="40" spans="3:17" ht="12.75">
      <c r="C40">
        <v>1000</v>
      </c>
      <c r="E40" s="276">
        <v>18900393</v>
      </c>
      <c r="H40" t="s">
        <v>213</v>
      </c>
      <c r="K40">
        <v>14952704.08</v>
      </c>
      <c r="M40">
        <v>15152963.5</v>
      </c>
      <c r="O40">
        <v>-200259.42</v>
      </c>
      <c r="Q40">
        <v>-1.3</v>
      </c>
    </row>
    <row r="41" spans="3:19" ht="12.75">
      <c r="C41" s="277">
        <v>1000</v>
      </c>
      <c r="D41" s="277"/>
      <c r="E41" s="278">
        <v>18900403</v>
      </c>
      <c r="F41" s="277"/>
      <c r="G41" s="277"/>
      <c r="H41" s="277" t="s">
        <v>214</v>
      </c>
      <c r="I41" s="277"/>
      <c r="J41" s="277"/>
      <c r="K41" s="277">
        <v>226832.11</v>
      </c>
      <c r="L41" s="277"/>
      <c r="M41" s="277">
        <v>258483.07</v>
      </c>
      <c r="N41" s="277"/>
      <c r="O41" s="277">
        <v>-31650.96</v>
      </c>
      <c r="P41" s="277"/>
      <c r="Q41" s="277">
        <v>-12.2</v>
      </c>
      <c r="S41">
        <f>K41-K68</f>
        <v>-35683.26000000001</v>
      </c>
    </row>
    <row r="42" spans="3:19" ht="12.75">
      <c r="C42" s="277">
        <v>1000</v>
      </c>
      <c r="D42" s="277"/>
      <c r="E42" s="278">
        <v>18900413</v>
      </c>
      <c r="F42" s="277"/>
      <c r="G42" s="277"/>
      <c r="H42" s="277" t="s">
        <v>215</v>
      </c>
      <c r="I42" s="277"/>
      <c r="J42" s="277"/>
      <c r="K42" s="277">
        <v>297952.94</v>
      </c>
      <c r="L42" s="277"/>
      <c r="M42" s="277">
        <v>339527.78</v>
      </c>
      <c r="N42" s="277"/>
      <c r="O42" s="277">
        <v>-41574.84</v>
      </c>
      <c r="P42" s="277"/>
      <c r="Q42" s="277">
        <v>-12.2</v>
      </c>
      <c r="S42">
        <f>K42-K69</f>
        <v>-59006.340000000026</v>
      </c>
    </row>
    <row r="43" spans="3:19" ht="12.75">
      <c r="C43" s="277">
        <v>1000</v>
      </c>
      <c r="D43" s="277"/>
      <c r="E43" s="278">
        <v>18900423</v>
      </c>
      <c r="F43" s="277"/>
      <c r="G43" s="277"/>
      <c r="H43" s="277" t="s">
        <v>216</v>
      </c>
      <c r="I43" s="277"/>
      <c r="J43" s="277"/>
      <c r="K43" s="277">
        <v>1187626.35</v>
      </c>
      <c r="L43" s="277"/>
      <c r="M43" s="277">
        <v>1353341.67</v>
      </c>
      <c r="N43" s="277"/>
      <c r="O43" s="277">
        <v>-165715.32</v>
      </c>
      <c r="P43" s="277"/>
      <c r="Q43" s="277">
        <v>-12.2</v>
      </c>
      <c r="S43">
        <f>K43-K70</f>
        <v>-331430.6399999999</v>
      </c>
    </row>
    <row r="44" spans="3:17" ht="12.75">
      <c r="C44">
        <v>1000</v>
      </c>
      <c r="E44" s="276">
        <v>18900433</v>
      </c>
      <c r="H44" t="s">
        <v>217</v>
      </c>
      <c r="K44">
        <v>4985479.54</v>
      </c>
      <c r="M44">
        <v>5135043.88</v>
      </c>
      <c r="O44">
        <v>-149564.34</v>
      </c>
      <c r="Q44">
        <v>-2.9</v>
      </c>
    </row>
    <row r="45" spans="3:17" ht="12.75">
      <c r="C45" s="277">
        <v>1000</v>
      </c>
      <c r="D45" s="277"/>
      <c r="E45" s="278">
        <v>18900443</v>
      </c>
      <c r="F45" s="277"/>
      <c r="G45" s="277"/>
      <c r="H45" s="277" t="s">
        <v>219</v>
      </c>
      <c r="I45" s="277"/>
      <c r="J45" s="277"/>
      <c r="K45" s="277">
        <v>137185.22</v>
      </c>
      <c r="L45" s="277"/>
      <c r="M45" s="277">
        <v>0</v>
      </c>
      <c r="N45" s="277"/>
      <c r="O45" s="277">
        <v>137185.22</v>
      </c>
      <c r="P45" s="277"/>
      <c r="Q45" s="277"/>
    </row>
    <row r="46" spans="3:17" ht="12.75">
      <c r="C46" s="277">
        <v>1000</v>
      </c>
      <c r="D46" s="277"/>
      <c r="E46" s="278">
        <v>18900453</v>
      </c>
      <c r="F46" s="277"/>
      <c r="G46" s="277"/>
      <c r="H46" s="277" t="s">
        <v>220</v>
      </c>
      <c r="I46" s="277"/>
      <c r="J46" s="277"/>
      <c r="K46" s="277">
        <v>75041.44</v>
      </c>
      <c r="L46" s="277"/>
      <c r="M46" s="277">
        <v>0</v>
      </c>
      <c r="N46" s="277"/>
      <c r="O46" s="277">
        <v>75041.44</v>
      </c>
      <c r="P46" s="277"/>
      <c r="Q46" s="277"/>
    </row>
    <row r="47" spans="3:17" ht="12.75">
      <c r="C47">
        <v>1000</v>
      </c>
      <c r="E47" s="276">
        <v>18900533</v>
      </c>
      <c r="H47" t="s">
        <v>218</v>
      </c>
      <c r="K47">
        <v>842555.54</v>
      </c>
      <c r="M47">
        <v>867832.16</v>
      </c>
      <c r="O47">
        <v>-25276.62</v>
      </c>
      <c r="Q47">
        <v>-2.9</v>
      </c>
    </row>
    <row r="51" ht="12.75">
      <c r="B51" s="279" t="s">
        <v>222</v>
      </c>
    </row>
    <row r="52" spans="3:17" ht="12.75">
      <c r="C52" s="276">
        <v>1000</v>
      </c>
      <c r="E52" s="276">
        <v>18900013</v>
      </c>
      <c r="H52" t="s">
        <v>198</v>
      </c>
      <c r="K52">
        <v>61910</v>
      </c>
      <c r="M52">
        <v>52742</v>
      </c>
      <c r="O52">
        <v>9168</v>
      </c>
      <c r="Q52">
        <v>17.4</v>
      </c>
    </row>
    <row r="53" spans="3:17" ht="12.75">
      <c r="C53" s="276">
        <v>1000</v>
      </c>
      <c r="E53" s="276">
        <v>18900173</v>
      </c>
      <c r="H53" t="s">
        <v>199</v>
      </c>
      <c r="K53">
        <v>1787314.84</v>
      </c>
      <c r="M53">
        <v>1702874.8</v>
      </c>
      <c r="O53">
        <v>84440.04</v>
      </c>
      <c r="Q53">
        <v>5</v>
      </c>
    </row>
    <row r="54" spans="3:17" ht="12.75">
      <c r="C54" s="276">
        <v>1000</v>
      </c>
      <c r="E54" s="276">
        <v>18900183</v>
      </c>
      <c r="H54" t="s">
        <v>200</v>
      </c>
      <c r="K54">
        <v>374479.89</v>
      </c>
      <c r="M54">
        <v>365936.61</v>
      </c>
      <c r="O54">
        <v>8543.28</v>
      </c>
      <c r="Q54">
        <v>2.3</v>
      </c>
    </row>
    <row r="55" spans="3:17" ht="12.75">
      <c r="C55" s="276">
        <v>1000</v>
      </c>
      <c r="E55" s="276">
        <v>18900193</v>
      </c>
      <c r="H55" t="s">
        <v>201</v>
      </c>
      <c r="K55">
        <v>3198107.71</v>
      </c>
      <c r="M55">
        <v>3083205.61</v>
      </c>
      <c r="O55">
        <v>114902.1</v>
      </c>
      <c r="Q55">
        <v>3.7</v>
      </c>
    </row>
    <row r="56" spans="3:17" ht="12.75">
      <c r="C56" s="276">
        <v>1000</v>
      </c>
      <c r="E56" s="276">
        <v>18900243</v>
      </c>
      <c r="H56" t="s">
        <v>202</v>
      </c>
      <c r="K56">
        <v>17493.77</v>
      </c>
      <c r="M56">
        <v>15744.35</v>
      </c>
      <c r="O56">
        <v>1749.42</v>
      </c>
      <c r="Q56">
        <v>11.1</v>
      </c>
    </row>
    <row r="57" spans="3:17" ht="12.75">
      <c r="C57" s="276">
        <v>1000</v>
      </c>
      <c r="E57" s="276">
        <v>18900253</v>
      </c>
      <c r="H57" t="s">
        <v>203</v>
      </c>
      <c r="K57">
        <v>803487.91</v>
      </c>
      <c r="M57">
        <v>780747.67</v>
      </c>
      <c r="O57">
        <v>22740.24</v>
      </c>
      <c r="Q57">
        <v>2.9</v>
      </c>
    </row>
    <row r="58" spans="3:17" ht="12.75">
      <c r="C58" s="276">
        <v>1000</v>
      </c>
      <c r="E58" s="276">
        <v>18900263</v>
      </c>
      <c r="H58" t="s">
        <v>204</v>
      </c>
      <c r="K58">
        <v>610584.54</v>
      </c>
      <c r="M58">
        <v>593303.82</v>
      </c>
      <c r="O58">
        <v>17280.72</v>
      </c>
      <c r="Q58">
        <v>2.9</v>
      </c>
    </row>
    <row r="59" spans="3:17" ht="12.75">
      <c r="C59" s="276">
        <v>1000</v>
      </c>
      <c r="E59" s="276">
        <v>18900273</v>
      </c>
      <c r="H59" t="s">
        <v>205</v>
      </c>
      <c r="K59">
        <v>1869582.43</v>
      </c>
      <c r="M59">
        <v>1816669.69</v>
      </c>
      <c r="O59">
        <v>52912.74</v>
      </c>
      <c r="Q59">
        <v>2.9</v>
      </c>
    </row>
    <row r="60" spans="3:17" ht="12.75">
      <c r="C60" s="276">
        <v>1000</v>
      </c>
      <c r="E60" s="276">
        <v>18900283</v>
      </c>
      <c r="H60" t="s">
        <v>206</v>
      </c>
      <c r="K60">
        <v>570594.99</v>
      </c>
      <c r="M60">
        <v>554446.11</v>
      </c>
      <c r="O60">
        <v>16148.88</v>
      </c>
      <c r="Q60">
        <v>2.9</v>
      </c>
    </row>
    <row r="61" spans="3:17" ht="12.75">
      <c r="C61" s="276">
        <v>1000</v>
      </c>
      <c r="E61" s="276">
        <v>18900293</v>
      </c>
      <c r="H61" t="s">
        <v>207</v>
      </c>
      <c r="K61">
        <v>9699.36</v>
      </c>
      <c r="M61">
        <v>9128.82</v>
      </c>
      <c r="O61">
        <v>570.54</v>
      </c>
      <c r="Q61">
        <v>6.2</v>
      </c>
    </row>
    <row r="62" spans="3:17" ht="12.75">
      <c r="C62" s="276">
        <v>1000</v>
      </c>
      <c r="E62" s="276">
        <v>18900303</v>
      </c>
      <c r="H62" t="s">
        <v>208</v>
      </c>
      <c r="K62">
        <v>22630.89</v>
      </c>
      <c r="M62">
        <v>21299.61</v>
      </c>
      <c r="O62">
        <v>1331.28</v>
      </c>
      <c r="Q62">
        <v>6.3</v>
      </c>
    </row>
    <row r="63" spans="3:17" ht="12.75">
      <c r="C63" s="276">
        <v>1000</v>
      </c>
      <c r="E63" s="276">
        <v>18900323</v>
      </c>
      <c r="H63" t="s">
        <v>209</v>
      </c>
      <c r="K63">
        <v>572785.76</v>
      </c>
      <c r="M63">
        <v>541542.92</v>
      </c>
      <c r="O63">
        <v>31242.84</v>
      </c>
      <c r="Q63">
        <v>5.8</v>
      </c>
    </row>
    <row r="64" spans="3:17" ht="12.75">
      <c r="C64" s="276">
        <v>1000</v>
      </c>
      <c r="E64" s="276">
        <v>18900353</v>
      </c>
      <c r="H64" t="s">
        <v>210</v>
      </c>
      <c r="K64">
        <v>107448.84</v>
      </c>
      <c r="M64">
        <v>102120.9</v>
      </c>
      <c r="O64">
        <v>5327.94</v>
      </c>
      <c r="Q64">
        <v>5.2</v>
      </c>
    </row>
    <row r="65" spans="3:17" ht="12.75">
      <c r="C65" s="276">
        <v>1000</v>
      </c>
      <c r="E65" s="276">
        <v>18900373</v>
      </c>
      <c r="H65" t="s">
        <v>211</v>
      </c>
      <c r="K65">
        <v>4531491.46</v>
      </c>
      <c r="M65">
        <v>4432980.76</v>
      </c>
      <c r="O65">
        <v>98510.7</v>
      </c>
      <c r="Q65">
        <v>2.2</v>
      </c>
    </row>
    <row r="66" spans="3:17" ht="12.75">
      <c r="C66" s="276">
        <v>1000</v>
      </c>
      <c r="E66" s="276">
        <v>18900383</v>
      </c>
      <c r="H66" t="s">
        <v>212</v>
      </c>
      <c r="K66">
        <v>747906.39</v>
      </c>
      <c r="M66">
        <v>652428.99</v>
      </c>
      <c r="O66">
        <v>95477.4</v>
      </c>
      <c r="Q66">
        <v>14.6</v>
      </c>
    </row>
    <row r="67" spans="3:17" ht="12.75">
      <c r="C67" s="276">
        <v>1000</v>
      </c>
      <c r="E67" s="276">
        <v>18900393</v>
      </c>
      <c r="H67" t="s">
        <v>213</v>
      </c>
      <c r="K67">
        <v>15353222.92</v>
      </c>
      <c r="M67">
        <v>15152963.5</v>
      </c>
      <c r="O67">
        <v>200259.42</v>
      </c>
      <c r="Q67">
        <v>1.3</v>
      </c>
    </row>
    <row r="68" spans="3:17" ht="12.75">
      <c r="C68" s="278">
        <v>1000</v>
      </c>
      <c r="D68" s="277"/>
      <c r="E68" s="278">
        <v>18900403</v>
      </c>
      <c r="F68" s="277"/>
      <c r="G68" s="277"/>
      <c r="H68" s="277" t="s">
        <v>214</v>
      </c>
      <c r="I68" s="277"/>
      <c r="J68" s="277"/>
      <c r="K68" s="277">
        <v>262515.37</v>
      </c>
      <c r="L68" s="277"/>
      <c r="M68" s="277">
        <v>258483.07</v>
      </c>
      <c r="N68" s="277"/>
      <c r="O68" s="277">
        <v>4032.3</v>
      </c>
      <c r="P68" s="277"/>
      <c r="Q68" s="277">
        <v>1.6</v>
      </c>
    </row>
    <row r="69" spans="3:17" ht="12.75">
      <c r="C69" s="278">
        <v>1000</v>
      </c>
      <c r="D69" s="277"/>
      <c r="E69" s="278">
        <v>18900413</v>
      </c>
      <c r="F69" s="277"/>
      <c r="G69" s="277"/>
      <c r="H69" s="277" t="s">
        <v>215</v>
      </c>
      <c r="I69" s="277"/>
      <c r="J69" s="277"/>
      <c r="K69" s="277">
        <v>356959.28</v>
      </c>
      <c r="L69" s="277"/>
      <c r="M69" s="277">
        <v>339527.78</v>
      </c>
      <c r="N69" s="277"/>
      <c r="O69" s="277">
        <v>17431.5</v>
      </c>
      <c r="P69" s="277"/>
      <c r="Q69" s="277">
        <v>5.1</v>
      </c>
    </row>
    <row r="70" spans="3:17" ht="12.75">
      <c r="C70" s="278">
        <v>1000</v>
      </c>
      <c r="D70" s="277"/>
      <c r="E70" s="278">
        <v>18900423</v>
      </c>
      <c r="F70" s="277"/>
      <c r="G70" s="277"/>
      <c r="H70" s="277" t="s">
        <v>216</v>
      </c>
      <c r="I70" s="277"/>
      <c r="J70" s="277"/>
      <c r="K70" s="277">
        <v>1519056.99</v>
      </c>
      <c r="L70" s="277"/>
      <c r="M70" s="277">
        <v>1353341.67</v>
      </c>
      <c r="N70" s="277"/>
      <c r="O70" s="277">
        <v>165715.32</v>
      </c>
      <c r="P70" s="277"/>
      <c r="Q70" s="277">
        <v>12.2</v>
      </c>
    </row>
    <row r="71" spans="3:17" ht="12.75">
      <c r="C71" s="276">
        <v>1000</v>
      </c>
      <c r="E71" s="276">
        <v>18900433</v>
      </c>
      <c r="H71" t="s">
        <v>217</v>
      </c>
      <c r="K71">
        <v>5284608.22</v>
      </c>
      <c r="M71">
        <v>5135043.88</v>
      </c>
      <c r="O71">
        <v>149564.34</v>
      </c>
      <c r="Q71">
        <v>2.9</v>
      </c>
    </row>
    <row r="72" spans="3:17" ht="12.75">
      <c r="C72" s="276">
        <v>1000</v>
      </c>
      <c r="E72" s="276">
        <v>18900533</v>
      </c>
      <c r="H72" t="s">
        <v>218</v>
      </c>
      <c r="K72">
        <v>893108.78</v>
      </c>
      <c r="M72">
        <v>867832.16</v>
      </c>
      <c r="O72">
        <v>25276.62</v>
      </c>
      <c r="Q72">
        <v>2.9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2014-11-04T18:53:53Z</cp:lastPrinted>
  <dcterms:created xsi:type="dcterms:W3CDTF">2014-10-31T23:30:52Z</dcterms:created>
  <dcterms:modified xsi:type="dcterms:W3CDTF">2014-11-04T18:54:27Z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130137</vt:lpwstr>
  </property>
  <property fmtid="{D5CDD505-2E9C-101B-9397-08002B2CF9AE}" pid="6" name="IsConfidenti">
    <vt:lpwstr>0</vt:lpwstr>
  </property>
  <property fmtid="{D5CDD505-2E9C-101B-9397-08002B2CF9AE}" pid="7" name="Dat">
    <vt:lpwstr>2014-11-05T00:00:00Z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Puget Sound Energy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Tariff Revision</vt:lpwstr>
  </property>
  <property fmtid="{D5CDD505-2E9C-101B-9397-08002B2CF9AE}" pid="15" name="OpenedDa">
    <vt:lpwstr>2013-02-01T00:00:00Z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</Properties>
</file>