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9585" yWindow="-15" windowWidth="9345" windowHeight="10665"/>
  </bookViews>
  <sheets>
    <sheet name="PrePost" sheetId="1" r:id="rId1"/>
  </sheets>
  <externalReferences>
    <externalReference r:id="rId2"/>
  </externalReferences>
  <definedNames>
    <definedName name="_Order1" hidden="1">255</definedName>
    <definedName name="_Order2" hidden="1">0</definedName>
    <definedName name="DispatchSum">"GRID Thermal Generation!R2C1:R4C2"</definedName>
    <definedName name="MidC">[1]lookup!$C$105:$D$114</definedName>
    <definedName name="_xlnm.Print_Area" localSheetId="0">PrePost!$A$1:$I$123</definedName>
    <definedName name="_xlnm.Print_Titles" localSheetId="0">PrePost!$A:$C,PrePost!$1:$6</definedName>
    <definedName name="Purchases">[1]lookup!$C$21:$D$66</definedName>
    <definedName name="QFs">[1]lookup!$C$67:$D$103</definedName>
    <definedName name="RevenueSum">"GRID Thermal Revenue!R2C1:R4C2"</definedName>
    <definedName name="Sales">[1]lookup!$C$3:$D$18</definedName>
    <definedName name="Storage">[1]lookup!$C$116:$D$133</definedName>
  </definedNames>
  <calcPr calcId="145621"/>
</workbook>
</file>

<file path=xl/calcChain.xml><?xml version="1.0" encoding="utf-8"?>
<calcChain xmlns="http://schemas.openxmlformats.org/spreadsheetml/2006/main">
  <c r="B118" i="1" l="1"/>
  <c r="B113" i="1"/>
  <c r="B111" i="1"/>
  <c r="B110" i="1"/>
  <c r="B109" i="1"/>
  <c r="B107" i="1"/>
  <c r="B106" i="1"/>
  <c r="B105" i="1"/>
  <c r="B104" i="1"/>
  <c r="B103" i="1"/>
  <c r="B102" i="1"/>
  <c r="B101" i="1"/>
  <c r="B100" i="1"/>
  <c r="B99" i="1"/>
  <c r="B96" i="1"/>
  <c r="B95" i="1"/>
  <c r="B94" i="1"/>
  <c r="B93" i="1"/>
  <c r="B73" i="1"/>
  <c r="C70" i="1"/>
  <c r="D6" i="1"/>
  <c r="A4" i="1"/>
  <c r="A1" i="1"/>
  <c r="K68" i="1" l="1"/>
  <c r="K63" i="1" l="1"/>
  <c r="I115" i="1" l="1"/>
  <c r="H36" i="1" l="1"/>
  <c r="H27" i="1"/>
  <c r="K62" i="1" l="1"/>
  <c r="K41" i="1" l="1"/>
  <c r="K58" i="1" l="1"/>
  <c r="K50" i="1"/>
  <c r="H14" i="1"/>
  <c r="G16" i="1"/>
  <c r="H16" i="1"/>
  <c r="L24" i="1"/>
  <c r="L31" i="1"/>
  <c r="K38" i="1"/>
  <c r="K39" i="1"/>
  <c r="K40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9" i="1"/>
  <c r="K60" i="1"/>
  <c r="K61" i="1"/>
  <c r="K64" i="1"/>
  <c r="K65" i="1"/>
  <c r="F72" i="1"/>
  <c r="H72" i="1"/>
  <c r="H74" i="1"/>
  <c r="G90" i="1"/>
  <c r="F115" i="1"/>
  <c r="G115" i="1"/>
  <c r="F120" i="1"/>
  <c r="G120" i="1"/>
  <c r="I120" i="1"/>
  <c r="H76" i="1" l="1"/>
  <c r="F81" i="1" l="1"/>
  <c r="D81" i="1" l="1"/>
  <c r="F83" i="1"/>
  <c r="D83" i="1" s="1"/>
  <c r="F90" i="1" l="1"/>
  <c r="G72" i="1" l="1"/>
  <c r="P18" i="1" l="1"/>
  <c r="D48" i="1" l="1"/>
  <c r="I48" i="1" s="1"/>
  <c r="D87" i="1" l="1"/>
  <c r="H87" i="1" s="1"/>
  <c r="H90" i="1" s="1"/>
  <c r="D65" i="1"/>
  <c r="I65" i="1" s="1"/>
  <c r="D68" i="1"/>
  <c r="D63" i="1"/>
  <c r="I63" i="1" s="1"/>
  <c r="P21" i="1"/>
  <c r="P20" i="1" l="1"/>
  <c r="K69" i="1"/>
  <c r="I68" i="1"/>
  <c r="P22" i="1"/>
  <c r="O21" i="1" s="1"/>
  <c r="O22" i="1" s="1"/>
  <c r="P19" i="1"/>
  <c r="D73" i="1" l="1"/>
  <c r="I73" i="1" s="1"/>
  <c r="D110" i="1" l="1"/>
  <c r="H110" i="1" s="1"/>
  <c r="D51" i="1" l="1"/>
  <c r="I51" i="1" s="1"/>
  <c r="D39" i="1"/>
  <c r="I39" i="1" s="1"/>
  <c r="D42" i="1" l="1"/>
  <c r="I42" i="1" s="1"/>
  <c r="D46" i="1"/>
  <c r="D25" i="1"/>
  <c r="D95" i="1"/>
  <c r="D106" i="1"/>
  <c r="D103" i="1"/>
  <c r="D109" i="1"/>
  <c r="H109" i="1" s="1"/>
  <c r="D100" i="1"/>
  <c r="H100" i="1" s="1"/>
  <c r="D111" i="1"/>
  <c r="H111" i="1" s="1"/>
  <c r="D104" i="1"/>
  <c r="H104" i="1" s="1"/>
  <c r="D99" i="1"/>
  <c r="H99" i="1" s="1"/>
  <c r="D107" i="1"/>
  <c r="H107" i="1" s="1"/>
  <c r="D101" i="1"/>
  <c r="H101" i="1" s="1"/>
  <c r="D98" i="1"/>
  <c r="H98" i="1" s="1"/>
  <c r="D113" i="1"/>
  <c r="H113" i="1" s="1"/>
  <c r="D105" i="1"/>
  <c r="H105" i="1" s="1"/>
  <c r="D102" i="1"/>
  <c r="H102" i="1" s="1"/>
  <c r="D96" i="1"/>
  <c r="D94" i="1"/>
  <c r="H94" i="1" l="1"/>
  <c r="H96" i="1"/>
  <c r="D93" i="1"/>
  <c r="H103" i="1"/>
  <c r="H106" i="1"/>
  <c r="H95" i="1"/>
  <c r="I25" i="1"/>
  <c r="I46" i="1"/>
  <c r="D40" i="1"/>
  <c r="I40" i="1" s="1"/>
  <c r="D60" i="1"/>
  <c r="I60" i="1" s="1"/>
  <c r="D57" i="1"/>
  <c r="I57" i="1" s="1"/>
  <c r="D50" i="1"/>
  <c r="I50" i="1" s="1"/>
  <c r="D64" i="1"/>
  <c r="I64" i="1" s="1"/>
  <c r="D41" i="1"/>
  <c r="D52" i="1"/>
  <c r="I52" i="1" s="1"/>
  <c r="D53" i="1"/>
  <c r="I53" i="1" s="1"/>
  <c r="D59" i="1"/>
  <c r="I59" i="1" s="1"/>
  <c r="D47" i="1"/>
  <c r="I47" i="1" s="1"/>
  <c r="D49" i="1"/>
  <c r="I49" i="1" s="1"/>
  <c r="D55" i="1"/>
  <c r="I55" i="1" s="1"/>
  <c r="D56" i="1"/>
  <c r="D43" i="1"/>
  <c r="D44" i="1"/>
  <c r="I44" i="1" s="1"/>
  <c r="D61" i="1"/>
  <c r="I61" i="1" s="1"/>
  <c r="D54" i="1"/>
  <c r="I54" i="1" s="1"/>
  <c r="D62" i="1"/>
  <c r="I62" i="1" s="1"/>
  <c r="D45" i="1"/>
  <c r="D38" i="1" l="1"/>
  <c r="I38" i="1" s="1"/>
  <c r="I43" i="1"/>
  <c r="D97" i="1"/>
  <c r="D115" i="1" s="1"/>
  <c r="H93" i="1"/>
  <c r="I45" i="1"/>
  <c r="D33" i="1"/>
  <c r="G33" i="1" s="1"/>
  <c r="I56" i="1"/>
  <c r="D120" i="1"/>
  <c r="D118" i="1"/>
  <c r="H118" i="1" s="1"/>
  <c r="H120" i="1" s="1"/>
  <c r="I41" i="1"/>
  <c r="D58" i="1"/>
  <c r="I58" i="1" s="1"/>
  <c r="K115" i="1" l="1"/>
  <c r="H97" i="1"/>
  <c r="H115" i="1" l="1"/>
  <c r="H122" i="1" l="1"/>
  <c r="M115" i="1"/>
  <c r="D21" i="1" l="1" a="1"/>
  <c r="D21" i="1" s="1"/>
  <c r="G21" i="1" s="1" a="1"/>
  <c r="G21" i="1" s="1"/>
  <c r="D90" i="1" l="1"/>
  <c r="O85" i="1"/>
  <c r="F21" i="1"/>
  <c r="D85" i="1" l="1"/>
  <c r="K90" i="1" s="1"/>
  <c r="D32" i="1" l="1" a="1"/>
  <c r="D32" i="1" s="1"/>
  <c r="F32" i="1" s="1"/>
  <c r="D29" i="1" a="1"/>
  <c r="D29" i="1" s="1"/>
  <c r="G29" i="1" s="1"/>
  <c r="D34" i="1" a="1"/>
  <c r="D34" i="1" s="1"/>
  <c r="D22" i="1" a="1"/>
  <c r="D22" i="1" s="1"/>
  <c r="D23" i="1" a="1"/>
  <c r="D23" i="1" s="1"/>
  <c r="D20" i="1" a="1"/>
  <c r="D20" i="1" s="1"/>
  <c r="D30" i="1" a="1"/>
  <c r="D30" i="1" s="1"/>
  <c r="G30" i="1" s="1"/>
  <c r="I85" i="1"/>
  <c r="I90" i="1" l="1"/>
  <c r="M90" i="1" s="1"/>
  <c r="F20" i="1"/>
  <c r="G22" i="1"/>
  <c r="F22" i="1"/>
  <c r="F23" i="1"/>
  <c r="G23" i="1" l="1"/>
  <c r="F27" i="1"/>
  <c r="G27" i="1"/>
  <c r="D12" i="1" l="1" a="1"/>
  <c r="D12" i="1" s="1"/>
  <c r="F12" i="1" s="1"/>
  <c r="D10" i="1" a="1"/>
  <c r="D10" i="1" s="1"/>
  <c r="D8" i="1" a="1"/>
  <c r="D8" i="1" s="1"/>
  <c r="N25" i="1" a="1"/>
  <c r="N25" i="1" s="1"/>
  <c r="N31" i="1" a="1"/>
  <c r="N31" i="1" s="1"/>
  <c r="I31" i="1" s="1"/>
  <c r="I36" i="1" s="1"/>
  <c r="D70" i="1"/>
  <c r="N24" i="1" a="1"/>
  <c r="N24" i="1" s="1"/>
  <c r="N30" i="1" a="1"/>
  <c r="N30" i="1" s="1"/>
  <c r="N26" i="1" a="1"/>
  <c r="N26" i="1" s="1"/>
  <c r="N32" i="1" l="1"/>
  <c r="D31" i="1" s="1"/>
  <c r="D36" i="1" s="1"/>
  <c r="G31" i="1"/>
  <c r="G36" i="1" s="1"/>
  <c r="G76" i="1" s="1"/>
  <c r="G122" i="1" s="1"/>
  <c r="F31" i="1"/>
  <c r="F36" i="1" s="1"/>
  <c r="F76" i="1" s="1"/>
  <c r="D72" i="1"/>
  <c r="I70" i="1"/>
  <c r="O19" i="1"/>
  <c r="O20" i="1" s="1"/>
  <c r="N27" i="1"/>
  <c r="D24" i="1" s="1"/>
  <c r="F8" i="1"/>
  <c r="D16" i="1"/>
  <c r="I10" i="1"/>
  <c r="F16" i="1" l="1"/>
  <c r="F122" i="1" s="1"/>
  <c r="I16" i="1"/>
  <c r="M16" i="1"/>
  <c r="K16" i="1"/>
  <c r="I24" i="1"/>
  <c r="I27" i="1" s="1"/>
  <c r="D27" i="1"/>
  <c r="D76" i="1"/>
  <c r="I72" i="1"/>
  <c r="I76" i="1" l="1"/>
  <c r="I122" i="1" s="1"/>
  <c r="M72" i="1"/>
  <c r="K76" i="1"/>
  <c r="D122" i="1"/>
  <c r="K122" i="1" s="1"/>
  <c r="M69" i="1" l="1" a="1"/>
  <c r="M69" i="1" s="1"/>
</calcChain>
</file>

<file path=xl/sharedStrings.xml><?xml version="1.0" encoding="utf-8"?>
<sst xmlns="http://schemas.openxmlformats.org/spreadsheetml/2006/main" count="166" uniqueCount="97">
  <si>
    <t>MERGED PEAK/ENERGY SPLIT</t>
  </si>
  <si>
    <t>($)</t>
  </si>
  <si>
    <t>Merged</t>
  </si>
  <si>
    <t xml:space="preserve">Pre-Merger </t>
  </si>
  <si>
    <t>Demand</t>
  </si>
  <si>
    <t>Energy</t>
  </si>
  <si>
    <t>Non-Firm</t>
  </si>
  <si>
    <t>Post-Merger</t>
  </si>
  <si>
    <t>SPECIAL SALES FOR RESALE</t>
  </si>
  <si>
    <t>Pacific Pre Merger</t>
  </si>
  <si>
    <t>Post Merger</t>
  </si>
  <si>
    <t>Utah Pre Merger</t>
  </si>
  <si>
    <t>NonFirm Sub Total</t>
  </si>
  <si>
    <t xml:space="preserve"> </t>
  </si>
  <si>
    <t>--------------------</t>
  </si>
  <si>
    <t>TOTAL SPECIAL SALES</t>
  </si>
  <si>
    <t>PURCHASED POWER &amp; NET INTERCHANGE</t>
  </si>
  <si>
    <t>BPA Peak Purchase</t>
  </si>
  <si>
    <t>Pacific Capacity</t>
  </si>
  <si>
    <t>Mid Columbia</t>
  </si>
  <si>
    <t>Misc/Pacific</t>
  </si>
  <si>
    <t>Q.F. Contracts/PPL</t>
  </si>
  <si>
    <t>Pacific Sub Total</t>
  </si>
  <si>
    <t>GSLM</t>
  </si>
  <si>
    <t>QF Contracts/UPL</t>
  </si>
  <si>
    <t>IPP Layoff</t>
  </si>
  <si>
    <t>UP&amp;L to PP&amp;L</t>
  </si>
  <si>
    <t>Utah Sub Total</t>
  </si>
  <si>
    <t>New Firm Sub Total</t>
  </si>
  <si>
    <t>Non Firm Sub Total</t>
  </si>
  <si>
    <t>TOTAL PURCHASED PW &amp; NET INT.</t>
  </si>
  <si>
    <t>WHEELING &amp; U. OF F. EXPENSE</t>
  </si>
  <si>
    <t>Pacific Firm Wheeling and Use of Facilities</t>
  </si>
  <si>
    <t>Utah Firm Wheeling and Use of Facilities</t>
  </si>
  <si>
    <t>Nonfirm Wheeling</t>
  </si>
  <si>
    <t>TOTAL WHEELING &amp; U. OF F. EXPENSE</t>
  </si>
  <si>
    <t>THERMAL FUEL BURN EXPENSE</t>
  </si>
  <si>
    <t>TOTAL FUEL BURN EXPENSE</t>
  </si>
  <si>
    <t>=</t>
  </si>
  <si>
    <t>NET POWER COST</t>
  </si>
  <si>
    <t>check</t>
  </si>
  <si>
    <t>Gemstate</t>
  </si>
  <si>
    <t>Study Results</t>
  </si>
  <si>
    <t>OTHER GENERATION EXPENSE</t>
  </si>
  <si>
    <t>TOTAL OTHER GEN. EXPENSE</t>
  </si>
  <si>
    <t>Kennecott Generation Incentive</t>
  </si>
  <si>
    <t>Georgia-Pacific Camas</t>
  </si>
  <si>
    <t>Currant Creek</t>
  </si>
  <si>
    <t>QF UPL Post Merger</t>
  </si>
  <si>
    <t>QF PPL Post Merger</t>
  </si>
  <si>
    <t>QF PPL Pre Merger</t>
  </si>
  <si>
    <t>QF UPL Pre Merger</t>
  </si>
  <si>
    <t>Period Ending</t>
  </si>
  <si>
    <t>QF by State PPL</t>
  </si>
  <si>
    <t>QF by State UPL</t>
  </si>
  <si>
    <t>Avoided Cost Resource</t>
  </si>
  <si>
    <t>Pre-Merger PPL</t>
  </si>
  <si>
    <t>Pre-Merger UPL</t>
  </si>
  <si>
    <t>Post-Merger PPL</t>
  </si>
  <si>
    <t>Post-Merger UPL</t>
  </si>
  <si>
    <t>Pre Mgr PPL</t>
  </si>
  <si>
    <t>Pre Mgr UPL</t>
  </si>
  <si>
    <t>Post Mgr Whl</t>
  </si>
  <si>
    <t>STF</t>
  </si>
  <si>
    <t>Seasonal Purchased Power</t>
  </si>
  <si>
    <t>---------------------------------------------------------</t>
  </si>
  <si>
    <t>Chehalis</t>
  </si>
  <si>
    <t>Test Year</t>
  </si>
  <si>
    <t>APS Supplemental p27875</t>
  </si>
  <si>
    <t>Blanding Purchase p379174</t>
  </si>
  <si>
    <t>Chehalis Station Service</t>
  </si>
  <si>
    <t xml:space="preserve">Combine Hills Wind p160595 </t>
  </si>
  <si>
    <t>Deseret Purchase p194277</t>
  </si>
  <si>
    <t>Hermiston Purchase p99563</t>
  </si>
  <si>
    <t>Hurricane Purchase p393045</t>
  </si>
  <si>
    <t>Idaho Power p278538</t>
  </si>
  <si>
    <t>LADWP p491303-4</t>
  </si>
  <si>
    <t>MagCorp p229846</t>
  </si>
  <si>
    <t>MagCorp Reserves p510378</t>
  </si>
  <si>
    <t>Nucor p346856</t>
  </si>
  <si>
    <t>P4 Production p137215/p145258</t>
  </si>
  <si>
    <t>Rock River Wind p100371</t>
  </si>
  <si>
    <t>Roseburg Forest Products p312292</t>
  </si>
  <si>
    <t>Three Buttes Wind p460457</t>
  </si>
  <si>
    <t>Tri-State Purchase p27057</t>
  </si>
  <si>
    <t>Wolverine Creek Wind p244520</t>
  </si>
  <si>
    <t>BPA So. Idaho p64885/p83975/p64705</t>
  </si>
  <si>
    <t>PSCo Exchange p340325</t>
  </si>
  <si>
    <t>BPA Reserve Purchase</t>
  </si>
  <si>
    <t>Small Purchases east</t>
  </si>
  <si>
    <t>Small Purchases west</t>
  </si>
  <si>
    <t>NF Whl</t>
  </si>
  <si>
    <t>Top of the World Wind p522807</t>
  </si>
  <si>
    <t>Shell p489963/s489962</t>
  </si>
  <si>
    <t>Cargill p483225/s6 p485390/s89</t>
  </si>
  <si>
    <t>West Valley Toll</t>
  </si>
  <si>
    <t>Constellation 2013-2016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</si>
</sst>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164" formatCode="#,##0\ ;[Red]\(#,##0\);0\ "/>
    <numFmt numFmtId="165" formatCode="0\ \ ;@\ \ "/>
    <numFmt numFmtId="166" formatCode="#,##0\ ;[Red]\(#,##0\)"/>
    <numFmt numFmtId="167" formatCode="#,##0.00\ ;[Red]\(#,##0.00\)"/>
    <numFmt numFmtId="168" formatCode="_(* #,##0_);_(* \(#,##0\);_(* &quot;-&quot;??_);_(@_)"/>
    <numFmt numFmtId="169" formatCode="[$-409]mmm\-yy;@"/>
    <numFmt numFmtId="170" formatCode="0.0%"/>
    <numFmt numFmtId="171" formatCode="0.0"/>
    <numFmt numFmtId="172" formatCode="&quot;$&quot;###0;[Red]\(&quot;$&quot;###0\)"/>
    <numFmt numFmtId="173" formatCode="#,##0.000000\ ;[Red]\(#,##0.000000\);0.000000\ "/>
  </numFmts>
  <fonts count="17">
    <font>
      <sz val="9"/>
      <name val="Helv"/>
    </font>
    <font>
      <sz val="10"/>
      <name val="Geneva"/>
      <family val="2"/>
    </font>
    <font>
      <b/>
      <sz val="9"/>
      <name val="Helv"/>
    </font>
    <font>
      <sz val="9"/>
      <name val="Helv"/>
    </font>
    <font>
      <b/>
      <i/>
      <sz val="9"/>
      <name val="Helv"/>
    </font>
    <font>
      <i/>
      <sz val="9"/>
      <name val="Helv"/>
    </font>
    <font>
      <u/>
      <sz val="9"/>
      <name val="Helv"/>
    </font>
    <font>
      <b/>
      <sz val="9"/>
      <color indexed="10"/>
      <name val="Helv"/>
    </font>
    <font>
      <b/>
      <sz val="12"/>
      <name val="Arial"/>
      <family val="2"/>
    </font>
    <font>
      <b/>
      <sz val="10"/>
      <name val="Arial"/>
      <family val="2"/>
    </font>
    <font>
      <sz val="8"/>
      <name val="Helv"/>
    </font>
    <font>
      <b/>
      <sz val="8"/>
      <name val="Arial"/>
      <family val="2"/>
    </font>
    <font>
      <b/>
      <sz val="8"/>
      <name val="Helv"/>
    </font>
    <font>
      <b/>
      <i/>
      <sz val="8"/>
      <color indexed="18"/>
      <name val="Helv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41" fontId="0" fillId="0" borderId="0"/>
    <xf numFmtId="4" fontId="1" fillId="0" borderId="0" applyFont="0" applyFill="0" applyBorder="0" applyAlignment="0" applyProtection="0"/>
    <xf numFmtId="172" fontId="10" fillId="0" borderId="0" applyFont="0" applyFill="0" applyBorder="0" applyProtection="0">
      <alignment horizontal="right"/>
    </xf>
    <xf numFmtId="0" fontId="13" fillId="0" borderId="0" applyNumberFormat="0" applyFill="0" applyBorder="0" applyAlignment="0">
      <protection locked="0"/>
    </xf>
    <xf numFmtId="171" fontId="11" fillId="0" borderId="0" applyNumberFormat="0" applyFill="0" applyBorder="0" applyAlignment="0" applyProtection="0"/>
    <xf numFmtId="0" fontId="14" fillId="0" borderId="1" applyNumberFormat="0" applyBorder="0" applyAlignment="0"/>
    <xf numFmtId="12" fontId="8" fillId="2" borderId="2">
      <alignment horizontal="left"/>
    </xf>
    <xf numFmtId="9" fontId="1" fillId="0" borderId="0" applyFont="0" applyFill="0" applyBorder="0" applyAlignment="0" applyProtection="0"/>
    <xf numFmtId="37" fontId="14" fillId="3" borderId="0" applyNumberFormat="0" applyBorder="0" applyAlignment="0" applyProtection="0"/>
    <xf numFmtId="37" fontId="15" fillId="0" borderId="0"/>
    <xf numFmtId="3" fontId="16" fillId="4" borderId="3" applyProtection="0"/>
  </cellStyleXfs>
  <cellXfs count="56">
    <xf numFmtId="41" fontId="0" fillId="0" borderId="0" xfId="0"/>
    <xf numFmtId="3" fontId="0" fillId="0" borderId="0" xfId="0" applyNumberFormat="1"/>
    <xf numFmtId="3" fontId="3" fillId="0" borderId="0" xfId="0" applyNumberFormat="1" applyFont="1"/>
    <xf numFmtId="41" fontId="3" fillId="0" borderId="0" xfId="0" applyFont="1"/>
    <xf numFmtId="41" fontId="4" fillId="0" borderId="0" xfId="0" applyFont="1"/>
    <xf numFmtId="41" fontId="5" fillId="0" borderId="0" xfId="0" applyFont="1"/>
    <xf numFmtId="164" fontId="3" fillId="0" borderId="0" xfId="0" applyNumberFormat="1" applyFont="1"/>
    <xf numFmtId="166" fontId="0" fillId="0" borderId="0" xfId="0" applyNumberFormat="1"/>
    <xf numFmtId="41" fontId="2" fillId="0" borderId="0" xfId="0" applyFont="1" applyAlignment="1">
      <alignment horizontal="center"/>
    </xf>
    <xf numFmtId="41" fontId="3" fillId="0" borderId="0" xfId="0" applyFont="1" applyAlignment="1">
      <alignment horizontal="center"/>
    </xf>
    <xf numFmtId="41" fontId="0" fillId="0" borderId="0" xfId="0" applyAlignment="1">
      <alignment horizontal="right"/>
    </xf>
    <xf numFmtId="41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1" fontId="3" fillId="0" borderId="0" xfId="0" applyFont="1" applyAlignment="1">
      <alignment horizontal="fill"/>
    </xf>
    <xf numFmtId="165" fontId="6" fillId="0" borderId="0" xfId="0" applyNumberFormat="1" applyFont="1" applyAlignment="1">
      <alignment horizontal="right"/>
    </xf>
    <xf numFmtId="166" fontId="3" fillId="0" borderId="0" xfId="0" applyNumberFormat="1" applyFont="1"/>
    <xf numFmtId="4" fontId="3" fillId="0" borderId="0" xfId="0" applyNumberFormat="1" applyFont="1"/>
    <xf numFmtId="38" fontId="3" fillId="0" borderId="0" xfId="0" applyNumberFormat="1" applyFont="1"/>
    <xf numFmtId="38" fontId="3" fillId="0" borderId="0" xfId="0" applyNumberFormat="1" applyFont="1" applyAlignment="1">
      <alignment horizontal="fill"/>
    </xf>
    <xf numFmtId="1" fontId="5" fillId="0" borderId="0" xfId="0" applyNumberFormat="1" applyFont="1"/>
    <xf numFmtId="168" fontId="3" fillId="0" borderId="0" xfId="0" applyNumberFormat="1" applyFont="1"/>
    <xf numFmtId="41" fontId="0" fillId="0" borderId="0" xfId="0" applyFill="1"/>
    <xf numFmtId="38" fontId="0" fillId="0" borderId="0" xfId="0" applyNumberFormat="1"/>
    <xf numFmtId="41" fontId="7" fillId="3" borderId="5" xfId="0" applyFont="1" applyFill="1" applyBorder="1" applyAlignment="1">
      <alignment horizontal="center"/>
    </xf>
    <xf numFmtId="10" fontId="3" fillId="0" borderId="0" xfId="0" applyNumberFormat="1" applyFont="1"/>
    <xf numFmtId="41" fontId="3" fillId="0" borderId="0" xfId="0" applyNumberFormat="1" applyFont="1"/>
    <xf numFmtId="41" fontId="10" fillId="0" borderId="0" xfId="0" applyFont="1"/>
    <xf numFmtId="41" fontId="10" fillId="0" borderId="0" xfId="0" applyFont="1" applyAlignment="1">
      <alignment horizontal="right"/>
    </xf>
    <xf numFmtId="41" fontId="11" fillId="5" borderId="0" xfId="0" applyFont="1" applyFill="1"/>
    <xf numFmtId="170" fontId="3" fillId="0" borderId="0" xfId="7" applyNumberFormat="1" applyFont="1"/>
    <xf numFmtId="41" fontId="3" fillId="0" borderId="0" xfId="0" quotePrefix="1" applyNumberFormat="1" applyFont="1"/>
    <xf numFmtId="3" fontId="3" fillId="0" borderId="0" xfId="1" applyNumberFormat="1" applyFont="1"/>
    <xf numFmtId="41" fontId="0" fillId="0" borderId="0" xfId="0" applyNumberFormat="1"/>
    <xf numFmtId="41" fontId="9" fillId="0" borderId="0" xfId="0" applyFont="1" applyFill="1"/>
    <xf numFmtId="41" fontId="3" fillId="6" borderId="0" xfId="0" applyFont="1" applyFill="1"/>
    <xf numFmtId="166" fontId="2" fillId="3" borderId="6" xfId="0" applyNumberFormat="1" applyFont="1" applyFill="1" applyBorder="1"/>
    <xf numFmtId="166" fontId="2" fillId="3" borderId="4" xfId="0" applyNumberFormat="1" applyFont="1" applyFill="1" applyBorder="1"/>
    <xf numFmtId="41" fontId="3" fillId="0" borderId="0" xfId="0" applyNumberFormat="1" applyFont="1" applyFill="1"/>
    <xf numFmtId="41" fontId="12" fillId="6" borderId="0" xfId="0" applyFont="1" applyFill="1"/>
    <xf numFmtId="41" fontId="3" fillId="0" borderId="0" xfId="0" quotePrefix="1" applyFont="1" applyAlignment="1">
      <alignment horizontal="left"/>
    </xf>
    <xf numFmtId="0" fontId="6" fillId="0" borderId="0" xfId="0" applyNumberFormat="1" applyFont="1" applyAlignment="1">
      <alignment horizontal="right"/>
    </xf>
    <xf numFmtId="10" fontId="3" fillId="0" borderId="0" xfId="7" applyNumberFormat="1" applyFont="1"/>
    <xf numFmtId="41" fontId="6" fillId="0" borderId="0" xfId="0" applyNumberFormat="1" applyFont="1"/>
    <xf numFmtId="167" fontId="3" fillId="0" borderId="0" xfId="0" applyNumberFormat="1" applyFont="1"/>
    <xf numFmtId="173" fontId="3" fillId="0" borderId="0" xfId="0" applyNumberFormat="1" applyFont="1"/>
    <xf numFmtId="41" fontId="3" fillId="0" borderId="0" xfId="0" applyFont="1" applyFill="1"/>
    <xf numFmtId="41" fontId="7" fillId="3" borderId="6" xfId="0" applyFont="1" applyFill="1" applyBorder="1"/>
    <xf numFmtId="14" fontId="2" fillId="6" borderId="0" xfId="0" applyNumberFormat="1" applyFont="1" applyFill="1" applyAlignment="1">
      <alignment horizontal="center"/>
    </xf>
    <xf numFmtId="41" fontId="0" fillId="0" borderId="0" xfId="0" applyFont="1"/>
    <xf numFmtId="14" fontId="3" fillId="0" borderId="0" xfId="0" applyNumberFormat="1" applyFont="1"/>
    <xf numFmtId="41" fontId="3" fillId="7" borderId="0" xfId="0" quotePrefix="1" applyNumberFormat="1" applyFont="1" applyFill="1"/>
    <xf numFmtId="164" fontId="3" fillId="7" borderId="0" xfId="0" applyNumberFormat="1" applyFont="1" applyFill="1"/>
    <xf numFmtId="3" fontId="3" fillId="7" borderId="0" xfId="1" applyNumberFormat="1" applyFont="1" applyFill="1"/>
    <xf numFmtId="41" fontId="3" fillId="8" borderId="0" xfId="0" quotePrefix="1" applyNumberFormat="1" applyFont="1" applyFill="1"/>
    <xf numFmtId="169" fontId="5" fillId="0" borderId="0" xfId="0" applyNumberFormat="1" applyFont="1" applyAlignment="1">
      <alignment horizontal="left"/>
    </xf>
  </cellXfs>
  <cellStyles count="11">
    <cellStyle name="Comma" xfId="1" builtinId="3"/>
    <cellStyle name="Currency No Comma" xfId="2"/>
    <cellStyle name="Input" xfId="3" builtinId="20" customBuiltin="1"/>
    <cellStyle name="MCP" xfId="4"/>
    <cellStyle name="noninput" xfId="5"/>
    <cellStyle name="Normal" xfId="0" builtinId="0"/>
    <cellStyle name="Password" xfId="6"/>
    <cellStyle name="Percent" xfId="7" builtinId="5"/>
    <cellStyle name="Unprot" xfId="8"/>
    <cellStyle name="Unprot$" xfId="9"/>
    <cellStyle name="Unprotec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WCA%20Allocation%20Support%20(Conf)%20(FYE%20June%202012)_2012%2012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</sheetNames>
    <sheetDataSet>
      <sheetData sheetId="0">
        <row r="1">
          <cell r="A1">
            <v>0</v>
          </cell>
          <cell r="E1" t="str">
            <v>Monthly Actual WCA Net Power Cost Fiscal Year Ending Jun 2012</v>
          </cell>
        </row>
        <row r="2">
          <cell r="E2" t="str">
            <v>Net Power Cost Analysis</v>
          </cell>
        </row>
        <row r="3">
          <cell r="E3" t="str">
            <v>07/11 - 06/12</v>
          </cell>
          <cell r="J3">
            <v>41974</v>
          </cell>
        </row>
        <row r="4">
          <cell r="E4" t="str">
            <v>($)</v>
          </cell>
        </row>
        <row r="7">
          <cell r="B7" t="str">
            <v>Black Hills s27013/s28160</v>
          </cell>
          <cell r="E7">
            <v>0</v>
          </cell>
          <cell r="G7" t="str">
            <v>Pacific Pre Merger</v>
          </cell>
        </row>
        <row r="8">
          <cell r="B8" t="str">
            <v>BPA Wind s42818</v>
          </cell>
          <cell r="E8">
            <v>0</v>
          </cell>
          <cell r="G8" t="str">
            <v>Post Merger</v>
          </cell>
        </row>
        <row r="9">
          <cell r="B9" t="str">
            <v>East Area Sales (WCA Sale)</v>
          </cell>
          <cell r="E9">
            <v>0</v>
          </cell>
          <cell r="G9" t="str">
            <v>Post Merger</v>
          </cell>
        </row>
        <row r="10">
          <cell r="B10" t="str">
            <v>Hurricane Sale s393046</v>
          </cell>
          <cell r="E10">
            <v>0</v>
          </cell>
          <cell r="G10" t="str">
            <v>Post Merger</v>
          </cell>
        </row>
        <row r="11">
          <cell r="B11" t="str">
            <v>LADWP (IPP Layoff)</v>
          </cell>
          <cell r="E11">
            <v>0</v>
          </cell>
          <cell r="G11" t="str">
            <v>Utah Pre Merger</v>
          </cell>
        </row>
        <row r="12">
          <cell r="B12" t="str">
            <v>NVE s523485</v>
          </cell>
          <cell r="E12">
            <v>0</v>
          </cell>
          <cell r="G12" t="str">
            <v>Post Merger</v>
          </cell>
        </row>
        <row r="13">
          <cell r="B13" t="str">
            <v>NVE s811499</v>
          </cell>
          <cell r="E13">
            <v>0</v>
          </cell>
          <cell r="G13" t="str">
            <v>Post Merger</v>
          </cell>
        </row>
        <row r="14">
          <cell r="B14" t="str">
            <v>Pacific Gas &amp; Electric s524491</v>
          </cell>
          <cell r="E14">
            <v>14450738.1</v>
          </cell>
          <cell r="G14" t="str">
            <v>Post Merger</v>
          </cell>
        </row>
        <row r="15">
          <cell r="B15" t="str">
            <v>PSCO s100035</v>
          </cell>
          <cell r="E15">
            <v>0</v>
          </cell>
          <cell r="G15" t="str">
            <v>Post Merger</v>
          </cell>
        </row>
        <row r="16">
          <cell r="B16" t="str">
            <v>Salt River Project s322940</v>
          </cell>
          <cell r="E16">
            <v>0</v>
          </cell>
          <cell r="G16" t="str">
            <v>Post Merger</v>
          </cell>
        </row>
        <row r="17">
          <cell r="B17" t="str">
            <v>SCE s513948</v>
          </cell>
          <cell r="E17">
            <v>0</v>
          </cell>
          <cell r="G17" t="str">
            <v>Post Merger</v>
          </cell>
        </row>
        <row r="18">
          <cell r="B18" t="str">
            <v>SDG&amp;E s513949</v>
          </cell>
          <cell r="E18">
            <v>0</v>
          </cell>
          <cell r="G18" t="str">
            <v>Post Merger</v>
          </cell>
        </row>
        <row r="20">
          <cell r="B20" t="str">
            <v>SMUD s24296</v>
          </cell>
          <cell r="E20">
            <v>8952900.0700000003</v>
          </cell>
          <cell r="G20" t="str">
            <v>Pacific Pre Merger</v>
          </cell>
        </row>
        <row r="21">
          <cell r="B21" t="str">
            <v>UAMPS s223863</v>
          </cell>
          <cell r="G21" t="str">
            <v>Post Merger</v>
          </cell>
        </row>
        <row r="23">
          <cell r="B23" t="str">
            <v>UMPA II s45631</v>
          </cell>
          <cell r="E23">
            <v>0</v>
          </cell>
          <cell r="G23" t="str">
            <v>Post Merger</v>
          </cell>
        </row>
        <row r="25">
          <cell r="B25" t="str">
            <v>Short Term Firm Sales</v>
          </cell>
          <cell r="E25">
            <v>66245041.229999997</v>
          </cell>
          <cell r="G25" t="str">
            <v>Post Merger</v>
          </cell>
        </row>
        <row r="26">
          <cell r="B26" t="str">
            <v>System Balancing Sales</v>
          </cell>
          <cell r="E26">
            <v>0</v>
          </cell>
          <cell r="G26" t="str">
            <v>Post Merger</v>
          </cell>
        </row>
        <row r="27">
          <cell r="E27" t="str">
            <v>-</v>
          </cell>
        </row>
        <row r="28">
          <cell r="E28">
            <v>89648679.400000006</v>
          </cell>
        </row>
        <row r="31">
          <cell r="B31" t="str">
            <v>APS Supplemental p27875</v>
          </cell>
          <cell r="E31">
            <v>0</v>
          </cell>
          <cell r="G31" t="str">
            <v>Post Merger</v>
          </cell>
        </row>
        <row r="32">
          <cell r="B32" t="str">
            <v>Avoided Cost Resource</v>
          </cell>
          <cell r="E32">
            <v>0</v>
          </cell>
          <cell r="G32" t="str">
            <v>Post Merger</v>
          </cell>
        </row>
        <row r="33">
          <cell r="B33" t="str">
            <v>Blanding Purchase p379174</v>
          </cell>
          <cell r="E33">
            <v>0</v>
          </cell>
          <cell r="G33" t="str">
            <v>Post Merger</v>
          </cell>
        </row>
        <row r="34">
          <cell r="B34" t="str">
            <v>BPA Reserve Purchase</v>
          </cell>
          <cell r="E34">
            <v>244080</v>
          </cell>
          <cell r="G34" t="str">
            <v>Post Merger</v>
          </cell>
        </row>
        <row r="35">
          <cell r="B35" t="str">
            <v>Chehalis Station Service</v>
          </cell>
          <cell r="E35">
            <v>0</v>
          </cell>
          <cell r="G35" t="str">
            <v>Post Merger</v>
          </cell>
        </row>
        <row r="36">
          <cell r="B36" t="str">
            <v xml:space="preserve">Combine Hills Wind p160595 </v>
          </cell>
          <cell r="E36">
            <v>4738669.24</v>
          </cell>
          <cell r="G36" t="str">
            <v>Post Merger</v>
          </cell>
        </row>
        <row r="40">
          <cell r="B40" t="str">
            <v>Deseret Purchase p194277</v>
          </cell>
          <cell r="E40">
            <v>0</v>
          </cell>
          <cell r="G40" t="str">
            <v>Post Merger</v>
          </cell>
        </row>
        <row r="41">
          <cell r="B41" t="str">
            <v>Douglas PUD Settlement p38185</v>
          </cell>
          <cell r="E41">
            <v>1971412.2</v>
          </cell>
          <cell r="G41" t="str">
            <v>Mid Columbia</v>
          </cell>
        </row>
        <row r="42">
          <cell r="B42" t="str">
            <v>Gemstate p99489</v>
          </cell>
          <cell r="E42">
            <v>0</v>
          </cell>
          <cell r="G42" t="str">
            <v>Gemstate</v>
          </cell>
        </row>
        <row r="43">
          <cell r="B43" t="str">
            <v>Georgia-Pacific Camas</v>
          </cell>
          <cell r="E43">
            <v>6699772.9199999999</v>
          </cell>
          <cell r="G43" t="str">
            <v>Post Merger</v>
          </cell>
        </row>
        <row r="44">
          <cell r="B44" t="str">
            <v>Grant County 10 aMW p66274</v>
          </cell>
          <cell r="E44">
            <v>6601065</v>
          </cell>
          <cell r="G44" t="str">
            <v>Misc/Pacific</v>
          </cell>
        </row>
        <row r="45">
          <cell r="B45" t="str">
            <v>Hermiston Purchase p99563</v>
          </cell>
          <cell r="E45">
            <v>90307566.239999995</v>
          </cell>
          <cell r="G45" t="str">
            <v>Post Merger</v>
          </cell>
        </row>
        <row r="46">
          <cell r="B46" t="str">
            <v>Hurricane Purchase p393045</v>
          </cell>
          <cell r="E46">
            <v>0</v>
          </cell>
          <cell r="G46" t="str">
            <v>Post Merger</v>
          </cell>
        </row>
        <row r="47">
          <cell r="B47" t="str">
            <v>Idaho Power p278538</v>
          </cell>
          <cell r="G47" t="str">
            <v>Post Merger</v>
          </cell>
        </row>
        <row r="48">
          <cell r="B48" t="str">
            <v>IPP Purchase</v>
          </cell>
          <cell r="E48">
            <v>0</v>
          </cell>
          <cell r="G48" t="str">
            <v>IPP Layoff</v>
          </cell>
        </row>
        <row r="49">
          <cell r="B49" t="str">
            <v>Kennecott Generation Incentive</v>
          </cell>
          <cell r="E49">
            <v>0</v>
          </cell>
          <cell r="G49" t="str">
            <v>Post Merger</v>
          </cell>
        </row>
        <row r="50">
          <cell r="B50" t="str">
            <v>LADWP p491303-4</v>
          </cell>
          <cell r="E50">
            <v>0</v>
          </cell>
          <cell r="G50" t="str">
            <v>Post Merger</v>
          </cell>
        </row>
        <row r="51">
          <cell r="B51" t="str">
            <v>MagCorp p229846</v>
          </cell>
          <cell r="E51">
            <v>0</v>
          </cell>
          <cell r="G51" t="str">
            <v>Post Merger</v>
          </cell>
        </row>
        <row r="52">
          <cell r="B52" t="str">
            <v>MagCorp Reserves p510378</v>
          </cell>
          <cell r="E52">
            <v>0</v>
          </cell>
          <cell r="G52" t="str">
            <v>Post Merger</v>
          </cell>
        </row>
        <row r="53">
          <cell r="B53" t="str">
            <v>Morgan Stanley p189046</v>
          </cell>
          <cell r="E53">
            <v>0</v>
          </cell>
          <cell r="G53" t="str">
            <v>Post Merger</v>
          </cell>
        </row>
        <row r="55">
          <cell r="B55" t="str">
            <v>Morgan Stanley p272154-7</v>
          </cell>
          <cell r="E55">
            <v>0</v>
          </cell>
          <cell r="G55" t="str">
            <v>Post Merger</v>
          </cell>
        </row>
        <row r="57">
          <cell r="B57" t="str">
            <v>Nucor p346856</v>
          </cell>
          <cell r="E57">
            <v>0</v>
          </cell>
          <cell r="G57" t="str">
            <v>Post Merger</v>
          </cell>
        </row>
        <row r="58">
          <cell r="B58" t="str">
            <v>P4 Production p137215/p145258</v>
          </cell>
          <cell r="E58">
            <v>0</v>
          </cell>
          <cell r="G58" t="str">
            <v>Post Merger</v>
          </cell>
        </row>
        <row r="59">
          <cell r="B59" t="str">
            <v>PGE Cove p83984</v>
          </cell>
          <cell r="E59">
            <v>129875.7</v>
          </cell>
          <cell r="G59" t="str">
            <v>Misc/Pacific</v>
          </cell>
        </row>
        <row r="60">
          <cell r="B60" t="str">
            <v>Rock River Wind p100371</v>
          </cell>
          <cell r="E60">
            <v>0</v>
          </cell>
          <cell r="G60" t="str">
            <v>Post Merger</v>
          </cell>
        </row>
        <row r="61">
          <cell r="B61" t="str">
            <v>Roseburg Forest Products p312292</v>
          </cell>
          <cell r="E61">
            <v>859106.6</v>
          </cell>
          <cell r="G61" t="str">
            <v>Post Merger</v>
          </cell>
        </row>
        <row r="62">
          <cell r="B62" t="str">
            <v>Small Purchases east</v>
          </cell>
          <cell r="E62">
            <v>0</v>
          </cell>
          <cell r="G62" t="str">
            <v>Pre Merger</v>
          </cell>
        </row>
        <row r="63">
          <cell r="B63" t="str">
            <v>Small Purchases west</v>
          </cell>
          <cell r="E63">
            <v>12121.15</v>
          </cell>
          <cell r="G63" t="str">
            <v>Pre Merger</v>
          </cell>
        </row>
        <row r="64">
          <cell r="B64" t="str">
            <v>Three Buttes Wind p460457</v>
          </cell>
          <cell r="E64">
            <v>0</v>
          </cell>
          <cell r="G64" t="str">
            <v>Post Merger</v>
          </cell>
        </row>
        <row r="65">
          <cell r="B65" t="str">
            <v>Top of the World Wind p522807</v>
          </cell>
          <cell r="E65">
            <v>0</v>
          </cell>
          <cell r="G65" t="str">
            <v>Post Merger</v>
          </cell>
        </row>
        <row r="66">
          <cell r="B66" t="str">
            <v>Tri-State Purchase p27057</v>
          </cell>
          <cell r="E66">
            <v>0</v>
          </cell>
          <cell r="G66" t="str">
            <v>Post Merger</v>
          </cell>
        </row>
        <row r="67">
          <cell r="B67" t="str">
            <v>West Valley Toll</v>
          </cell>
          <cell r="E67">
            <v>0</v>
          </cell>
          <cell r="G67" t="str">
            <v>Post Merger</v>
          </cell>
        </row>
        <row r="68">
          <cell r="B68" t="str">
            <v>Wolverine Creek Wind p244520</v>
          </cell>
          <cell r="E68">
            <v>0</v>
          </cell>
          <cell r="G68" t="str">
            <v>Post Merger</v>
          </cell>
        </row>
        <row r="69">
          <cell r="B69" t="str">
            <v>Place Holder</v>
          </cell>
        </row>
        <row r="72">
          <cell r="B72" t="str">
            <v>Constellation 2013-2016</v>
          </cell>
          <cell r="G72" t="str">
            <v>Post Merger</v>
          </cell>
          <cell r="R72" t="str">
            <v>Seasonal Purchased Power</v>
          </cell>
        </row>
        <row r="77">
          <cell r="B77" t="str">
            <v>QF California</v>
          </cell>
          <cell r="E77">
            <v>5302426.99</v>
          </cell>
          <cell r="G77" t="str">
            <v>QF by State PPL</v>
          </cell>
        </row>
        <row r="78">
          <cell r="B78" t="str">
            <v>QF Idaho</v>
          </cell>
          <cell r="E78">
            <v>0</v>
          </cell>
          <cell r="G78" t="str">
            <v>QF by State UPL</v>
          </cell>
        </row>
        <row r="79">
          <cell r="B79" t="str">
            <v>QF Oregon</v>
          </cell>
          <cell r="E79">
            <v>21127751.550000001</v>
          </cell>
          <cell r="G79" t="str">
            <v>QF by State PPL</v>
          </cell>
        </row>
        <row r="80">
          <cell r="B80" t="str">
            <v>QF Utah</v>
          </cell>
          <cell r="E80">
            <v>0</v>
          </cell>
          <cell r="G80" t="str">
            <v>QF by State UPL</v>
          </cell>
        </row>
        <row r="81">
          <cell r="B81" t="str">
            <v>QF Washington</v>
          </cell>
          <cell r="E81">
            <v>2811479.28</v>
          </cell>
          <cell r="G81" t="str">
            <v>QF by State PPL</v>
          </cell>
        </row>
        <row r="82">
          <cell r="B82" t="str">
            <v>QF Wyoming</v>
          </cell>
          <cell r="E82">
            <v>0</v>
          </cell>
          <cell r="G82" t="str">
            <v>QF by State UPL</v>
          </cell>
        </row>
        <row r="83">
          <cell r="B83" t="str">
            <v>Biomass p234159 QF</v>
          </cell>
          <cell r="E83">
            <v>17768877.77</v>
          </cell>
          <cell r="G83" t="str">
            <v>QF PPL Pre Merger</v>
          </cell>
        </row>
        <row r="84">
          <cell r="B84" t="str">
            <v>Blue Mountain Wind QF</v>
          </cell>
          <cell r="E84">
            <v>0</v>
          </cell>
          <cell r="G84" t="str">
            <v>QF UPL Post Merger</v>
          </cell>
        </row>
        <row r="85">
          <cell r="B85" t="str">
            <v>Butter Creek Wind QF</v>
          </cell>
          <cell r="G85" t="str">
            <v>QF PPL Post Merger</v>
          </cell>
        </row>
        <row r="86">
          <cell r="B86" t="str">
            <v>Chevron Wind p499335 QF</v>
          </cell>
          <cell r="E86">
            <v>0</v>
          </cell>
          <cell r="G86" t="str">
            <v>QF UPL Post Merger</v>
          </cell>
        </row>
        <row r="87">
          <cell r="B87" t="str">
            <v>DCFP p316701 QF</v>
          </cell>
          <cell r="E87">
            <v>24178.34</v>
          </cell>
          <cell r="G87" t="str">
            <v>QF PPL Post Merger</v>
          </cell>
        </row>
        <row r="88">
          <cell r="B88" t="str">
            <v>Co-Gen II p349170 QF</v>
          </cell>
          <cell r="E88">
            <v>0</v>
          </cell>
          <cell r="G88" t="str">
            <v>QF PPL Post Merger</v>
          </cell>
        </row>
        <row r="89">
          <cell r="B89" t="str">
            <v>Evergreen BioPower p351030 QF</v>
          </cell>
          <cell r="E89">
            <v>2103091.7799999998</v>
          </cell>
          <cell r="G89" t="str">
            <v>QF PPL Post Merger</v>
          </cell>
        </row>
        <row r="90">
          <cell r="B90" t="str">
            <v>ExxonMobil p255042 QF</v>
          </cell>
          <cell r="E90">
            <v>0</v>
          </cell>
          <cell r="G90" t="str">
            <v>QF UPL Post Merger</v>
          </cell>
        </row>
        <row r="91">
          <cell r="B91" t="str">
            <v>Five Pine Wind QF</v>
          </cell>
          <cell r="E91">
            <v>0</v>
          </cell>
          <cell r="G91" t="str">
            <v>QF UPL Post Merger</v>
          </cell>
        </row>
        <row r="92">
          <cell r="B92" t="str">
            <v>Kennecott Refinery QF</v>
          </cell>
          <cell r="E92">
            <v>0</v>
          </cell>
          <cell r="G92" t="str">
            <v>QF UPL Post Merger</v>
          </cell>
        </row>
        <row r="93">
          <cell r="B93" t="str">
            <v>Kennecott Smelter QF</v>
          </cell>
          <cell r="E93">
            <v>0</v>
          </cell>
          <cell r="G93" t="str">
            <v>QF UPL Post Merger</v>
          </cell>
        </row>
        <row r="94">
          <cell r="B94" t="str">
            <v>Mountain Wind 1 p367721 QF</v>
          </cell>
          <cell r="E94">
            <v>0</v>
          </cell>
          <cell r="G94" t="str">
            <v>QF UPL Post Merger</v>
          </cell>
        </row>
        <row r="95">
          <cell r="B95" t="str">
            <v>Mountain Wind 2 p398449 QF</v>
          </cell>
          <cell r="E95">
            <v>0</v>
          </cell>
          <cell r="G95" t="str">
            <v>QF UPL Post Merger</v>
          </cell>
        </row>
        <row r="96">
          <cell r="B96" t="str">
            <v>North Point Wind QF</v>
          </cell>
          <cell r="E96">
            <v>0</v>
          </cell>
          <cell r="G96" t="str">
            <v>QF UPL Post Merger</v>
          </cell>
        </row>
        <row r="97">
          <cell r="B97" t="str">
            <v>OM Power I Geothermal QF</v>
          </cell>
          <cell r="E97">
            <v>0</v>
          </cell>
          <cell r="G97" t="str">
            <v>QF PPL Post Merger</v>
          </cell>
        </row>
        <row r="98">
          <cell r="B98" t="str">
            <v>Oregon Wind Farm QF</v>
          </cell>
          <cell r="E98">
            <v>11099419.529999999</v>
          </cell>
          <cell r="G98" t="str">
            <v>QF PPL Post Merger</v>
          </cell>
        </row>
        <row r="99">
          <cell r="B99" t="str">
            <v>Pioneer Wind Park I QF</v>
          </cell>
          <cell r="E99">
            <v>0</v>
          </cell>
          <cell r="G99" t="str">
            <v>QF UPL Post Merger</v>
          </cell>
        </row>
        <row r="100">
          <cell r="B100" t="str">
            <v>Pioneer Wind Park II QF</v>
          </cell>
          <cell r="E100">
            <v>0</v>
          </cell>
          <cell r="G100" t="str">
            <v>QF UPL Post Merger</v>
          </cell>
        </row>
        <row r="101">
          <cell r="B101" t="str">
            <v>Power County North Wind QF p575612</v>
          </cell>
          <cell r="E101">
            <v>0</v>
          </cell>
          <cell r="G101" t="str">
            <v>QF UPL Post Merger</v>
          </cell>
        </row>
        <row r="102">
          <cell r="B102" t="str">
            <v>Power County South Wind QF p575614</v>
          </cell>
          <cell r="E102">
            <v>0</v>
          </cell>
          <cell r="G102" t="str">
            <v>QF UPL Post Merger</v>
          </cell>
        </row>
        <row r="103">
          <cell r="B103" t="str">
            <v>Roseburg Dillard QF</v>
          </cell>
          <cell r="E103">
            <v>15256.05</v>
          </cell>
          <cell r="G103" t="str">
            <v>QF PPL Post Merger</v>
          </cell>
        </row>
        <row r="104">
          <cell r="B104" t="str">
            <v>SF Phosphates</v>
          </cell>
          <cell r="E104">
            <v>0</v>
          </cell>
          <cell r="G104" t="str">
            <v>QF UPL Post Merger</v>
          </cell>
        </row>
        <row r="105">
          <cell r="B105" t="str">
            <v>Spanish Fork Wind 2 p311681 QF</v>
          </cell>
          <cell r="E105">
            <v>0</v>
          </cell>
          <cell r="G105" t="str">
            <v>QF UPL Post Merger</v>
          </cell>
        </row>
        <row r="106">
          <cell r="B106" t="str">
            <v>Sunnyside p83997/p59965 QF</v>
          </cell>
          <cell r="E106">
            <v>0</v>
          </cell>
          <cell r="G106" t="str">
            <v>QF UPL Pre Merger</v>
          </cell>
        </row>
        <row r="107">
          <cell r="B107" t="str">
            <v>Tesoro QF</v>
          </cell>
          <cell r="E107">
            <v>0</v>
          </cell>
          <cell r="G107" t="str">
            <v>QF UPL Post Merger</v>
          </cell>
        </row>
        <row r="108">
          <cell r="B108" t="str">
            <v>Threemile Canyon Wind QF p500139</v>
          </cell>
          <cell r="E108">
            <v>1636196.5</v>
          </cell>
          <cell r="G108" t="str">
            <v>QF PPL Post Merger</v>
          </cell>
        </row>
        <row r="109">
          <cell r="B109" t="str">
            <v>US Magnesium QF</v>
          </cell>
          <cell r="E109">
            <v>0</v>
          </cell>
          <cell r="G109" t="str">
            <v>QF UPL Post Merger</v>
          </cell>
        </row>
        <row r="112">
          <cell r="B112" t="str">
            <v>Canadian Entitlement p60828</v>
          </cell>
          <cell r="G112" t="str">
            <v>Post Merger</v>
          </cell>
        </row>
        <row r="113">
          <cell r="B113" t="str">
            <v>Chelan - Rocky Reach p60827</v>
          </cell>
          <cell r="E113">
            <v>1412045.1</v>
          </cell>
          <cell r="G113" t="str">
            <v>Mid Columbia</v>
          </cell>
          <cell r="R113" t="str">
            <v>Chelan - Rocky Reach p60827</v>
          </cell>
        </row>
        <row r="114">
          <cell r="B114" t="str">
            <v>Douglas - Wells p60828</v>
          </cell>
          <cell r="E114">
            <v>3186365</v>
          </cell>
          <cell r="G114" t="str">
            <v>Mid Columbia</v>
          </cell>
          <cell r="R114" t="str">
            <v>Douglas - Wells p60828</v>
          </cell>
        </row>
        <row r="115">
          <cell r="B115" t="str">
            <v>Grant Displacement p270294</v>
          </cell>
          <cell r="E115">
            <v>3075882.84</v>
          </cell>
          <cell r="G115" t="str">
            <v>Mid Columbia</v>
          </cell>
          <cell r="R115" t="str">
            <v>Grant Displacement p270294</v>
          </cell>
        </row>
        <row r="116">
          <cell r="B116" t="str">
            <v>Grant Reasonable</v>
          </cell>
          <cell r="E116">
            <v>-8367438.9800000004</v>
          </cell>
          <cell r="G116" t="str">
            <v>Mid Columbia</v>
          </cell>
          <cell r="R116" t="str">
            <v>Grant Power Auction</v>
          </cell>
        </row>
        <row r="117">
          <cell r="B117" t="str">
            <v>Grant Meaningful Priority p390668</v>
          </cell>
          <cell r="E117">
            <v>0</v>
          </cell>
          <cell r="G117" t="str">
            <v>Mid Columbia</v>
          </cell>
          <cell r="R117" t="str">
            <v>Grant Surplus p258951</v>
          </cell>
        </row>
        <row r="118">
          <cell r="B118" t="str">
            <v>Grant Surplus p258951</v>
          </cell>
          <cell r="E118">
            <v>2204569.02</v>
          </cell>
          <cell r="G118" t="str">
            <v>Mid Columbia</v>
          </cell>
        </row>
        <row r="119">
          <cell r="B119" t="str">
            <v>Grant Power Auction</v>
          </cell>
          <cell r="E119">
            <v>0</v>
          </cell>
          <cell r="G119" t="str">
            <v>Mid Columbia</v>
          </cell>
          <cell r="R119" t="str">
            <v>Grant Reasonable</v>
          </cell>
        </row>
        <row r="120">
          <cell r="B120" t="str">
            <v>Grant - Priest Rapids</v>
          </cell>
          <cell r="E120">
            <v>0</v>
          </cell>
          <cell r="G120" t="str">
            <v>Mid Columbia</v>
          </cell>
          <cell r="R120" t="str">
            <v>Grant - Wanapum p60825</v>
          </cell>
        </row>
        <row r="123">
          <cell r="B123" t="str">
            <v>APGI/Colockum s191690</v>
          </cell>
          <cell r="E123">
            <v>0</v>
          </cell>
          <cell r="G123" t="str">
            <v>Post Merger</v>
          </cell>
        </row>
        <row r="124">
          <cell r="B124" t="str">
            <v>APS Exchange p58118/s58119</v>
          </cell>
          <cell r="E124">
            <v>0</v>
          </cell>
          <cell r="G124" t="str">
            <v>Post Merger</v>
          </cell>
        </row>
        <row r="125">
          <cell r="B125" t="str">
            <v>Black Hills CTs p64676</v>
          </cell>
          <cell r="E125">
            <v>0</v>
          </cell>
          <cell r="G125" t="str">
            <v>Pacific Capacity</v>
          </cell>
        </row>
        <row r="126">
          <cell r="B126" t="str">
            <v>BPA Exchange p64706/p64888</v>
          </cell>
          <cell r="E126">
            <v>0</v>
          </cell>
          <cell r="G126" t="str">
            <v>Pacific Pre Merger</v>
          </cell>
        </row>
        <row r="127">
          <cell r="B127" t="str">
            <v xml:space="preserve">BPA FC II Wind p63507 </v>
          </cell>
          <cell r="E127">
            <v>0</v>
          </cell>
          <cell r="G127" t="str">
            <v>Post Merger</v>
          </cell>
        </row>
        <row r="128">
          <cell r="B128" t="str">
            <v xml:space="preserve">BPA FC IV Wind p79207 </v>
          </cell>
          <cell r="E128">
            <v>0</v>
          </cell>
          <cell r="G128" t="str">
            <v>Post Merger</v>
          </cell>
        </row>
        <row r="129">
          <cell r="B129" t="str">
            <v>BPA Peaking p59820</v>
          </cell>
          <cell r="E129">
            <v>9602500</v>
          </cell>
          <cell r="G129" t="str">
            <v>BPA Peak Purchase</v>
          </cell>
        </row>
        <row r="130">
          <cell r="B130" t="str">
            <v>BPA So. Idaho p64885/p83975/p64705</v>
          </cell>
          <cell r="E130">
            <v>0</v>
          </cell>
          <cell r="G130" t="str">
            <v>Post Merger</v>
          </cell>
        </row>
        <row r="131">
          <cell r="B131" t="str">
            <v>Cargill p483225/s6 p485390/s89</v>
          </cell>
          <cell r="G131" t="str">
            <v>Post Merger</v>
          </cell>
        </row>
        <row r="132">
          <cell r="B132" t="str">
            <v>Cowlitz Swift p65787</v>
          </cell>
          <cell r="E132">
            <v>0</v>
          </cell>
          <cell r="G132" t="str">
            <v>Pacific Pre Merger</v>
          </cell>
        </row>
        <row r="133">
          <cell r="B133" t="str">
            <v>EWEB FC I p63508/p63510</v>
          </cell>
          <cell r="E133">
            <v>0</v>
          </cell>
          <cell r="G133" t="str">
            <v>Post Merger</v>
          </cell>
        </row>
        <row r="134">
          <cell r="B134" t="str">
            <v>PSCo Exchange p340325</v>
          </cell>
          <cell r="E134">
            <v>0</v>
          </cell>
          <cell r="G134" t="str">
            <v>Post Merger</v>
          </cell>
        </row>
        <row r="135">
          <cell r="B135" t="str">
            <v>PSCO FC III p63362/s63361</v>
          </cell>
          <cell r="E135">
            <v>0</v>
          </cell>
          <cell r="G135" t="str">
            <v>Post Merger</v>
          </cell>
        </row>
        <row r="136">
          <cell r="B136" t="str">
            <v>Redding Exchange p66276</v>
          </cell>
          <cell r="E136">
            <v>0</v>
          </cell>
          <cell r="G136" t="str">
            <v>Post Merger</v>
          </cell>
        </row>
        <row r="137">
          <cell r="B137" t="str">
            <v>SCL State Line p105228</v>
          </cell>
          <cell r="E137">
            <v>0</v>
          </cell>
          <cell r="G137" t="str">
            <v>Post Merger</v>
          </cell>
        </row>
        <row r="138">
          <cell r="B138" t="str">
            <v>Shell p489963/s489962</v>
          </cell>
          <cell r="G138" t="str">
            <v>Post Merger</v>
          </cell>
        </row>
        <row r="139">
          <cell r="B139" t="str">
            <v>TransAlta p371343/s371344</v>
          </cell>
          <cell r="E139">
            <v>0</v>
          </cell>
          <cell r="G139" t="str">
            <v>Post Merger</v>
          </cell>
        </row>
        <row r="140">
          <cell r="B140" t="str">
            <v>Tri-State Exchange</v>
          </cell>
          <cell r="E140">
            <v>0</v>
          </cell>
          <cell r="G140" t="str">
            <v>Post Merger</v>
          </cell>
        </row>
        <row r="142">
          <cell r="B142" t="str">
            <v>Short Term Firm Purchases</v>
          </cell>
          <cell r="E142">
            <v>112854158.15000001</v>
          </cell>
          <cell r="G142" t="str">
            <v>Post Merger</v>
          </cell>
        </row>
        <row r="143">
          <cell r="B143" t="str">
            <v>System Balancing Purchases</v>
          </cell>
          <cell r="E143">
            <v>0</v>
          </cell>
          <cell r="G143" t="str">
            <v>Post Merger</v>
          </cell>
        </row>
        <row r="144">
          <cell r="E144" t="str">
            <v>-</v>
          </cell>
        </row>
        <row r="145">
          <cell r="E145">
            <v>297420427.97000003</v>
          </cell>
        </row>
        <row r="148">
          <cell r="B148" t="str">
            <v>Firm Wheeling</v>
          </cell>
          <cell r="E148">
            <v>106273125.68000001</v>
          </cell>
        </row>
        <row r="149">
          <cell r="B149" t="str">
            <v>Non-Firm Wheeling</v>
          </cell>
        </row>
        <row r="150">
          <cell r="E150" t="str">
            <v>-</v>
          </cell>
        </row>
        <row r="151">
          <cell r="E151">
            <v>106273125.68000001</v>
          </cell>
        </row>
        <row r="154">
          <cell r="B154" t="str">
            <v>Carbon</v>
          </cell>
          <cell r="E154">
            <v>0</v>
          </cell>
        </row>
        <row r="155">
          <cell r="B155" t="str">
            <v>Cholla</v>
          </cell>
          <cell r="E155">
            <v>0</v>
          </cell>
        </row>
        <row r="156">
          <cell r="B156" t="str">
            <v>Colstrip</v>
          </cell>
          <cell r="E156">
            <v>6396180.1500000004</v>
          </cell>
        </row>
        <row r="157">
          <cell r="B157" t="str">
            <v>Craig</v>
          </cell>
          <cell r="E157">
            <v>0</v>
          </cell>
        </row>
        <row r="158">
          <cell r="B158" t="str">
            <v>Dave Johnston</v>
          </cell>
          <cell r="E158">
            <v>0</v>
          </cell>
        </row>
        <row r="159">
          <cell r="B159" t="str">
            <v>Hayden</v>
          </cell>
          <cell r="E159">
            <v>0</v>
          </cell>
        </row>
        <row r="160">
          <cell r="B160" t="str">
            <v>Hunter</v>
          </cell>
          <cell r="E160">
            <v>0</v>
          </cell>
        </row>
        <row r="161">
          <cell r="B161" t="str">
            <v>Huntington</v>
          </cell>
          <cell r="E161">
            <v>0</v>
          </cell>
        </row>
        <row r="162">
          <cell r="B162" t="str">
            <v>Jim Bridger</v>
          </cell>
          <cell r="E162">
            <v>186905064</v>
          </cell>
        </row>
        <row r="163">
          <cell r="B163" t="str">
            <v>Naughton</v>
          </cell>
          <cell r="E163">
            <v>0</v>
          </cell>
        </row>
        <row r="164">
          <cell r="B164" t="str">
            <v>Wyodak</v>
          </cell>
          <cell r="E164">
            <v>0</v>
          </cell>
        </row>
        <row r="165">
          <cell r="E165" t="str">
            <v>-</v>
          </cell>
        </row>
        <row r="166">
          <cell r="E166">
            <v>193301244.15000001</v>
          </cell>
        </row>
        <row r="169">
          <cell r="B169" t="str">
            <v>Chehalis</v>
          </cell>
          <cell r="E169">
            <v>53974760.560000002</v>
          </cell>
        </row>
        <row r="170">
          <cell r="B170" t="str">
            <v>Currant Creek</v>
          </cell>
          <cell r="E170">
            <v>0</v>
          </cell>
        </row>
        <row r="171">
          <cell r="B171" t="str">
            <v>Gadsby</v>
          </cell>
          <cell r="E171">
            <v>0</v>
          </cell>
        </row>
        <row r="172">
          <cell r="B172" t="str">
            <v>Gadsby CT</v>
          </cell>
          <cell r="E172">
            <v>0</v>
          </cell>
        </row>
        <row r="173">
          <cell r="B173" t="str">
            <v>Hermiston</v>
          </cell>
          <cell r="E173">
            <v>53657819.950000003</v>
          </cell>
        </row>
        <row r="174">
          <cell r="B174" t="str">
            <v>Lake Side</v>
          </cell>
          <cell r="E174">
            <v>0</v>
          </cell>
        </row>
        <row r="175">
          <cell r="E175">
            <v>0</v>
          </cell>
        </row>
        <row r="176">
          <cell r="B176" t="str">
            <v>Little Mountain</v>
          </cell>
          <cell r="E176">
            <v>0</v>
          </cell>
        </row>
        <row r="177">
          <cell r="B177" t="str">
            <v>Naughton - Gas</v>
          </cell>
        </row>
        <row r="178">
          <cell r="E178" t="str">
            <v>-</v>
          </cell>
        </row>
        <row r="179">
          <cell r="E179">
            <v>107632580.51000001</v>
          </cell>
        </row>
        <row r="182">
          <cell r="B182" t="str">
            <v>Blundell</v>
          </cell>
          <cell r="E182">
            <v>0</v>
          </cell>
        </row>
        <row r="183">
          <cell r="B183" t="str">
            <v>Dunlap I Wind p524168</v>
          </cell>
        </row>
        <row r="184">
          <cell r="B184" t="str">
            <v>Foote Creek I</v>
          </cell>
        </row>
        <row r="185">
          <cell r="B185" t="str">
            <v>Glenrock Wind</v>
          </cell>
        </row>
        <row r="186">
          <cell r="B186" t="str">
            <v>Glenrock III Wind</v>
          </cell>
        </row>
        <row r="187">
          <cell r="B187" t="str">
            <v>Goodnoe Wind</v>
          </cell>
        </row>
        <row r="188">
          <cell r="B188" t="str">
            <v>High Plains Wind</v>
          </cell>
        </row>
        <row r="189">
          <cell r="B189" t="str">
            <v>Leaning Juniper 1</v>
          </cell>
        </row>
        <row r="190">
          <cell r="B190" t="str">
            <v>Marengo I</v>
          </cell>
        </row>
        <row r="191">
          <cell r="B191" t="str">
            <v>Marengo II</v>
          </cell>
        </row>
        <row r="192">
          <cell r="B192" t="str">
            <v>McFadden Ridge Wind p492250</v>
          </cell>
        </row>
        <row r="193">
          <cell r="B193" t="str">
            <v>Rolling Hills Wind</v>
          </cell>
        </row>
        <row r="194">
          <cell r="B194" t="str">
            <v>Seven Mile Wind</v>
          </cell>
        </row>
        <row r="195">
          <cell r="B195" t="str">
            <v>Seven Mile II Wind</v>
          </cell>
        </row>
        <row r="196">
          <cell r="B196" t="str">
            <v>Wind Integration Charge</v>
          </cell>
        </row>
        <row r="197">
          <cell r="E197" t="str">
            <v>-</v>
          </cell>
        </row>
        <row r="198">
          <cell r="E198">
            <v>0</v>
          </cell>
        </row>
        <row r="199">
          <cell r="E199" t="str">
            <v>=</v>
          </cell>
        </row>
        <row r="200">
          <cell r="E200">
            <v>614978698.91000009</v>
          </cell>
        </row>
        <row r="201">
          <cell r="E201" t="str">
            <v>=</v>
          </cell>
        </row>
        <row r="202">
          <cell r="E202">
            <v>31.096510177048547</v>
          </cell>
        </row>
        <row r="204">
          <cell r="E204" t="str">
            <v>(MWh)</v>
          </cell>
        </row>
        <row r="213">
          <cell r="E213">
            <v>0</v>
          </cell>
        </row>
        <row r="215">
          <cell r="E215">
            <v>19776453.866</v>
          </cell>
        </row>
        <row r="216">
          <cell r="E216">
            <v>19776453.866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654217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2">
          <cell r="E232">
            <v>263784</v>
          </cell>
        </row>
        <row r="235">
          <cell r="E235">
            <v>0</v>
          </cell>
        </row>
        <row r="237">
          <cell r="E237">
            <v>3045425.8100550277</v>
          </cell>
        </row>
        <row r="238">
          <cell r="E238">
            <v>0</v>
          </cell>
        </row>
        <row r="239">
          <cell r="E239" t="str">
            <v>-</v>
          </cell>
        </row>
        <row r="240">
          <cell r="E240">
            <v>3963426.8100550277</v>
          </cell>
        </row>
        <row r="241">
          <cell r="E241" t="str">
            <v>=</v>
          </cell>
        </row>
        <row r="242">
          <cell r="E242">
            <v>23739880.676055029</v>
          </cell>
        </row>
        <row r="243">
          <cell r="E243" t="str">
            <v>=</v>
          </cell>
        </row>
        <row r="246">
          <cell r="E246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109695.19100000001</v>
          </cell>
        </row>
        <row r="255">
          <cell r="E255">
            <v>0</v>
          </cell>
        </row>
        <row r="256">
          <cell r="E256">
            <v>77676</v>
          </cell>
        </row>
        <row r="257">
          <cell r="E257">
            <v>0</v>
          </cell>
        </row>
        <row r="258">
          <cell r="E258">
            <v>82967</v>
          </cell>
        </row>
        <row r="259">
          <cell r="E259">
            <v>87600</v>
          </cell>
        </row>
        <row r="260">
          <cell r="E260">
            <v>1124906.22</v>
          </cell>
        </row>
        <row r="261">
          <cell r="E261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7">
          <cell r="E267">
            <v>0</v>
          </cell>
        </row>
        <row r="268">
          <cell r="E268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12001</v>
          </cell>
        </row>
        <row r="277">
          <cell r="E277">
            <v>0</v>
          </cell>
        </row>
        <row r="278">
          <cell r="E278">
            <v>16040.494000000002</v>
          </cell>
        </row>
        <row r="279">
          <cell r="E279">
            <v>0</v>
          </cell>
        </row>
        <row r="280">
          <cell r="E280">
            <v>446.28700000000003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6">
          <cell r="E286">
            <v>0</v>
          </cell>
        </row>
        <row r="287">
          <cell r="E287">
            <v>0</v>
          </cell>
        </row>
        <row r="296">
          <cell r="E296">
            <v>60963.003999999994</v>
          </cell>
        </row>
        <row r="297">
          <cell r="E297">
            <v>0</v>
          </cell>
        </row>
        <row r="298">
          <cell r="E298">
            <v>245878.75199999998</v>
          </cell>
        </row>
        <row r="299">
          <cell r="E299">
            <v>0</v>
          </cell>
        </row>
        <row r="300">
          <cell r="E300">
            <v>26063.387000000002</v>
          </cell>
        </row>
        <row r="301">
          <cell r="E301">
            <v>0</v>
          </cell>
        </row>
        <row r="302">
          <cell r="E302">
            <v>121024.26999999999</v>
          </cell>
        </row>
        <row r="305">
          <cell r="E305">
            <v>0</v>
          </cell>
        </row>
        <row r="306">
          <cell r="E306">
            <v>3781.77</v>
          </cell>
        </row>
        <row r="308">
          <cell r="E308">
            <v>35588.030000000006</v>
          </cell>
        </row>
        <row r="309">
          <cell r="E309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7">
          <cell r="E317">
            <v>168739.69899999999</v>
          </cell>
        </row>
        <row r="322">
          <cell r="E322">
            <v>1818.21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24461.366999999998</v>
          </cell>
        </row>
        <row r="328">
          <cell r="E328">
            <v>0</v>
          </cell>
        </row>
        <row r="331">
          <cell r="E331">
            <v>-6051</v>
          </cell>
        </row>
        <row r="332">
          <cell r="E332">
            <v>123320</v>
          </cell>
        </row>
        <row r="333">
          <cell r="E333">
            <v>241979</v>
          </cell>
        </row>
        <row r="334">
          <cell r="E334">
            <v>110650</v>
          </cell>
        </row>
        <row r="335">
          <cell r="E335">
            <v>0</v>
          </cell>
        </row>
        <row r="337">
          <cell r="E337">
            <v>123163</v>
          </cell>
        </row>
        <row r="338">
          <cell r="E338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-2507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-18173</v>
          </cell>
        </row>
        <row r="349">
          <cell r="E349">
            <v>0</v>
          </cell>
        </row>
        <row r="351">
          <cell r="E351">
            <v>-58076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14034.020999999997</v>
          </cell>
        </row>
        <row r="358">
          <cell r="E358">
            <v>0</v>
          </cell>
        </row>
        <row r="359">
          <cell r="E359">
            <v>0</v>
          </cell>
        </row>
        <row r="361">
          <cell r="E361">
            <v>4449181.9900767421</v>
          </cell>
        </row>
        <row r="362">
          <cell r="E362">
            <v>0</v>
          </cell>
        </row>
        <row r="363">
          <cell r="E363" t="str">
            <v>-</v>
          </cell>
        </row>
        <row r="364">
          <cell r="E364">
            <v>7177171.6920767426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548801.5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9049426.4839782864</v>
          </cell>
        </row>
        <row r="376">
          <cell r="E376">
            <v>0</v>
          </cell>
        </row>
        <row r="379">
          <cell r="E379">
            <v>9598227.9839782864</v>
          </cell>
        </row>
        <row r="382">
          <cell r="E382">
            <v>980448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1127977</v>
          </cell>
        </row>
        <row r="387">
          <cell r="E387">
            <v>0</v>
          </cell>
        </row>
        <row r="389">
          <cell r="E389">
            <v>0</v>
          </cell>
        </row>
        <row r="391">
          <cell r="E391" t="str">
            <v>-</v>
          </cell>
        </row>
        <row r="392">
          <cell r="E392">
            <v>2108425</v>
          </cell>
        </row>
        <row r="395">
          <cell r="E395">
            <v>3817638</v>
          </cell>
        </row>
        <row r="396">
          <cell r="E396">
            <v>0</v>
          </cell>
        </row>
        <row r="397">
          <cell r="E397" t="str">
            <v>-</v>
          </cell>
        </row>
        <row r="398">
          <cell r="E398">
            <v>3817638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245007</v>
          </cell>
        </row>
        <row r="408">
          <cell r="E408">
            <v>0</v>
          </cell>
        </row>
        <row r="409">
          <cell r="E409">
            <v>228650</v>
          </cell>
        </row>
        <row r="410">
          <cell r="E410">
            <v>383588</v>
          </cell>
        </row>
        <row r="411">
          <cell r="E411">
            <v>181173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 t="str">
            <v>-</v>
          </cell>
        </row>
        <row r="417">
          <cell r="E417">
            <v>1038418</v>
          </cell>
        </row>
        <row r="418">
          <cell r="E418" t="str">
            <v>=</v>
          </cell>
        </row>
        <row r="419">
          <cell r="E419">
            <v>23739880.676055029</v>
          </cell>
        </row>
        <row r="420">
          <cell r="E420" t="str">
            <v>=</v>
          </cell>
        </row>
        <row r="421">
          <cell r="E421" t="str">
            <v>"THE RACK"</v>
          </cell>
        </row>
        <row r="422">
          <cell r="E422">
            <v>0</v>
          </cell>
        </row>
        <row r="423">
          <cell r="E423" t="str">
            <v>04/03-03/04</v>
          </cell>
        </row>
      </sheetData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2013-2016</v>
          </cell>
          <cell r="D27" t="str">
            <v>Post Merger</v>
          </cell>
        </row>
        <row r="28">
          <cell r="C28" t="str">
            <v>Constellation p257677</v>
          </cell>
          <cell r="D28" t="str">
            <v>Post Merger</v>
          </cell>
        </row>
        <row r="29">
          <cell r="C29" t="str">
            <v>Constellation p257678</v>
          </cell>
          <cell r="D29" t="str">
            <v>Post Merger</v>
          </cell>
        </row>
        <row r="30">
          <cell r="C30" t="str">
            <v>Constellation p268849</v>
          </cell>
          <cell r="D30" t="str">
            <v>Post Merger</v>
          </cell>
        </row>
        <row r="31">
          <cell r="C31" t="str">
            <v>Deseret Purchase p194277</v>
          </cell>
          <cell r="D31" t="str">
            <v>Post Merger</v>
          </cell>
        </row>
        <row r="32">
          <cell r="C32" t="str">
            <v>Douglas PUD Settlement p38185</v>
          </cell>
          <cell r="D32" t="str">
            <v>Mid Columbia</v>
          </cell>
        </row>
        <row r="33">
          <cell r="C33" t="str">
            <v>Gemstate p99489</v>
          </cell>
          <cell r="D33" t="str">
            <v>Gemstate</v>
          </cell>
        </row>
        <row r="34">
          <cell r="C34" t="str">
            <v>Georgia-Pacific Camas</v>
          </cell>
          <cell r="D34" t="str">
            <v>Post Merger</v>
          </cell>
        </row>
        <row r="35">
          <cell r="C35" t="str">
            <v>Grant County 10 aMW p66274</v>
          </cell>
          <cell r="D35" t="str">
            <v>Misc/Pacific</v>
          </cell>
        </row>
        <row r="36">
          <cell r="C36" t="str">
            <v>Hermiston Purchase p99563</v>
          </cell>
          <cell r="D36" t="str">
            <v>Post Merger</v>
          </cell>
        </row>
        <row r="37">
          <cell r="C37" t="str">
            <v>Hurricane Purchase p393045</v>
          </cell>
          <cell r="D37" t="str">
            <v>Post Merger</v>
          </cell>
        </row>
        <row r="38">
          <cell r="C38" t="str">
            <v>Idaho Power p278538</v>
          </cell>
          <cell r="D38" t="str">
            <v>Post Merger</v>
          </cell>
        </row>
        <row r="39">
          <cell r="C39" t="str">
            <v>IPP Purchase</v>
          </cell>
          <cell r="D39" t="str">
            <v>IPP Layoff</v>
          </cell>
        </row>
        <row r="40">
          <cell r="C40" t="str">
            <v>Kennecott Generation Incentive</v>
          </cell>
          <cell r="D40" t="str">
            <v>Post Merger</v>
          </cell>
        </row>
        <row r="41">
          <cell r="C41" t="str">
            <v>LADWP p491303-4</v>
          </cell>
          <cell r="D41" t="str">
            <v>Post Merger</v>
          </cell>
        </row>
        <row r="42">
          <cell r="C42" t="str">
            <v>MagCorp p229846</v>
          </cell>
          <cell r="D42" t="str">
            <v>Post Merger</v>
          </cell>
        </row>
        <row r="43">
          <cell r="C43" t="str">
            <v>MagCorp Reserves p510378</v>
          </cell>
          <cell r="D43" t="str">
            <v>Post Merger</v>
          </cell>
        </row>
        <row r="44">
          <cell r="C44" t="str">
            <v>Morgan Stanley p189046</v>
          </cell>
          <cell r="D44" t="str">
            <v>Post Merger</v>
          </cell>
        </row>
        <row r="45">
          <cell r="C45" t="str">
            <v>Morgan Stanley p244840</v>
          </cell>
          <cell r="D45" t="str">
            <v>Post Merger</v>
          </cell>
        </row>
        <row r="46">
          <cell r="C46" t="str">
            <v>Morgan Stanley p244841</v>
          </cell>
          <cell r="D46" t="str">
            <v>Post Merger</v>
          </cell>
        </row>
        <row r="47">
          <cell r="C47" t="str">
            <v>Morgan Stanley p272153-6-8</v>
          </cell>
          <cell r="D47" t="str">
            <v>Post Merger</v>
          </cell>
        </row>
        <row r="48">
          <cell r="C48" t="str">
            <v>Morgan Stanley p272154-7</v>
          </cell>
          <cell r="D48" t="str">
            <v>Post Merger</v>
          </cell>
        </row>
        <row r="49">
          <cell r="C49" t="str">
            <v>Nebo Heat Rate Option p360539</v>
          </cell>
          <cell r="D49" t="str">
            <v>Post Merger</v>
          </cell>
        </row>
        <row r="50">
          <cell r="C50" t="str">
            <v>Nucor p346856</v>
          </cell>
          <cell r="D50" t="str">
            <v>Post Merger</v>
          </cell>
        </row>
        <row r="51">
          <cell r="C51" t="str">
            <v>P4 Production p137215/p145258</v>
          </cell>
          <cell r="D51" t="str">
            <v>Post Merger</v>
          </cell>
        </row>
        <row r="52">
          <cell r="C52" t="str">
            <v>PGE Cove p83984</v>
          </cell>
          <cell r="D52" t="str">
            <v>Misc/Pacific</v>
          </cell>
        </row>
        <row r="53">
          <cell r="C53" t="str">
            <v>Rock River Wind p100371</v>
          </cell>
          <cell r="D53" t="str">
            <v>Post Merger</v>
          </cell>
        </row>
        <row r="54">
          <cell r="C54" t="str">
            <v>Roseburg Forest Products p312292</v>
          </cell>
          <cell r="D54" t="str">
            <v>Post Merger</v>
          </cell>
        </row>
        <row r="55">
          <cell r="C55" t="str">
            <v>Small Purchases east</v>
          </cell>
          <cell r="D55" t="str">
            <v>Pre Merger</v>
          </cell>
        </row>
        <row r="56">
          <cell r="C56" t="str">
            <v>Small Purchases west</v>
          </cell>
          <cell r="D56" t="str">
            <v>Pre Merger</v>
          </cell>
        </row>
        <row r="57">
          <cell r="C57" t="str">
            <v>Three Buttes Wind p460457</v>
          </cell>
          <cell r="D57" t="str">
            <v>Post Merger</v>
          </cell>
        </row>
        <row r="58">
          <cell r="C58" t="str">
            <v>Top of the World Wind p522807</v>
          </cell>
          <cell r="D58" t="str">
            <v>Post Merger</v>
          </cell>
        </row>
        <row r="59">
          <cell r="C59" t="str">
            <v>Tri-State Purchase p27057</v>
          </cell>
          <cell r="D59" t="str">
            <v>Post Merger</v>
          </cell>
        </row>
        <row r="60">
          <cell r="C60" t="str">
            <v>UBS p268848</v>
          </cell>
          <cell r="D60" t="str">
            <v>Post Merger</v>
          </cell>
        </row>
        <row r="61">
          <cell r="C61" t="str">
            <v>UBS p268850</v>
          </cell>
          <cell r="D61" t="str">
            <v>Post Merger</v>
          </cell>
        </row>
        <row r="62">
          <cell r="C62" t="str">
            <v>West Valley Toll</v>
          </cell>
          <cell r="D62" t="str">
            <v>Post Merger</v>
          </cell>
        </row>
        <row r="63">
          <cell r="C63" t="str">
            <v>Weyerhaeuser Reserve p356685</v>
          </cell>
          <cell r="D63" t="str">
            <v>Post Merger</v>
          </cell>
        </row>
        <row r="64">
          <cell r="C64" t="str">
            <v>Wolverine Creek Wind p244520</v>
          </cell>
          <cell r="D64" t="str">
            <v>Post Merger</v>
          </cell>
        </row>
        <row r="65">
          <cell r="C65" t="str">
            <v>Place Holder</v>
          </cell>
          <cell r="D65" t="str">
            <v>Post Merger</v>
          </cell>
        </row>
        <row r="66">
          <cell r="C66" t="str">
            <v>DSM (Irrigation)</v>
          </cell>
          <cell r="D66" t="str">
            <v>Post Merger</v>
          </cell>
        </row>
        <row r="67">
          <cell r="C67" t="str">
            <v>QFs</v>
          </cell>
        </row>
        <row r="68">
          <cell r="C68" t="str">
            <v>QF California</v>
          </cell>
          <cell r="D68" t="str">
            <v>QF by State PPL</v>
          </cell>
        </row>
        <row r="69">
          <cell r="C69" t="str">
            <v>QF Idaho</v>
          </cell>
          <cell r="D69" t="str">
            <v>QF by State UPL</v>
          </cell>
        </row>
        <row r="70">
          <cell r="C70" t="str">
            <v>QF Oregon</v>
          </cell>
          <cell r="D70" t="str">
            <v>QF by State PPL</v>
          </cell>
        </row>
        <row r="71">
          <cell r="C71" t="str">
            <v>QF Utah</v>
          </cell>
          <cell r="D71" t="str">
            <v>QF by State UPL</v>
          </cell>
        </row>
        <row r="72">
          <cell r="C72" t="str">
            <v>QF Washington</v>
          </cell>
          <cell r="D72" t="str">
            <v>QF by State PPL</v>
          </cell>
        </row>
        <row r="73">
          <cell r="C73" t="str">
            <v>QF Wyoming</v>
          </cell>
          <cell r="D73" t="str">
            <v>QF by State UPL</v>
          </cell>
        </row>
        <row r="74">
          <cell r="C74" t="str">
            <v>Biomass p234159 QF</v>
          </cell>
          <cell r="D74" t="str">
            <v>QF PPL Pre Merger</v>
          </cell>
        </row>
        <row r="75">
          <cell r="C75" t="str">
            <v>Biomass One QF</v>
          </cell>
          <cell r="D75" t="str">
            <v>QF PPL Post Merger</v>
          </cell>
        </row>
        <row r="76">
          <cell r="C76" t="str">
            <v>Blue Mountain Wind QF</v>
          </cell>
          <cell r="D76" t="str">
            <v>QF UPL Post Merger</v>
          </cell>
        </row>
        <row r="77">
          <cell r="C77" t="str">
            <v>Butter Creek Wind QF</v>
          </cell>
          <cell r="D77" t="str">
            <v>QF PPL Post Merger</v>
          </cell>
        </row>
        <row r="78">
          <cell r="C78" t="str">
            <v>Chevron Wind p499335 QF</v>
          </cell>
          <cell r="D78" t="str">
            <v>QF UPL Post Merger</v>
          </cell>
        </row>
        <row r="79">
          <cell r="C79" t="str">
            <v>Co-Gen II p349170 QF</v>
          </cell>
          <cell r="D79" t="str">
            <v>QF PPL Post Merger</v>
          </cell>
        </row>
        <row r="80">
          <cell r="C80" t="str">
            <v>DCFP p316701 QF</v>
          </cell>
          <cell r="D80" t="str">
            <v>QF PPL Post Merger</v>
          </cell>
        </row>
        <row r="81">
          <cell r="C81" t="str">
            <v>D.R. Johnson</v>
          </cell>
          <cell r="D81" t="str">
            <v>QF PPL Post Merger</v>
          </cell>
        </row>
        <row r="82">
          <cell r="C82" t="str">
            <v>ExxonMobil p255042 QF</v>
          </cell>
          <cell r="D82" t="str">
            <v>QF UPL Post Merger</v>
          </cell>
        </row>
        <row r="83">
          <cell r="C83" t="str">
            <v>Five Pine Wind QF</v>
          </cell>
          <cell r="D83" t="str">
            <v>QF UPL Post Merger</v>
          </cell>
        </row>
        <row r="84">
          <cell r="C84" t="str">
            <v>Kennecott Refinery QF</v>
          </cell>
          <cell r="D84" t="str">
            <v>QF UPL Post Merger</v>
          </cell>
        </row>
        <row r="85">
          <cell r="C85" t="str">
            <v>Kennecott Smelter QF</v>
          </cell>
          <cell r="D85" t="str">
            <v>QF UPL Post Merger</v>
          </cell>
        </row>
        <row r="86">
          <cell r="C86" t="str">
            <v>Kennecott QF</v>
          </cell>
          <cell r="D86" t="str">
            <v>QF UPL Post Merger</v>
          </cell>
        </row>
        <row r="87">
          <cell r="C87" t="str">
            <v>North Point Wind QF</v>
          </cell>
          <cell r="D87" t="str">
            <v>QF UPL Post Merger</v>
          </cell>
        </row>
        <row r="88">
          <cell r="C88" t="str">
            <v>OM Power I Geothermal QF</v>
          </cell>
          <cell r="D88" t="str">
            <v>QF PPL Post Merger</v>
          </cell>
        </row>
        <row r="89">
          <cell r="C89" t="str">
            <v>Oregon Wind Farm QF</v>
          </cell>
          <cell r="D89" t="str">
            <v>QF PPL Post Merger</v>
          </cell>
        </row>
        <row r="90">
          <cell r="C90" t="str">
            <v>Pioneer Wind Park I QF</v>
          </cell>
          <cell r="D90" t="str">
            <v>QF UPL Post Merger</v>
          </cell>
        </row>
        <row r="91">
          <cell r="C91" t="str">
            <v>Pioneer Wind Park II QF</v>
          </cell>
          <cell r="D91" t="str">
            <v>QF UPL Post Merger</v>
          </cell>
        </row>
        <row r="92">
          <cell r="C92" t="str">
            <v>Power County North Wind QF p575612</v>
          </cell>
          <cell r="D92" t="str">
            <v>QF UPL Post Merger</v>
          </cell>
        </row>
        <row r="93">
          <cell r="C93" t="str">
            <v>Power County South Wind QF p575614</v>
          </cell>
          <cell r="D93" t="str">
            <v>QF UPL Post Merger</v>
          </cell>
        </row>
        <row r="94">
          <cell r="C94" t="str">
            <v>Roseburg Dillard QF</v>
          </cell>
          <cell r="D94" t="str">
            <v>QF PPL Post Merger</v>
          </cell>
        </row>
        <row r="95">
          <cell r="C95" t="str">
            <v>Schwendiman QF</v>
          </cell>
          <cell r="D95" t="str">
            <v>QF UPL Post Merger</v>
          </cell>
        </row>
        <row r="96">
          <cell r="C96" t="str">
            <v>SF Phosphates</v>
          </cell>
          <cell r="D96" t="str">
            <v>QF UPL Post Merger</v>
          </cell>
        </row>
        <row r="97">
          <cell r="C97" t="str">
            <v>Spanish Fork Wind 2 p311681 QF</v>
          </cell>
          <cell r="D97" t="str">
            <v>QF UPL Post Merger</v>
          </cell>
        </row>
        <row r="98">
          <cell r="C98" t="str">
            <v>Sunnyside p83997/p59965 QF</v>
          </cell>
          <cell r="D98" t="str">
            <v>QF UPL Pre Merger</v>
          </cell>
        </row>
        <row r="99">
          <cell r="C99" t="str">
            <v>Tesoro QF</v>
          </cell>
          <cell r="D99" t="str">
            <v>QF UPL Post Merger</v>
          </cell>
        </row>
        <row r="100">
          <cell r="C100" t="str">
            <v>Threemile Canyon Wind QF p500139</v>
          </cell>
          <cell r="D100" t="str">
            <v>QF PPL Post Merger</v>
          </cell>
        </row>
        <row r="101">
          <cell r="C101" t="str">
            <v>Evergreen BioPower p351030 QF</v>
          </cell>
          <cell r="D101" t="str">
            <v>QF PPL Post Merger</v>
          </cell>
        </row>
        <row r="102">
          <cell r="C102" t="str">
            <v>Mountain Wind 1 p367721 QF</v>
          </cell>
          <cell r="D102" t="str">
            <v>QF UPL Post Merger</v>
          </cell>
        </row>
        <row r="103">
          <cell r="C103" t="str">
            <v>Mountain Wind 2 p398449 QF</v>
          </cell>
          <cell r="D103" t="str">
            <v>QF UPL Post Merger</v>
          </cell>
        </row>
        <row r="105">
          <cell r="C105" t="str">
            <v>US Magnesium QF</v>
          </cell>
          <cell r="D105" t="str">
            <v>QF UPL Post Merger</v>
          </cell>
        </row>
        <row r="106">
          <cell r="C106" t="str">
            <v>MidC Hydro</v>
          </cell>
        </row>
        <row r="107">
          <cell r="C107" t="str">
            <v>Canadian Entitlement p60828</v>
          </cell>
          <cell r="D107" t="str">
            <v>Post Merger</v>
          </cell>
        </row>
        <row r="108">
          <cell r="C108" t="str">
            <v>Chelan - Rocky Reach p60827</v>
          </cell>
          <cell r="D108" t="str">
            <v>Mid Columbia</v>
          </cell>
        </row>
        <row r="109">
          <cell r="C109" t="str">
            <v>Douglas - Wells p60828</v>
          </cell>
          <cell r="D109" t="str">
            <v>Mid Columbia</v>
          </cell>
        </row>
        <row r="110">
          <cell r="C110" t="str">
            <v>Grant Displacement p270294</v>
          </cell>
          <cell r="D110" t="str">
            <v>Mid Columbia</v>
          </cell>
        </row>
        <row r="111">
          <cell r="C111" t="str">
            <v>Grant Reasonable</v>
          </cell>
          <cell r="D111" t="str">
            <v>Mid Columbia</v>
          </cell>
        </row>
        <row r="112">
          <cell r="C112" t="str">
            <v>Grant Meaningful Priority p390668</v>
          </cell>
          <cell r="D112" t="str">
            <v>Mid Columbia</v>
          </cell>
        </row>
        <row r="113">
          <cell r="C113" t="str">
            <v>Grant Surplus p258951</v>
          </cell>
          <cell r="D113" t="str">
            <v>Mid Columbia</v>
          </cell>
        </row>
        <row r="114">
          <cell r="C114" t="str">
            <v>Grant Power Auction</v>
          </cell>
          <cell r="D114" t="str">
            <v>Mid Columbia</v>
          </cell>
        </row>
        <row r="116">
          <cell r="C116" t="str">
            <v>Grant - Wanapum p60825</v>
          </cell>
          <cell r="D116" t="str">
            <v>Mid Columbia</v>
          </cell>
        </row>
        <row r="117">
          <cell r="C117" t="str">
            <v>Storage/Return</v>
          </cell>
        </row>
        <row r="118">
          <cell r="C118" t="str">
            <v>APGI/Colockum s191690</v>
          </cell>
          <cell r="D118" t="str">
            <v>Post Merger</v>
          </cell>
        </row>
        <row r="119">
          <cell r="C119" t="str">
            <v>APS Exchange p58118/s58119</v>
          </cell>
          <cell r="D119" t="str">
            <v>Post Merger</v>
          </cell>
        </row>
        <row r="120">
          <cell r="C120" t="str">
            <v>Black Hills CTs p64676</v>
          </cell>
          <cell r="D120" t="str">
            <v>Pacific Capacity</v>
          </cell>
        </row>
        <row r="121">
          <cell r="C121" t="str">
            <v>BPA Exchange p64706/p64888</v>
          </cell>
          <cell r="D121" t="str">
            <v>Pacific Pre Merger</v>
          </cell>
        </row>
        <row r="122">
          <cell r="C122" t="str">
            <v xml:space="preserve">BPA FC II Wind p63507 </v>
          </cell>
          <cell r="D122" t="str">
            <v>Post Merger</v>
          </cell>
        </row>
        <row r="123">
          <cell r="C123" t="str">
            <v xml:space="preserve">BPA FC IV Wind p79207 </v>
          </cell>
          <cell r="D123" t="str">
            <v>Post Merger</v>
          </cell>
        </row>
        <row r="124">
          <cell r="C124" t="str">
            <v>BPA Peaking p59820</v>
          </cell>
          <cell r="D124" t="str">
            <v>BPA Peak Purchase</v>
          </cell>
        </row>
        <row r="125">
          <cell r="C125" t="str">
            <v>BPA So. Idaho p64885/p83975/p64705</v>
          </cell>
          <cell r="D125" t="str">
            <v>Post Merger</v>
          </cell>
        </row>
        <row r="126">
          <cell r="C126" t="str">
            <v>Cargill p483225/s6 p485390/s89</v>
          </cell>
          <cell r="D126" t="str">
            <v>Post Merger</v>
          </cell>
        </row>
        <row r="127">
          <cell r="C127" t="str">
            <v>Cowlitz Swift p65787</v>
          </cell>
          <cell r="D127" t="str">
            <v>Pacific Pre Merger</v>
          </cell>
        </row>
        <row r="128">
          <cell r="C128" t="str">
            <v>EWEB FC I p63508/p63510</v>
          </cell>
          <cell r="D128" t="str">
            <v>Post Merger</v>
          </cell>
        </row>
        <row r="129">
          <cell r="C129" t="str">
            <v>PSCo Exchange p340325</v>
          </cell>
          <cell r="D129" t="str">
            <v>Post Merger</v>
          </cell>
        </row>
        <row r="130">
          <cell r="C130" t="str">
            <v>PSCO FC III p63362/s63361</v>
          </cell>
          <cell r="D130" t="str">
            <v>Post Merger</v>
          </cell>
        </row>
        <row r="131">
          <cell r="C131" t="str">
            <v>Redding Exchange p66276</v>
          </cell>
          <cell r="D131" t="str">
            <v>Post Merger</v>
          </cell>
        </row>
        <row r="132">
          <cell r="C132" t="str">
            <v>SCL State Line p105228</v>
          </cell>
          <cell r="D132" t="str">
            <v>Post Merger</v>
          </cell>
        </row>
        <row r="133">
          <cell r="C133" t="str">
            <v>Shell p489963/s489962</v>
          </cell>
          <cell r="D133" t="str">
            <v>Post Merger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23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1" defaultRowHeight="10.5"/>
  <cols>
    <col min="1" max="1" width="3" style="3" customWidth="1"/>
    <col min="2" max="2" width="2.6640625" style="3" customWidth="1"/>
    <col min="3" max="3" width="33.1640625" style="3" customWidth="1"/>
    <col min="4" max="4" width="13.83203125" style="3" customWidth="1"/>
    <col min="5" max="5" width="2.33203125" style="3" customWidth="1"/>
    <col min="6" max="6" width="15.83203125" style="3" customWidth="1"/>
    <col min="7" max="8" width="13.33203125" style="3" bestFit="1" customWidth="1"/>
    <col min="9" max="9" width="13.83203125" style="3" bestFit="1" customWidth="1"/>
    <col min="10" max="10" width="11" style="3" customWidth="1"/>
    <col min="11" max="11" width="14.5" style="3" customWidth="1"/>
    <col min="12" max="12" width="11" style="3" customWidth="1"/>
    <col min="13" max="13" width="14.1640625" style="3" bestFit="1" customWidth="1"/>
    <col min="14" max="14" width="20.1640625" style="27" bestFit="1" customWidth="1"/>
    <col min="15" max="15" width="15" style="3" bestFit="1" customWidth="1"/>
    <col min="16" max="16" width="14.6640625" style="3" bestFit="1" customWidth="1"/>
    <col min="17" max="16384" width="11" style="3"/>
  </cols>
  <sheetData>
    <row r="1" spans="1:14">
      <c r="A1" s="4">
        <f>[1]NPC!A1</f>
        <v>0</v>
      </c>
      <c r="D1"/>
      <c r="E1" s="9"/>
      <c r="F1" s="8" t="s">
        <v>42</v>
      </c>
    </row>
    <row r="2" spans="1:14">
      <c r="A2" s="20"/>
      <c r="D2"/>
      <c r="E2" s="9"/>
      <c r="F2" s="9" t="s">
        <v>0</v>
      </c>
      <c r="K2" s="50"/>
    </row>
    <row r="3" spans="1:14">
      <c r="A3" s="5" t="s">
        <v>52</v>
      </c>
      <c r="D3" s="10"/>
      <c r="E3" s="10"/>
      <c r="F3" s="8" t="s">
        <v>1</v>
      </c>
    </row>
    <row r="4" spans="1:14">
      <c r="A4" s="55">
        <f>[1]NPC!$J$3</f>
        <v>41974</v>
      </c>
      <c r="B4" s="55"/>
      <c r="C4" s="55"/>
      <c r="D4" s="10"/>
      <c r="E4" s="10"/>
      <c r="F4" s="9"/>
    </row>
    <row r="5" spans="1:14">
      <c r="B5" s="5"/>
      <c r="D5" s="11" t="s">
        <v>2</v>
      </c>
      <c r="E5" s="11"/>
      <c r="F5" s="12" t="s">
        <v>3</v>
      </c>
      <c r="G5" s="12" t="s">
        <v>3</v>
      </c>
      <c r="H5" s="12"/>
      <c r="I5" s="12"/>
    </row>
    <row r="6" spans="1:14" s="11" customFormat="1">
      <c r="A6" s="3"/>
      <c r="B6" s="3"/>
      <c r="C6" s="3"/>
      <c r="D6" s="41" t="str">
        <f>[1]NPC!E3</f>
        <v>07/11 - 06/12</v>
      </c>
      <c r="E6" s="15"/>
      <c r="F6" s="13" t="s">
        <v>4</v>
      </c>
      <c r="G6" s="13" t="s">
        <v>5</v>
      </c>
      <c r="H6" s="13" t="s">
        <v>6</v>
      </c>
      <c r="I6" s="13" t="s">
        <v>7</v>
      </c>
      <c r="N6" s="28"/>
    </row>
    <row r="7" spans="1:14">
      <c r="A7" s="3" t="s">
        <v>8</v>
      </c>
      <c r="F7" s="6"/>
      <c r="G7" s="6"/>
      <c r="H7" s="6"/>
      <c r="I7" s="6"/>
    </row>
    <row r="8" spans="1:14">
      <c r="B8" t="s">
        <v>9</v>
      </c>
      <c r="D8" s="26">
        <f t="array" ref="D8">SUM(IF([1]NPC!$G$7:$G$26=B8,[1]NPC!$E$7:$E$26,0))</f>
        <v>8952900.0700000003</v>
      </c>
      <c r="E8" s="16"/>
      <c r="F8" s="26">
        <f>D8</f>
        <v>8952900.0700000003</v>
      </c>
      <c r="G8"/>
      <c r="H8"/>
      <c r="I8"/>
    </row>
    <row r="9" spans="1:14">
      <c r="B9"/>
      <c r="D9" s="16"/>
      <c r="E9" s="16"/>
      <c r="F9" s="1"/>
      <c r="G9" s="6"/>
      <c r="H9" s="6"/>
      <c r="I9" s="6"/>
    </row>
    <row r="10" spans="1:14">
      <c r="B10" t="s">
        <v>10</v>
      </c>
      <c r="D10" s="26">
        <f t="array" ref="D10">SUM(IF([1]NPC!$G$7:$G$26=B10,[1]NPC!$E$7:$E$26,0))</f>
        <v>80695779.329999998</v>
      </c>
      <c r="E10" s="16"/>
      <c r="F10" s="1"/>
      <c r="G10" s="6"/>
      <c r="H10" s="6"/>
      <c r="I10" s="26">
        <f>D10</f>
        <v>80695779.329999998</v>
      </c>
    </row>
    <row r="11" spans="1:14">
      <c r="B11"/>
      <c r="D11" s="16"/>
      <c r="E11" s="16"/>
      <c r="F11" s="1"/>
      <c r="G11" s="6"/>
      <c r="H11" s="6"/>
      <c r="I11" s="6"/>
    </row>
    <row r="12" spans="1:14">
      <c r="B12" t="s">
        <v>11</v>
      </c>
      <c r="D12" s="26">
        <f t="array" ref="D12">SUM(IF([1]NPC!$G$7:$G$26=B12,[1]NPC!$E$7:$E$26,0))</f>
        <v>0</v>
      </c>
      <c r="E12" s="16"/>
      <c r="F12" s="26">
        <f>D12</f>
        <v>0</v>
      </c>
      <c r="G12" s="6"/>
      <c r="H12" s="6"/>
      <c r="I12" s="6"/>
    </row>
    <row r="13" spans="1:14">
      <c r="C13"/>
      <c r="D13" s="16"/>
      <c r="E13" s="16"/>
      <c r="F13" s="6"/>
      <c r="G13" s="6"/>
      <c r="H13" s="6"/>
      <c r="I13" s="6"/>
    </row>
    <row r="14" spans="1:14">
      <c r="B14" s="3" t="s">
        <v>12</v>
      </c>
      <c r="C14"/>
      <c r="D14" s="26">
        <v>0</v>
      </c>
      <c r="E14" s="16"/>
      <c r="F14" s="6"/>
      <c r="G14" s="6"/>
      <c r="H14" s="26">
        <f>D14</f>
        <v>0</v>
      </c>
      <c r="I14" s="6"/>
    </row>
    <row r="15" spans="1:14" ht="11.25" thickBot="1">
      <c r="D15" s="11" t="s">
        <v>14</v>
      </c>
      <c r="E15" s="14" t="s">
        <v>13</v>
      </c>
      <c r="F15" s="11" t="s">
        <v>14</v>
      </c>
      <c r="G15" s="11" t="s">
        <v>14</v>
      </c>
      <c r="H15" s="11" t="s">
        <v>14</v>
      </c>
      <c r="I15" s="11" t="s">
        <v>14</v>
      </c>
    </row>
    <row r="16" spans="1:14" ht="11.25" thickBot="1">
      <c r="A16" s="3" t="s">
        <v>15</v>
      </c>
      <c r="D16" s="26">
        <f>SUM(D8:D14)</f>
        <v>89648679.400000006</v>
      </c>
      <c r="E16" s="16"/>
      <c r="F16" s="26">
        <f>SUM(F8:F14)</f>
        <v>8952900.0700000003</v>
      </c>
      <c r="G16" s="26">
        <f>SUM(G8:G14)</f>
        <v>0</v>
      </c>
      <c r="H16" s="26">
        <f>SUM(H8:H14)</f>
        <v>0</v>
      </c>
      <c r="I16" s="26">
        <f>SUM(I8:I14)</f>
        <v>80695779.329999998</v>
      </c>
      <c r="K16" s="36">
        <f>D16-[1]NPC!E28</f>
        <v>0</v>
      </c>
      <c r="L16" s="24" t="s">
        <v>40</v>
      </c>
      <c r="M16" s="37">
        <f>D16-SUM(F16:I16)</f>
        <v>0</v>
      </c>
    </row>
    <row r="17" spans="1:19">
      <c r="D17" s="16"/>
      <c r="E17" s="16"/>
      <c r="F17" s="16"/>
      <c r="G17" s="16"/>
      <c r="H17" s="16"/>
      <c r="I17" s="16"/>
      <c r="P17" s="8" t="s">
        <v>67</v>
      </c>
    </row>
    <row r="18" spans="1:19">
      <c r="D18"/>
      <c r="E18" s="6"/>
      <c r="F18" s="6"/>
      <c r="G18" s="6"/>
      <c r="H18" s="6"/>
      <c r="I18" s="6"/>
      <c r="N18" s="39"/>
      <c r="O18" s="35"/>
      <c r="P18" s="48">
        <f>+A4</f>
        <v>41974</v>
      </c>
    </row>
    <row r="19" spans="1:19" ht="11.25">
      <c r="A19" s="3" t="s">
        <v>16</v>
      </c>
      <c r="D19" s="16"/>
      <c r="E19" s="16"/>
      <c r="F19" s="45"/>
      <c r="G19" s="6"/>
      <c r="H19" s="6"/>
      <c r="I19" s="6"/>
      <c r="N19" s="29" t="s">
        <v>56</v>
      </c>
      <c r="O19" s="42" t="e">
        <f>IF(N24&lt;&gt;INDEX([1]NPC!$E$4:$E$199,MATCH("QF Washington",[1]NPC!$B$4:$B$199,0),1),P19/(P19+P20),0)</f>
        <v>#DIV/0!</v>
      </c>
      <c r="P19" s="16">
        <f>SUM([1]NPC!$E$541,[1]NPC!$E$543,[1]NPC!$E$545)</f>
        <v>0</v>
      </c>
      <c r="Q19" s="44"/>
      <c r="R19" s="30"/>
      <c r="S19" s="16"/>
    </row>
    <row r="20" spans="1:19" ht="11.25">
      <c r="B20"/>
      <c r="C20" s="3" t="s">
        <v>17</v>
      </c>
      <c r="D20" s="26">
        <f t="array" ref="D20">SUM(IF([1]NPC!$G$30:$G$142=C20,[1]NPC!$E$30:$E$142,0))</f>
        <v>9602500</v>
      </c>
      <c r="E20" s="16"/>
      <c r="F20" s="26">
        <f>D20</f>
        <v>9602500</v>
      </c>
      <c r="G20" s="6"/>
      <c r="H20" s="6"/>
      <c r="I20" s="6"/>
      <c r="N20" s="29" t="s">
        <v>58</v>
      </c>
      <c r="O20" s="42" t="e">
        <f>1-O19</f>
        <v>#DIV/0!</v>
      </c>
      <c r="P20" s="16">
        <f>SUM([1]NPC!$E$549,[1]NPC!$E$551,[1]NPC!$E$553,[1]NPC!$E$557,[1]NPC!$E$559,[1]NPC!$E$561)</f>
        <v>0</v>
      </c>
      <c r="Q20" s="44"/>
      <c r="R20" s="30"/>
      <c r="S20" s="16"/>
    </row>
    <row r="21" spans="1:19" ht="11.25">
      <c r="B21"/>
      <c r="C21" s="3" t="s">
        <v>18</v>
      </c>
      <c r="D21" s="26">
        <f t="array" ref="D21">SUM(IF([1]NPC!$G$29:$G$140=C21,[1]NPC!$E$29:$E$140,0))</f>
        <v>0</v>
      </c>
      <c r="E21" s="16"/>
      <c r="F21" s="26">
        <f>D21-G21</f>
        <v>0</v>
      </c>
      <c r="G21" s="26">
        <f t="array" ref="G21">SUM(IF([1]NPC!$G$29:$G$140=C21,[1]NPC!$E$29:$E$140,0))-IF(D21=0,0,50000*IF($A$4&lt;DATE(2012,7,1),12,MAX(0,12-MONTH($A$4)+6-12*(YEAR($A$4)-2012))))</f>
        <v>0</v>
      </c>
      <c r="H21" s="6"/>
      <c r="I21" s="6"/>
      <c r="N21" s="29" t="s">
        <v>57</v>
      </c>
      <c r="O21" s="42">
        <f>IFERROR(P21/(P21+P22),0)</f>
        <v>0</v>
      </c>
      <c r="P21" s="16">
        <f>SUM([1]NPC!$E$542,[1]NPC!$E$544,[1]NPC!$E$546)</f>
        <v>0</v>
      </c>
      <c r="Q21" s="44"/>
      <c r="R21" s="30"/>
      <c r="S21" s="16"/>
    </row>
    <row r="22" spans="1:19" ht="11.25">
      <c r="B22"/>
      <c r="C22" s="3" t="s">
        <v>19</v>
      </c>
      <c r="D22" s="26">
        <f t="array" ref="D22">SUM(IF([1]NPC!$G$30:$G$142=C22,[1]NPC!$E$30:$E$142,0))</f>
        <v>3482835.18</v>
      </c>
      <c r="E22" s="16"/>
      <c r="F22" s="26">
        <f>D22*0.3</f>
        <v>1044850.554</v>
      </c>
      <c r="G22" s="26">
        <f>D22*0.7</f>
        <v>2437984.6260000002</v>
      </c>
      <c r="H22" s="6"/>
      <c r="I22" s="6"/>
      <c r="N22" s="29" t="s">
        <v>59</v>
      </c>
      <c r="O22" s="42">
        <f>1-O21</f>
        <v>1</v>
      </c>
      <c r="P22" s="16">
        <f>SUM([1]NPC!$E$550,[1]NPC!$E$552,[1]NPC!$E$554,[1]NPC!$E$558,[1]NPC!$E$560,[1]NPC!$E$562)</f>
        <v>0</v>
      </c>
      <c r="Q22" s="44"/>
      <c r="R22" s="30"/>
      <c r="S22" s="16"/>
    </row>
    <row r="23" spans="1:19">
      <c r="B23"/>
      <c r="C23" s="3" t="s">
        <v>20</v>
      </c>
      <c r="D23" s="26">
        <f t="array" ref="D23">SUM(IF([1]NPC!$G$30:$G$142=C23,[1]NPC!$E$30:$E$142,0))</f>
        <v>6730940.7000000002</v>
      </c>
      <c r="E23" s="16"/>
      <c r="F23" s="26">
        <f>D23*0.2073628</f>
        <v>1395746.7101859602</v>
      </c>
      <c r="G23" s="26">
        <f>D23-F23</f>
        <v>5335193.9898140403</v>
      </c>
      <c r="H23" s="6"/>
      <c r="I23" s="6"/>
    </row>
    <row r="24" spans="1:19">
      <c r="B24"/>
      <c r="C24" s="3" t="s">
        <v>21</v>
      </c>
      <c r="D24" s="26">
        <f>N27</f>
        <v>61888677.790000007</v>
      </c>
      <c r="E24" s="16"/>
      <c r="F24" s="51"/>
      <c r="G24" s="51"/>
      <c r="H24" s="52"/>
      <c r="I24" s="54">
        <f>+D24</f>
        <v>61888677.790000007</v>
      </c>
      <c r="K24" s="25">
        <v>0.17029549999999999</v>
      </c>
      <c r="L24" s="25">
        <f>1-K24</f>
        <v>0.82970450000000007</v>
      </c>
      <c r="N24" s="26">
        <f t="array" ref="N24">SUM(IF([1]NPC!$G$30:$G$143=O24,[1]NPC!$E$30:$E$143,0))</f>
        <v>29241657.82</v>
      </c>
      <c r="O24" t="s">
        <v>53</v>
      </c>
    </row>
    <row r="25" spans="1:19">
      <c r="B25"/>
      <c r="C25" s="49" t="s">
        <v>90</v>
      </c>
      <c r="D25" s="26">
        <f>VLOOKUP(C25,[1]NPC!$B$30:$E$142,4,FALSE)</f>
        <v>12121.15</v>
      </c>
      <c r="E25" s="16"/>
      <c r="F25" s="6"/>
      <c r="G25" s="26"/>
      <c r="H25" s="6"/>
      <c r="I25" s="26">
        <f>+D25</f>
        <v>12121.15</v>
      </c>
      <c r="N25" s="26">
        <f t="array" ref="N25">SUM(IF([1]NPC!$G$30:$G$143=O25,[1]NPC!$E$30:$E$143,0))</f>
        <v>17768877.77</v>
      </c>
      <c r="O25" t="s">
        <v>50</v>
      </c>
    </row>
    <row r="26" spans="1:19">
      <c r="B26" s="40" t="s">
        <v>65</v>
      </c>
      <c r="C26" s="14"/>
      <c r="D26" s="11" t="s">
        <v>14</v>
      </c>
      <c r="E26" s="14" t="s">
        <v>13</v>
      </c>
      <c r="F26" s="11" t="s">
        <v>14</v>
      </c>
      <c r="G26" s="11" t="s">
        <v>14</v>
      </c>
      <c r="H26" s="11" t="s">
        <v>14</v>
      </c>
      <c r="I26" s="11" t="s">
        <v>14</v>
      </c>
      <c r="K26" s="25"/>
      <c r="L26" s="25"/>
      <c r="N26" s="43">
        <f t="array" ref="N26">SUM(IF([1]NPC!$G$30:$G$143=O26,[1]NPC!$E$30:$E$143,0))</f>
        <v>14878142.199999999</v>
      </c>
      <c r="O26" t="s">
        <v>49</v>
      </c>
    </row>
    <row r="27" spans="1:19">
      <c r="B27" s="3" t="s">
        <v>22</v>
      </c>
      <c r="C27"/>
      <c r="D27" s="26">
        <f>SUM(D20:D26)</f>
        <v>81717074.820000008</v>
      </c>
      <c r="E27" s="16"/>
      <c r="F27" s="26">
        <f t="shared" ref="F27:I27" si="0">SUM(F20:F26)</f>
        <v>12043097.264185959</v>
      </c>
      <c r="G27" s="26">
        <f t="shared" si="0"/>
        <v>7773178.6158140404</v>
      </c>
      <c r="H27" s="26">
        <f t="shared" si="0"/>
        <v>0</v>
      </c>
      <c r="I27" s="26">
        <f t="shared" si="0"/>
        <v>61900798.940000005</v>
      </c>
      <c r="K27" s="25"/>
      <c r="L27" s="25"/>
      <c r="N27" s="26">
        <f>SUM(N24:N26)</f>
        <v>61888677.790000007</v>
      </c>
      <c r="O27"/>
    </row>
    <row r="28" spans="1:19" ht="12.75">
      <c r="D28" s="1"/>
      <c r="E28" s="16"/>
      <c r="F28" s="1"/>
      <c r="G28" s="1"/>
      <c r="H28" s="6"/>
      <c r="I28" s="6"/>
      <c r="K28" s="25"/>
      <c r="L28" s="25"/>
      <c r="N28" s="34"/>
      <c r="O28" s="32"/>
    </row>
    <row r="29" spans="1:19">
      <c r="B29"/>
      <c r="C29" s="3" t="s">
        <v>41</v>
      </c>
      <c r="D29" s="26">
        <f t="array" ref="D29">SUM(IF([1]NPC!$G$30:$G$142=C29,[1]NPC!$E$30:$E$142,0))</f>
        <v>0</v>
      </c>
      <c r="E29" s="16"/>
      <c r="F29" s="26"/>
      <c r="G29" s="26">
        <f>D29</f>
        <v>0</v>
      </c>
      <c r="H29" s="6"/>
      <c r="I29" s="6"/>
      <c r="K29" s="25"/>
      <c r="L29" s="25"/>
      <c r="N29" s="26"/>
      <c r="O29" t="s">
        <v>54</v>
      </c>
    </row>
    <row r="30" spans="1:19">
      <c r="B30"/>
      <c r="C30" s="3" t="s">
        <v>23</v>
      </c>
      <c r="D30" s="26">
        <f t="array" ref="D30">SUM(IF([1]NPC!$G$30:$G$142=C30,[1]NPC!$E$30:$E$142,0))</f>
        <v>0</v>
      </c>
      <c r="E30" s="16"/>
      <c r="F30" s="26"/>
      <c r="G30" s="26">
        <f>D30</f>
        <v>0</v>
      </c>
      <c r="H30" s="6"/>
      <c r="I30" s="6"/>
      <c r="K30" s="25"/>
      <c r="L30" s="25"/>
      <c r="M30" s="21"/>
      <c r="N30" s="26">
        <f t="array" ref="N30">SUM(IF([1]NPC!$G$30:$G$143=O30,[1]NPC!$E$30:$E$143,0))</f>
        <v>0</v>
      </c>
      <c r="O30" t="s">
        <v>51</v>
      </c>
    </row>
    <row r="31" spans="1:19">
      <c r="B31"/>
      <c r="C31" s="3" t="s">
        <v>24</v>
      </c>
      <c r="D31" s="26">
        <f>N32</f>
        <v>0</v>
      </c>
      <c r="E31" s="16"/>
      <c r="F31" s="31">
        <f>(N30+N29*O21)*K31</f>
        <v>0</v>
      </c>
      <c r="G31" s="31">
        <f>(N30+N29*O21)*L31</f>
        <v>0</v>
      </c>
      <c r="H31" s="6"/>
      <c r="I31" s="31">
        <f>(N31+N29*O22)</f>
        <v>0</v>
      </c>
      <c r="K31" s="25">
        <v>0.7</v>
      </c>
      <c r="L31" s="25">
        <f>1-K31</f>
        <v>0.30000000000000004</v>
      </c>
      <c r="N31" s="43">
        <f t="array" ref="N31">SUM(IF([1]NPC!$G$30:$G$143=O31,[1]NPC!$E$30:$E$143,0))</f>
        <v>0</v>
      </c>
      <c r="O31" t="s">
        <v>48</v>
      </c>
    </row>
    <row r="32" spans="1:19">
      <c r="B32"/>
      <c r="C32" s="3" t="s">
        <v>25</v>
      </c>
      <c r="D32" s="26">
        <f t="array" ref="D32">SUM(IF([1]NPC!$G$30:$G$142=C32,[1]NPC!$E$30:$E$142,0))</f>
        <v>0</v>
      </c>
      <c r="E32" s="16"/>
      <c r="F32" s="26">
        <f>D32</f>
        <v>0</v>
      </c>
      <c r="G32" s="26">
        <v>0</v>
      </c>
      <c r="H32" s="6"/>
      <c r="I32" s="6"/>
      <c r="N32" s="33">
        <f>SUM(N29:N31)</f>
        <v>0</v>
      </c>
      <c r="O32"/>
    </row>
    <row r="33" spans="2:18">
      <c r="B33"/>
      <c r="C33" s="3" t="s">
        <v>89</v>
      </c>
      <c r="D33" s="26">
        <f>VLOOKUP(C33,[1]NPC!$B$30:$E$142,4,FALSE)</f>
        <v>0</v>
      </c>
      <c r="E33" s="16"/>
      <c r="F33" s="6"/>
      <c r="G33" s="26">
        <f>D33</f>
        <v>0</v>
      </c>
      <c r="H33" s="6"/>
      <c r="I33" s="6"/>
      <c r="N33" s="33"/>
      <c r="O33"/>
    </row>
    <row r="34" spans="2:18">
      <c r="B34"/>
      <c r="C34" s="3" t="s">
        <v>26</v>
      </c>
      <c r="D34" s="26">
        <f t="array" ref="D34">SUM(IF([1]NPC!$G$30:$G$142=C34,[1]NPC!$E$30:$E$142,0))</f>
        <v>0</v>
      </c>
      <c r="E34" s="16"/>
      <c r="F34" s="26">
        <v>0</v>
      </c>
      <c r="G34" s="26">
        <v>0</v>
      </c>
      <c r="H34" s="6"/>
      <c r="I34" s="6"/>
    </row>
    <row r="35" spans="2:18">
      <c r="B35" s="40" t="s">
        <v>65</v>
      </c>
      <c r="C35" s="14"/>
      <c r="D35" s="11" t="s">
        <v>14</v>
      </c>
      <c r="E35" s="14" t="s">
        <v>13</v>
      </c>
      <c r="F35" s="11" t="s">
        <v>14</v>
      </c>
      <c r="G35" s="11" t="s">
        <v>14</v>
      </c>
      <c r="H35" s="11" t="s">
        <v>14</v>
      </c>
      <c r="I35" s="11" t="s">
        <v>14</v>
      </c>
      <c r="R35" s="30"/>
    </row>
    <row r="36" spans="2:18">
      <c r="B36" s="3" t="s">
        <v>27</v>
      </c>
      <c r="C36"/>
      <c r="D36" s="26">
        <f>SUM(D29:D35)</f>
        <v>0</v>
      </c>
      <c r="E36" s="16"/>
      <c r="F36" s="26">
        <f t="shared" ref="F36:I36" si="1">SUM(F29:F35)</f>
        <v>0</v>
      </c>
      <c r="G36" s="26">
        <f t="shared" si="1"/>
        <v>0</v>
      </c>
      <c r="H36" s="26">
        <f t="shared" si="1"/>
        <v>0</v>
      </c>
      <c r="I36" s="26">
        <f t="shared" si="1"/>
        <v>0</v>
      </c>
    </row>
    <row r="37" spans="2:18">
      <c r="D37" s="16"/>
      <c r="E37" s="16"/>
      <c r="F37" s="6"/>
      <c r="G37" s="6"/>
      <c r="H37" s="6"/>
      <c r="I37" s="6"/>
      <c r="N37" s="3"/>
    </row>
    <row r="38" spans="2:18">
      <c r="B38"/>
      <c r="C38" s="3" t="s">
        <v>68</v>
      </c>
      <c r="D38" s="26">
        <f>VLOOKUP(C38,[1]NPC!$B$30:$E$142,4,FALSE)</f>
        <v>0</v>
      </c>
      <c r="E38" s="16"/>
      <c r="F38" s="6"/>
      <c r="G38" s="6"/>
      <c r="H38" s="6"/>
      <c r="I38" s="26">
        <f t="shared" ref="I38:I63" si="2">IF(K38="Post Merger",D38,0)</f>
        <v>0</v>
      </c>
      <c r="K38" s="3" t="str">
        <f t="shared" ref="K38:K61" si="3">VLOOKUP(C38,Purchases,2,0)</f>
        <v>Post Merger</v>
      </c>
    </row>
    <row r="39" spans="2:18">
      <c r="B39"/>
      <c r="C39" s="3" t="s">
        <v>55</v>
      </c>
      <c r="D39" s="26">
        <f>VLOOKUP(C39,[1]NPC!$B$30:$E$142,4,FALSE)</f>
        <v>0</v>
      </c>
      <c r="E39" s="16"/>
      <c r="F39" s="6"/>
      <c r="G39" s="6"/>
      <c r="H39" s="6"/>
      <c r="I39" s="26">
        <f t="shared" si="2"/>
        <v>0</v>
      </c>
      <c r="K39" s="3" t="str">
        <f t="shared" si="3"/>
        <v>Post Merger</v>
      </c>
    </row>
    <row r="40" spans="2:18">
      <c r="B40"/>
      <c r="C40" s="3" t="s">
        <v>69</v>
      </c>
      <c r="D40" s="26">
        <f>VLOOKUP(C40,[1]NPC!$B$30:$E$142,4,FALSE)</f>
        <v>0</v>
      </c>
      <c r="E40" s="16"/>
      <c r="F40" s="6"/>
      <c r="G40" s="6"/>
      <c r="H40" s="6"/>
      <c r="I40" s="26">
        <f>IF(K40="Post Merger",D40,0)</f>
        <v>0</v>
      </c>
      <c r="K40" s="3" t="str">
        <f>VLOOKUP(C40,Purchases,2,0)</f>
        <v>Post Merger</v>
      </c>
    </row>
    <row r="41" spans="2:18">
      <c r="B41"/>
      <c r="C41" s="3" t="s">
        <v>88</v>
      </c>
      <c r="D41" s="26">
        <f>VLOOKUP(C41,[1]NPC!$B$30:$E$142,4,FALSE)</f>
        <v>244080</v>
      </c>
      <c r="E41" s="16"/>
      <c r="F41" s="6"/>
      <c r="G41" s="6"/>
      <c r="H41" s="6"/>
      <c r="I41" s="26">
        <f>IF(K41="Post Merger",D41,0)</f>
        <v>244080</v>
      </c>
      <c r="K41" s="3" t="str">
        <f>VLOOKUP(C41,Purchases,2,0)</f>
        <v>Post Merger</v>
      </c>
    </row>
    <row r="42" spans="2:18">
      <c r="B42"/>
      <c r="C42" s="3" t="s">
        <v>70</v>
      </c>
      <c r="D42" s="26">
        <f>VLOOKUP(C42,[1]NPC!$B$30:$E$142,4,FALSE)</f>
        <v>0</v>
      </c>
      <c r="E42" s="16"/>
      <c r="F42" s="6"/>
      <c r="G42" s="6"/>
      <c r="H42" s="6"/>
      <c r="I42" s="26">
        <f>IF(K42="Post Merger",D42,0)</f>
        <v>0</v>
      </c>
      <c r="K42" s="3" t="str">
        <f>VLOOKUP(C42,Purchases,2,0)</f>
        <v>Post Merger</v>
      </c>
    </row>
    <row r="43" spans="2:18">
      <c r="B43"/>
      <c r="C43" s="3" t="s">
        <v>71</v>
      </c>
      <c r="D43" s="26">
        <f>VLOOKUP(C43,[1]NPC!$B$30:$E$142,4,FALSE)</f>
        <v>4738669.24</v>
      </c>
      <c r="E43" s="16"/>
      <c r="F43" s="6"/>
      <c r="G43" s="6"/>
      <c r="H43" s="6"/>
      <c r="I43" s="26">
        <f t="shared" si="2"/>
        <v>4738669.24</v>
      </c>
      <c r="K43" s="3" t="str">
        <f t="shared" si="3"/>
        <v>Post Merger</v>
      </c>
    </row>
    <row r="44" spans="2:18">
      <c r="B44"/>
      <c r="C44" s="3" t="s">
        <v>72</v>
      </c>
      <c r="D44" s="26">
        <f>VLOOKUP(C44,[1]NPC!$B$30:$E$142,4,FALSE)</f>
        <v>0</v>
      </c>
      <c r="E44" s="16"/>
      <c r="F44" s="6"/>
      <c r="G44" s="6"/>
      <c r="H44" s="6"/>
      <c r="I44" s="26">
        <f t="shared" si="2"/>
        <v>0</v>
      </c>
      <c r="K44" s="3" t="str">
        <f t="shared" si="3"/>
        <v>Post Merger</v>
      </c>
    </row>
    <row r="45" spans="2:18">
      <c r="B45"/>
      <c r="C45" s="3" t="s">
        <v>46</v>
      </c>
      <c r="D45" s="26">
        <f>VLOOKUP(C45,[1]NPC!$B$30:$E$142,4,FALSE)</f>
        <v>6699772.9199999999</v>
      </c>
      <c r="E45" s="16"/>
      <c r="F45" s="6"/>
      <c r="G45" s="6"/>
      <c r="H45" s="6"/>
      <c r="I45" s="26">
        <f t="shared" si="2"/>
        <v>6699772.9199999999</v>
      </c>
      <c r="K45" s="3" t="str">
        <f t="shared" si="3"/>
        <v>Post Merger</v>
      </c>
    </row>
    <row r="46" spans="2:18">
      <c r="B46"/>
      <c r="C46" s="3" t="s">
        <v>73</v>
      </c>
      <c r="D46" s="26">
        <f>VLOOKUP(C46,[1]NPC!$B$30:$E$142,4,FALSE)</f>
        <v>90307566.239999995</v>
      </c>
      <c r="E46" s="16"/>
      <c r="F46" s="6"/>
      <c r="G46" s="6"/>
      <c r="H46" s="6"/>
      <c r="I46" s="26">
        <f t="shared" si="2"/>
        <v>90307566.239999995</v>
      </c>
      <c r="K46" s="3" t="str">
        <f t="shared" si="3"/>
        <v>Post Merger</v>
      </c>
    </row>
    <row r="47" spans="2:18">
      <c r="B47"/>
      <c r="C47" s="3" t="s">
        <v>74</v>
      </c>
      <c r="D47" s="26">
        <f>VLOOKUP(C47,[1]NPC!$B$30:$E$142,4,FALSE)</f>
        <v>0</v>
      </c>
      <c r="E47" s="16"/>
      <c r="F47" s="6"/>
      <c r="G47" s="6"/>
      <c r="H47" s="6"/>
      <c r="I47" s="26">
        <f t="shared" si="2"/>
        <v>0</v>
      </c>
      <c r="K47" s="3" t="str">
        <f t="shared" si="3"/>
        <v>Post Merger</v>
      </c>
    </row>
    <row r="48" spans="2:18">
      <c r="B48"/>
      <c r="C48" s="3" t="s">
        <v>75</v>
      </c>
      <c r="D48" s="26">
        <f>VLOOKUP(C48,[1]NPC!$B$30:$E$142,4,FALSE)</f>
        <v>0</v>
      </c>
      <c r="E48" s="16"/>
      <c r="F48" s="6"/>
      <c r="G48" s="6"/>
      <c r="H48" s="6"/>
      <c r="I48" s="26">
        <f t="shared" si="2"/>
        <v>0</v>
      </c>
      <c r="K48" s="3" t="str">
        <f t="shared" si="3"/>
        <v>Post Merger</v>
      </c>
    </row>
    <row r="49" spans="2:11">
      <c r="B49"/>
      <c r="C49" s="3" t="s">
        <v>45</v>
      </c>
      <c r="D49" s="26">
        <f>VLOOKUP(C49,[1]NPC!$B$30:$E$142,4,FALSE)</f>
        <v>0</v>
      </c>
      <c r="E49" s="16"/>
      <c r="F49" s="6"/>
      <c r="G49" s="6"/>
      <c r="H49" s="6"/>
      <c r="I49" s="26">
        <f t="shared" si="2"/>
        <v>0</v>
      </c>
      <c r="K49" s="3" t="str">
        <f t="shared" si="3"/>
        <v>Post Merger</v>
      </c>
    </row>
    <row r="50" spans="2:11">
      <c r="B50"/>
      <c r="C50" s="22" t="s">
        <v>76</v>
      </c>
      <c r="D50" s="26">
        <f>VLOOKUP(C50,[1]NPC!$B$30:$E$142,4,FALSE)</f>
        <v>0</v>
      </c>
      <c r="E50" s="16"/>
      <c r="F50" s="6"/>
      <c r="G50" s="6"/>
      <c r="H50" s="6"/>
      <c r="I50" s="26">
        <f>IF(K50="Post Merger",D50,0)</f>
        <v>0</v>
      </c>
      <c r="K50" s="3" t="str">
        <f>VLOOKUP(C50,Purchases,2,0)</f>
        <v>Post Merger</v>
      </c>
    </row>
    <row r="51" spans="2:11">
      <c r="B51"/>
      <c r="C51" s="3" t="s">
        <v>77</v>
      </c>
      <c r="D51" s="26">
        <f>VLOOKUP(C51,[1]NPC!$B$30:$E$142,4,FALSE)</f>
        <v>0</v>
      </c>
      <c r="E51" s="16"/>
      <c r="F51" s="6"/>
      <c r="G51" s="6"/>
      <c r="H51" s="6"/>
      <c r="I51" s="26">
        <f t="shared" si="2"/>
        <v>0</v>
      </c>
      <c r="K51" s="3" t="str">
        <f t="shared" si="3"/>
        <v>Post Merger</v>
      </c>
    </row>
    <row r="52" spans="2:11">
      <c r="B52"/>
      <c r="C52" s="3" t="s">
        <v>78</v>
      </c>
      <c r="D52" s="26">
        <f>VLOOKUP(C52,[1]NPC!$B$30:$E$142,4,FALSE)</f>
        <v>0</v>
      </c>
      <c r="E52" s="16"/>
      <c r="F52" s="6"/>
      <c r="G52" s="6"/>
      <c r="H52" s="6"/>
      <c r="I52" s="26">
        <f t="shared" si="2"/>
        <v>0</v>
      </c>
      <c r="K52" s="3" t="str">
        <f t="shared" si="3"/>
        <v>Post Merger</v>
      </c>
    </row>
    <row r="53" spans="2:11">
      <c r="B53"/>
      <c r="C53" s="3" t="s">
        <v>79</v>
      </c>
      <c r="D53" s="26">
        <f>VLOOKUP(C53,[1]NPC!$B$30:$E$142,4,FALSE)</f>
        <v>0</v>
      </c>
      <c r="E53" s="16"/>
      <c r="F53" s="6"/>
      <c r="G53" s="6"/>
      <c r="H53" s="6"/>
      <c r="I53" s="26">
        <f t="shared" si="2"/>
        <v>0</v>
      </c>
      <c r="K53" s="3" t="str">
        <f t="shared" si="3"/>
        <v>Post Merger</v>
      </c>
    </row>
    <row r="54" spans="2:11">
      <c r="B54"/>
      <c r="C54" s="3" t="s">
        <v>80</v>
      </c>
      <c r="D54" s="26">
        <f>VLOOKUP(C54,[1]NPC!$B$30:$E$142,4,FALSE)</f>
        <v>0</v>
      </c>
      <c r="E54" s="16"/>
      <c r="F54" s="6"/>
      <c r="G54" s="6"/>
      <c r="H54" s="6"/>
      <c r="I54" s="26">
        <f t="shared" si="2"/>
        <v>0</v>
      </c>
      <c r="K54" s="3" t="str">
        <f t="shared" si="3"/>
        <v>Post Merger</v>
      </c>
    </row>
    <row r="55" spans="2:11">
      <c r="B55"/>
      <c r="C55" s="3" t="s">
        <v>81</v>
      </c>
      <c r="D55" s="26">
        <f>VLOOKUP(C55,[1]NPC!$B$30:$E$142,4,FALSE)</f>
        <v>0</v>
      </c>
      <c r="E55" s="16"/>
      <c r="F55" s="6"/>
      <c r="G55" s="6"/>
      <c r="H55" s="6"/>
      <c r="I55" s="26">
        <f t="shared" si="2"/>
        <v>0</v>
      </c>
      <c r="K55" s="3" t="str">
        <f t="shared" si="3"/>
        <v>Post Merger</v>
      </c>
    </row>
    <row r="56" spans="2:11">
      <c r="B56"/>
      <c r="C56" s="3" t="s">
        <v>82</v>
      </c>
      <c r="D56" s="26">
        <f>VLOOKUP(C56,[1]NPC!$B$30:$E$142,4,FALSE)</f>
        <v>859106.6</v>
      </c>
      <c r="E56" s="16"/>
      <c r="F56" s="6"/>
      <c r="G56" s="6"/>
      <c r="H56" s="6"/>
      <c r="I56" s="26">
        <f t="shared" si="2"/>
        <v>859106.6</v>
      </c>
      <c r="K56" s="3" t="str">
        <f t="shared" si="3"/>
        <v>Post Merger</v>
      </c>
    </row>
    <row r="57" spans="2:11">
      <c r="B57"/>
      <c r="C57" s="27" t="s">
        <v>83</v>
      </c>
      <c r="D57" s="26">
        <f>VLOOKUP(C57,[1]NPC!$B$30:$E$142,4,FALSE)</f>
        <v>0</v>
      </c>
      <c r="E57" s="16"/>
      <c r="F57" s="6"/>
      <c r="G57" s="6"/>
      <c r="H57" s="6"/>
      <c r="I57" s="26">
        <f>IF(K57="Post Merger",D57,0)</f>
        <v>0</v>
      </c>
      <c r="K57" s="3" t="str">
        <f t="shared" si="3"/>
        <v>Post Merger</v>
      </c>
    </row>
    <row r="58" spans="2:11">
      <c r="B58"/>
      <c r="C58" s="27" t="s">
        <v>92</v>
      </c>
      <c r="D58" s="26">
        <f>VLOOKUP(C58,[1]NPC!$B$30:$E$142,4,FALSE)</f>
        <v>0</v>
      </c>
      <c r="E58" s="16"/>
      <c r="F58" s="6"/>
      <c r="G58" s="6"/>
      <c r="H58" s="6"/>
      <c r="I58" s="26">
        <f>IF(K58="Post Merger",D58,0)</f>
        <v>0</v>
      </c>
      <c r="K58" s="3" t="str">
        <f>VLOOKUP(C58,Purchases,2,0)</f>
        <v>Post Merger</v>
      </c>
    </row>
    <row r="59" spans="2:11">
      <c r="B59"/>
      <c r="C59" s="3" t="s">
        <v>84</v>
      </c>
      <c r="D59" s="26">
        <f>VLOOKUP(C59,[1]NPC!$B$30:$E$142,4,FALSE)</f>
        <v>0</v>
      </c>
      <c r="E59" s="16"/>
      <c r="F59" s="6"/>
      <c r="G59" s="6"/>
      <c r="H59" s="6"/>
      <c r="I59" s="26">
        <f t="shared" si="2"/>
        <v>0</v>
      </c>
      <c r="K59" s="3" t="str">
        <f t="shared" si="3"/>
        <v>Post Merger</v>
      </c>
    </row>
    <row r="60" spans="2:11">
      <c r="B60"/>
      <c r="C60" s="3" t="s">
        <v>95</v>
      </c>
      <c r="D60" s="26">
        <f>VLOOKUP(C60,[1]NPC!$B$30:$E$142,4,FALSE)</f>
        <v>0</v>
      </c>
      <c r="E60" s="16"/>
      <c r="F60" s="6"/>
      <c r="G60" s="6"/>
      <c r="H60" s="6"/>
      <c r="I60" s="26">
        <f t="shared" si="2"/>
        <v>0</v>
      </c>
      <c r="K60" s="3" t="str">
        <f t="shared" si="3"/>
        <v>Post Merger</v>
      </c>
    </row>
    <row r="61" spans="2:11">
      <c r="B61"/>
      <c r="C61" s="3" t="s">
        <v>85</v>
      </c>
      <c r="D61" s="26">
        <f>VLOOKUP(C61,[1]NPC!$B$30:$E$142,4,FALSE)</f>
        <v>0</v>
      </c>
      <c r="E61" s="16"/>
      <c r="F61" s="6"/>
      <c r="G61" s="6"/>
      <c r="H61" s="6"/>
      <c r="I61" s="26">
        <f t="shared" si="2"/>
        <v>0</v>
      </c>
      <c r="K61" s="3" t="str">
        <f t="shared" si="3"/>
        <v>Post Merger</v>
      </c>
    </row>
    <row r="62" spans="2:11">
      <c r="B62"/>
      <c r="C62" s="3" t="s">
        <v>86</v>
      </c>
      <c r="D62" s="26">
        <f>VLOOKUP(C62,[1]NPC!$B$30:$E$142,4,FALSE)</f>
        <v>0</v>
      </c>
      <c r="E62" s="16"/>
      <c r="F62" s="6"/>
      <c r="G62" s="6"/>
      <c r="H62" s="6"/>
      <c r="I62" s="26">
        <f t="shared" si="2"/>
        <v>0</v>
      </c>
      <c r="K62" s="3" t="str">
        <f>VLOOKUP(C62,Storage,2,0)</f>
        <v>Post Merger</v>
      </c>
    </row>
    <row r="63" spans="2:11">
      <c r="B63"/>
      <c r="C63" s="3" t="s">
        <v>94</v>
      </c>
      <c r="D63" s="26">
        <f>VLOOKUP(C63,[1]NPC!$B$30:$E$142,4,FALSE)</f>
        <v>0</v>
      </c>
      <c r="E63" s="16"/>
      <c r="F63" s="6"/>
      <c r="G63" s="6"/>
      <c r="H63" s="6"/>
      <c r="I63" s="26">
        <f t="shared" si="2"/>
        <v>0</v>
      </c>
      <c r="K63" s="3" t="str">
        <f>VLOOKUP(C63,Storage,2,0)</f>
        <v>Post Merger</v>
      </c>
    </row>
    <row r="64" spans="2:11">
      <c r="B64"/>
      <c r="C64" s="27" t="s">
        <v>87</v>
      </c>
      <c r="D64" s="26">
        <f>VLOOKUP(C64,[1]NPC!$B$30:$E$142,4,FALSE)</f>
        <v>0</v>
      </c>
      <c r="E64" s="16"/>
      <c r="F64" s="6"/>
      <c r="G64" s="6"/>
      <c r="H64" s="6"/>
      <c r="I64" s="26">
        <f>IF(K64="Post Merger",D64,0)</f>
        <v>0</v>
      </c>
      <c r="K64" s="3" t="str">
        <f>VLOOKUP(C64,Storage,2,0)</f>
        <v>Post Merger</v>
      </c>
    </row>
    <row r="65" spans="1:16">
      <c r="B65"/>
      <c r="C65" s="3" t="s">
        <v>93</v>
      </c>
      <c r="D65" s="26">
        <f>VLOOKUP(C65,[1]NPC!$B$30:$E$142,4,FALSE)</f>
        <v>0</v>
      </c>
      <c r="E65" s="16"/>
      <c r="F65" s="6"/>
      <c r="G65" s="6"/>
      <c r="H65" s="6"/>
      <c r="I65" s="26">
        <f>IF(K65="Post Merger",D65,0)</f>
        <v>0</v>
      </c>
      <c r="K65" s="3" t="str">
        <f>VLOOKUP(C65,Storage,2,0)</f>
        <v>Post Merger</v>
      </c>
    </row>
    <row r="66" spans="1:16">
      <c r="B66"/>
      <c r="C66" s="27"/>
      <c r="D66" s="26"/>
      <c r="E66" s="16"/>
      <c r="F66" s="6"/>
      <c r="G66" s="6"/>
      <c r="H66" s="6"/>
      <c r="I66" s="26"/>
    </row>
    <row r="67" spans="1:16">
      <c r="B67" s="22" t="s">
        <v>64</v>
      </c>
      <c r="C67" s="27"/>
      <c r="D67" s="26"/>
      <c r="E67" s="16"/>
      <c r="F67" s="6"/>
      <c r="G67" s="6"/>
      <c r="H67" s="6"/>
      <c r="I67" s="26"/>
    </row>
    <row r="68" spans="1:16" ht="11.25" thickBot="1">
      <c r="B68"/>
      <c r="C68" s="3" t="s">
        <v>96</v>
      </c>
      <c r="D68" s="26">
        <f>VLOOKUP(C68,[1]NPC!$B$30:$E$142,4,FALSE)</f>
        <v>0</v>
      </c>
      <c r="E68" s="16"/>
      <c r="F68" s="6"/>
      <c r="G68" s="6"/>
      <c r="H68" s="6"/>
      <c r="I68" s="26">
        <f>IF(K68="Post Merger",D68,0)</f>
        <v>0</v>
      </c>
      <c r="K68" s="3" t="str">
        <f t="shared" ref="K68" si="4">VLOOKUP(C68,Purchases,2,0)</f>
        <v>Post Merger</v>
      </c>
    </row>
    <row r="69" spans="1:16" ht="11.25" thickBot="1">
      <c r="B69"/>
      <c r="D69" s="16"/>
      <c r="E69" s="16"/>
      <c r="F69" s="6"/>
      <c r="G69" s="6"/>
      <c r="H69" s="6"/>
      <c r="I69" s="6"/>
      <c r="K69" s="36">
        <f>SUM(D67:D68)-SUM([1]NPC!E71:E74)</f>
        <v>0</v>
      </c>
      <c r="L69" s="24" t="s">
        <v>40</v>
      </c>
      <c r="M69" s="37">
        <f t="array" ref="M69">SUM(D67:D68)-SUM(IF([1]NPC!$R:$R="Seasonal Purchased Power",[1]NPC!$E:$E,0))</f>
        <v>0</v>
      </c>
    </row>
    <row r="70" spans="1:16">
      <c r="B70"/>
      <c r="C70" t="str">
        <f>[1]NPC!$B142</f>
        <v>Short Term Firm Purchases</v>
      </c>
      <c r="D70" s="26">
        <f>SUM([1]NPC!$E142:$E143)</f>
        <v>112854158.15000001</v>
      </c>
      <c r="E70" s="16"/>
      <c r="F70" s="6"/>
      <c r="G70" s="6"/>
      <c r="H70" s="6"/>
      <c r="I70" s="26">
        <f>D70</f>
        <v>112854158.15000001</v>
      </c>
    </row>
    <row r="71" spans="1:16" ht="11.25" thickBot="1">
      <c r="B71" s="40" t="s">
        <v>65</v>
      </c>
      <c r="C71" s="14"/>
      <c r="D71" s="11" t="s">
        <v>14</v>
      </c>
      <c r="E71" s="14" t="s">
        <v>13</v>
      </c>
      <c r="F71" s="11" t="s">
        <v>14</v>
      </c>
      <c r="G71" s="11" t="s">
        <v>14</v>
      </c>
      <c r="H71" s="11" t="s">
        <v>14</v>
      </c>
      <c r="I71" s="11" t="s">
        <v>14</v>
      </c>
    </row>
    <row r="72" spans="1:16" ht="11.25" thickBot="1">
      <c r="B72" s="3" t="s">
        <v>28</v>
      </c>
      <c r="C72"/>
      <c r="D72" s="26">
        <f>SUM(D38:D70)</f>
        <v>215703353.14999998</v>
      </c>
      <c r="E72" s="16"/>
      <c r="F72" s="26">
        <f>SUM(F38:F70)</f>
        <v>0</v>
      </c>
      <c r="G72" s="26">
        <f>SUM(G38:G70)</f>
        <v>0</v>
      </c>
      <c r="H72" s="26">
        <f>SUM(H38:H70)</f>
        <v>0</v>
      </c>
      <c r="I72" s="26">
        <f>SUM(I38:I70)</f>
        <v>215703353.14999998</v>
      </c>
      <c r="K72" s="36"/>
      <c r="L72" s="24" t="s">
        <v>40</v>
      </c>
      <c r="M72" s="37">
        <f>D72-SUM(F72:I72)</f>
        <v>0</v>
      </c>
    </row>
    <row r="73" spans="1:16">
      <c r="B73" s="3" t="str">
        <f>[1]NPC!$B196</f>
        <v>Wind Integration Charge</v>
      </c>
      <c r="D73" s="26">
        <f>[1]NPC!$E196</f>
        <v>0</v>
      </c>
      <c r="E73" s="16"/>
      <c r="F73" s="14"/>
      <c r="H73" s="26"/>
      <c r="I73" s="26">
        <f>D73</f>
        <v>0</v>
      </c>
      <c r="J73"/>
      <c r="K73"/>
      <c r="L73"/>
      <c r="M73"/>
    </row>
    <row r="74" spans="1:16">
      <c r="B74" s="3" t="s">
        <v>29</v>
      </c>
      <c r="C74"/>
      <c r="D74" s="26">
        <v>0</v>
      </c>
      <c r="E74" s="16"/>
      <c r="F74" s="26"/>
      <c r="G74" s="26"/>
      <c r="H74" s="26">
        <f>D74</f>
        <v>0</v>
      </c>
      <c r="I74" s="6"/>
    </row>
    <row r="75" spans="1:16" ht="11.25" thickBot="1">
      <c r="D75" s="11" t="s">
        <v>14</v>
      </c>
      <c r="E75" s="14" t="s">
        <v>13</v>
      </c>
      <c r="F75" s="11" t="s">
        <v>14</v>
      </c>
      <c r="G75" s="11" t="s">
        <v>14</v>
      </c>
      <c r="H75" s="11" t="s">
        <v>14</v>
      </c>
      <c r="I75" s="11" t="s">
        <v>14</v>
      </c>
    </row>
    <row r="76" spans="1:16" ht="11.25" thickBot="1">
      <c r="A76" s="3" t="s">
        <v>30</v>
      </c>
      <c r="D76" s="26">
        <f>D72+D73+D74+D36+D27</f>
        <v>297420427.96999997</v>
      </c>
      <c r="E76" s="16"/>
      <c r="F76" s="26">
        <f>F72+F73+F74+F36+F27</f>
        <v>12043097.264185959</v>
      </c>
      <c r="G76" s="26">
        <f>G72+G73+G74+G36+G27</f>
        <v>7773178.6158140404</v>
      </c>
      <c r="H76" s="26">
        <f>H72+H73+H74+H36+H27</f>
        <v>0</v>
      </c>
      <c r="I76" s="26">
        <f>I72+I73+I74+I36+I27</f>
        <v>277604152.08999997</v>
      </c>
      <c r="K76" s="36">
        <f>D76-D73-[1]NPC!E145</f>
        <v>0</v>
      </c>
      <c r="L76" s="24" t="s">
        <v>40</v>
      </c>
      <c r="M76" s="37"/>
    </row>
    <row r="77" spans="1:16">
      <c r="D77" s="16"/>
      <c r="E77" s="16"/>
      <c r="F77" s="16"/>
      <c r="G77" s="16"/>
      <c r="H77" s="16"/>
      <c r="I77" s="16"/>
    </row>
    <row r="78" spans="1:16">
      <c r="D78" s="16"/>
      <c r="E78" s="16"/>
      <c r="F78" s="16"/>
      <c r="G78" s="16"/>
      <c r="H78" s="16"/>
      <c r="I78" s="16"/>
    </row>
    <row r="79" spans="1:16" ht="11.25">
      <c r="A79" s="3" t="s">
        <v>31</v>
      </c>
      <c r="F79" s="6"/>
      <c r="G79" s="6"/>
      <c r="H79" s="6"/>
      <c r="I79" s="6"/>
      <c r="N79" s="29" t="s">
        <v>60</v>
      </c>
      <c r="O79" s="53"/>
      <c r="P79" s="26"/>
    </row>
    <row r="80" spans="1:16" ht="11.25">
      <c r="F80" s="6"/>
      <c r="G80" s="6"/>
      <c r="H80" s="6"/>
      <c r="I80" s="6"/>
      <c r="N80" s="29" t="s">
        <v>61</v>
      </c>
      <c r="O80" s="53"/>
      <c r="P80" s="26"/>
    </row>
    <row r="81" spans="1:16" customFormat="1" ht="11.25">
      <c r="A81" s="3"/>
      <c r="B81" s="3" t="s">
        <v>32</v>
      </c>
      <c r="D81" s="26">
        <f>SUM(F81:I81)</f>
        <v>0</v>
      </c>
      <c r="E81" s="16"/>
      <c r="F81" s="26">
        <f>O79</f>
        <v>0</v>
      </c>
      <c r="G81" s="6"/>
      <c r="H81" s="6"/>
      <c r="I81" s="6"/>
      <c r="J81" s="3"/>
      <c r="K81" s="18"/>
      <c r="L81" s="3"/>
      <c r="M81" s="3"/>
      <c r="N81" s="29" t="s">
        <v>62</v>
      </c>
      <c r="O81" s="53"/>
      <c r="P81" s="38"/>
    </row>
    <row r="82" spans="1:16" ht="11.25">
      <c r="A82"/>
      <c r="B82"/>
      <c r="C82"/>
      <c r="D82"/>
      <c r="E82"/>
      <c r="F82"/>
      <c r="G82"/>
      <c r="H82"/>
      <c r="I82"/>
      <c r="J82"/>
      <c r="K82" s="23"/>
      <c r="L82"/>
      <c r="M82"/>
      <c r="N82" s="29" t="s">
        <v>91</v>
      </c>
      <c r="O82" s="53"/>
      <c r="P82" s="26"/>
    </row>
    <row r="83" spans="1:16" ht="11.25">
      <c r="B83" s="3" t="s">
        <v>33</v>
      </c>
      <c r="C83"/>
      <c r="D83" s="26">
        <f>SUM(F83:I83)</f>
        <v>0</v>
      </c>
      <c r="E83" s="16"/>
      <c r="F83" s="26">
        <f>O80</f>
        <v>0</v>
      </c>
      <c r="G83" s="6"/>
      <c r="H83" s="6"/>
      <c r="I83" s="6"/>
      <c r="N83" s="29" t="s">
        <v>63</v>
      </c>
      <c r="O83" s="53"/>
      <c r="P83" s="26"/>
    </row>
    <row r="84" spans="1:16" ht="11.25" thickBot="1">
      <c r="C84"/>
      <c r="D84" s="16"/>
      <c r="E84" s="16"/>
      <c r="F84" s="6"/>
      <c r="G84" s="6"/>
      <c r="H84" s="6"/>
      <c r="I84" s="6"/>
      <c r="O84" s="32">
        <v>106273130</v>
      </c>
      <c r="P84" s="26"/>
    </row>
    <row r="85" spans="1:16" ht="11.25" thickBot="1">
      <c r="B85" s="3" t="s">
        <v>10</v>
      </c>
      <c r="C85"/>
      <c r="D85" s="26">
        <f>D90-(D81+D83+D87)</f>
        <v>106273125.68000001</v>
      </c>
      <c r="E85" s="16"/>
      <c r="F85" s="17"/>
      <c r="G85" s="6"/>
      <c r="H85" s="6"/>
      <c r="I85" s="26">
        <f>D85</f>
        <v>106273125.68000001</v>
      </c>
      <c r="N85" s="47" t="s">
        <v>40</v>
      </c>
      <c r="O85" s="37">
        <f>ROUND(O84-[1]NPC!E148,-1)</f>
        <v>0</v>
      </c>
      <c r="P85" s="46"/>
    </row>
    <row r="86" spans="1:16">
      <c r="F86" s="6"/>
      <c r="G86" s="6"/>
      <c r="H86" s="6"/>
      <c r="I86" s="6"/>
    </row>
    <row r="87" spans="1:16" customFormat="1">
      <c r="A87" s="3"/>
      <c r="B87" t="s">
        <v>34</v>
      </c>
      <c r="C87" s="3"/>
      <c r="D87" s="26">
        <f>[1]NPC!$E149+$O$82</f>
        <v>0</v>
      </c>
      <c r="E87" s="16"/>
      <c r="F87" s="6"/>
      <c r="H87" s="26">
        <f>D87</f>
        <v>0</v>
      </c>
      <c r="I87" s="6"/>
      <c r="J87" s="3"/>
      <c r="K87" s="3"/>
      <c r="L87" s="3"/>
      <c r="M87" s="3"/>
      <c r="N87" s="27"/>
    </row>
    <row r="88" spans="1:16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6" ht="11.25" thickBot="1">
      <c r="D89" s="11" t="s">
        <v>14</v>
      </c>
      <c r="E89" s="14" t="s">
        <v>13</v>
      </c>
      <c r="F89" s="11" t="s">
        <v>14</v>
      </c>
      <c r="G89" s="11" t="s">
        <v>14</v>
      </c>
      <c r="H89" s="11" t="s">
        <v>14</v>
      </c>
      <c r="I89" s="11" t="s">
        <v>14</v>
      </c>
    </row>
    <row r="90" spans="1:16" customFormat="1" ht="11.25" thickBot="1">
      <c r="A90" s="3" t="s">
        <v>35</v>
      </c>
      <c r="B90" s="3"/>
      <c r="C90" s="3"/>
      <c r="D90" s="26">
        <f>[1]NPC!$E151</f>
        <v>106273125.68000001</v>
      </c>
      <c r="E90" s="16"/>
      <c r="F90" s="26">
        <f>SUM(F81:F87)</f>
        <v>0</v>
      </c>
      <c r="G90" s="26">
        <f>SUM(G81:G87)</f>
        <v>0</v>
      </c>
      <c r="H90" s="26">
        <f>SUM(H81:H87)</f>
        <v>0</v>
      </c>
      <c r="I90" s="26">
        <f>SUM(I81:I87)</f>
        <v>106273125.68000001</v>
      </c>
      <c r="J90" s="3"/>
      <c r="K90" s="36">
        <f>D90-(D81+D83+D85+D87)</f>
        <v>0</v>
      </c>
      <c r="L90" s="24" t="s">
        <v>40</v>
      </c>
      <c r="M90" s="37">
        <f>D90-SUM(F90:I90)</f>
        <v>0</v>
      </c>
      <c r="N90" s="27"/>
    </row>
    <row r="91" spans="1:16" customFormat="1">
      <c r="A91" s="3"/>
      <c r="B91" s="3"/>
      <c r="C91" s="3"/>
      <c r="D91" s="3"/>
      <c r="E91" s="3"/>
      <c r="G91" s="3"/>
      <c r="H91" s="3"/>
      <c r="I91" s="3"/>
      <c r="N91" s="27"/>
    </row>
    <row r="92" spans="1:16" customFormat="1">
      <c r="A92" s="3" t="s">
        <v>36</v>
      </c>
      <c r="B92" s="3"/>
      <c r="C92" s="3"/>
      <c r="D92" s="3"/>
      <c r="E92" s="3"/>
      <c r="G92" s="3"/>
      <c r="H92" s="3"/>
      <c r="I92" s="3"/>
      <c r="N92" s="27"/>
    </row>
    <row r="93" spans="1:16" customFormat="1">
      <c r="A93" s="3"/>
      <c r="B93" s="16" t="str">
        <f>[1]NPC!$B154</f>
        <v>Carbon</v>
      </c>
      <c r="C93" s="3"/>
      <c r="D93" s="26">
        <f>VLOOKUP(B93,[1]NPC!$B$154:$E$177,4,FALSE)</f>
        <v>0</v>
      </c>
      <c r="E93" s="16"/>
      <c r="G93" s="3"/>
      <c r="H93" s="26">
        <f t="shared" ref="H93:H113" si="5">D93</f>
        <v>0</v>
      </c>
      <c r="I93" s="2"/>
      <c r="N93" s="27"/>
    </row>
    <row r="94" spans="1:16" customFormat="1">
      <c r="A94" s="3"/>
      <c r="B94" s="16" t="str">
        <f>[1]NPC!$B155</f>
        <v>Cholla</v>
      </c>
      <c r="C94" s="3"/>
      <c r="D94" s="26">
        <f>VLOOKUP(B94,[1]NPC!$B$154:$E$177,4,FALSE)</f>
        <v>0</v>
      </c>
      <c r="E94" s="16"/>
      <c r="G94" s="3"/>
      <c r="H94" s="26">
        <f t="shared" si="5"/>
        <v>0</v>
      </c>
      <c r="I94" s="2"/>
      <c r="N94" s="27"/>
    </row>
    <row r="95" spans="1:16" customFormat="1">
      <c r="A95" s="3"/>
      <c r="B95" s="16" t="str">
        <f>[1]NPC!$B156</f>
        <v>Colstrip</v>
      </c>
      <c r="C95" s="3"/>
      <c r="D95" s="26">
        <f>VLOOKUP(B95,[1]NPC!$B$154:$E$177,4,FALSE)</f>
        <v>6396180.1500000004</v>
      </c>
      <c r="E95" s="16"/>
      <c r="G95" s="3"/>
      <c r="H95" s="26">
        <f t="shared" si="5"/>
        <v>6396180.1500000004</v>
      </c>
      <c r="I95" s="2"/>
      <c r="N95" s="27"/>
    </row>
    <row r="96" spans="1:16" customFormat="1">
      <c r="A96" s="3"/>
      <c r="B96" s="16" t="str">
        <f>[1]NPC!$B157</f>
        <v>Craig</v>
      </c>
      <c r="C96" s="3"/>
      <c r="D96" s="26">
        <f>VLOOKUP(B96,[1]NPC!$B$154:$E$177,4,FALSE)</f>
        <v>0</v>
      </c>
      <c r="E96" s="16"/>
      <c r="G96" s="3"/>
      <c r="H96" s="26">
        <f t="shared" si="5"/>
        <v>0</v>
      </c>
      <c r="I96" s="2"/>
      <c r="N96" s="27"/>
    </row>
    <row r="97" spans="1:14" customFormat="1">
      <c r="A97" s="3"/>
      <c r="B97" s="16" t="s">
        <v>66</v>
      </c>
      <c r="C97" s="3"/>
      <c r="D97" s="26">
        <f>VLOOKUP(B97,[1]NPC!$B$154:$E$177,4,FALSE)</f>
        <v>53974760.560000002</v>
      </c>
      <c r="E97" s="16"/>
      <c r="G97" s="3"/>
      <c r="H97" s="26">
        <f>D97</f>
        <v>53974760.560000002</v>
      </c>
      <c r="I97" s="2"/>
      <c r="N97" s="27"/>
    </row>
    <row r="98" spans="1:14" customFormat="1">
      <c r="A98" s="3"/>
      <c r="B98" s="16" t="s">
        <v>47</v>
      </c>
      <c r="C98" s="3"/>
      <c r="D98" s="26">
        <f>VLOOKUP(B98,[1]NPC!$B$154:$E$177,4,FALSE)</f>
        <v>0</v>
      </c>
      <c r="E98" s="16"/>
      <c r="G98" s="3"/>
      <c r="H98" s="26">
        <f>D98</f>
        <v>0</v>
      </c>
      <c r="I98" s="2"/>
      <c r="N98" s="27"/>
    </row>
    <row r="99" spans="1:14" customFormat="1">
      <c r="A99" s="3"/>
      <c r="B99" s="16" t="str">
        <f>[1]NPC!$B158</f>
        <v>Dave Johnston</v>
      </c>
      <c r="C99" s="3"/>
      <c r="D99" s="26">
        <f>VLOOKUP(B99,[1]NPC!$B$154:$E$177,4,FALSE)</f>
        <v>0</v>
      </c>
      <c r="E99" s="16"/>
      <c r="G99" s="3"/>
      <c r="H99" s="26">
        <f t="shared" si="5"/>
        <v>0</v>
      </c>
      <c r="I99" s="2"/>
      <c r="N99" s="27"/>
    </row>
    <row r="100" spans="1:14" customFormat="1">
      <c r="A100" s="3"/>
      <c r="B100" s="16" t="str">
        <f>[1]NPC!$B171</f>
        <v>Gadsby</v>
      </c>
      <c r="C100" s="3"/>
      <c r="D100" s="26">
        <f>VLOOKUP(B100,[1]NPC!$B$154:$E$177,4,FALSE)</f>
        <v>0</v>
      </c>
      <c r="E100" s="16"/>
      <c r="G100" s="3"/>
      <c r="H100" s="26">
        <f t="shared" si="5"/>
        <v>0</v>
      </c>
      <c r="I100" s="2"/>
      <c r="N100" s="27"/>
    </row>
    <row r="101" spans="1:14" customFormat="1">
      <c r="A101" s="3"/>
      <c r="B101" s="16" t="str">
        <f>[1]NPC!$B172</f>
        <v>Gadsby CT</v>
      </c>
      <c r="C101" s="3"/>
      <c r="D101" s="26">
        <f>VLOOKUP(B101,[1]NPC!$B$154:$E$177,4,FALSE)</f>
        <v>0</v>
      </c>
      <c r="E101" s="16"/>
      <c r="G101" s="3"/>
      <c r="H101" s="26">
        <f t="shared" si="5"/>
        <v>0</v>
      </c>
      <c r="I101" s="2"/>
      <c r="N101" s="27"/>
    </row>
    <row r="102" spans="1:14" customFormat="1">
      <c r="A102" s="3"/>
      <c r="B102" s="16" t="str">
        <f>[1]NPC!$B159</f>
        <v>Hayden</v>
      </c>
      <c r="C102" s="3"/>
      <c r="D102" s="26">
        <f>VLOOKUP(B102,[1]NPC!$B$154:$E$177,4,FALSE)</f>
        <v>0</v>
      </c>
      <c r="E102" s="16"/>
      <c r="F102" s="14"/>
      <c r="G102" s="3"/>
      <c r="H102" s="26">
        <f t="shared" si="5"/>
        <v>0</v>
      </c>
      <c r="I102" s="2"/>
      <c r="N102" s="27"/>
    </row>
    <row r="103" spans="1:14" customFormat="1">
      <c r="A103" s="3"/>
      <c r="B103" s="16" t="str">
        <f>[1]NPC!$B173</f>
        <v>Hermiston</v>
      </c>
      <c r="C103" s="3"/>
      <c r="D103" s="26">
        <f>VLOOKUP(B103,[1]NPC!$B$154:$E$177,4,FALSE)</f>
        <v>53657819.950000003</v>
      </c>
      <c r="E103" s="16"/>
      <c r="F103" s="14"/>
      <c r="G103" s="3"/>
      <c r="H103" s="26">
        <f t="shared" si="5"/>
        <v>53657819.950000003</v>
      </c>
      <c r="I103" s="2"/>
      <c r="N103" s="27"/>
    </row>
    <row r="104" spans="1:14" customFormat="1">
      <c r="A104" s="3"/>
      <c r="B104" s="16" t="str">
        <f>[1]NPC!$B160</f>
        <v>Hunter</v>
      </c>
      <c r="C104" s="3"/>
      <c r="D104" s="26">
        <f>VLOOKUP(B104,[1]NPC!$B$154:$E$177,4,FALSE)</f>
        <v>0</v>
      </c>
      <c r="E104" s="16"/>
      <c r="F104" s="14"/>
      <c r="G104" s="3"/>
      <c r="H104" s="26">
        <f t="shared" si="5"/>
        <v>0</v>
      </c>
      <c r="I104" s="2"/>
      <c r="N104" s="27"/>
    </row>
    <row r="105" spans="1:14" customFormat="1">
      <c r="A105" s="3"/>
      <c r="B105" s="16" t="str">
        <f>[1]NPC!$B161</f>
        <v>Huntington</v>
      </c>
      <c r="C105" s="3"/>
      <c r="D105" s="26">
        <f>VLOOKUP(B105,[1]NPC!$B$154:$E$177,4,FALSE)</f>
        <v>0</v>
      </c>
      <c r="E105" s="16"/>
      <c r="F105" s="14"/>
      <c r="G105" s="3"/>
      <c r="H105" s="26">
        <f>D105</f>
        <v>0</v>
      </c>
      <c r="I105" s="2"/>
      <c r="N105" s="27"/>
    </row>
    <row r="106" spans="1:14" customFormat="1">
      <c r="A106" s="3"/>
      <c r="B106" s="16" t="str">
        <f>[1]NPC!$B162</f>
        <v>Jim Bridger</v>
      </c>
      <c r="C106" s="3"/>
      <c r="D106" s="26">
        <f>VLOOKUP(B106,[1]NPC!$B$154:$E$177,4,FALSE)</f>
        <v>186905064</v>
      </c>
      <c r="E106" s="16"/>
      <c r="F106" s="14"/>
      <c r="G106" s="3"/>
      <c r="H106" s="26">
        <f t="shared" si="5"/>
        <v>186905064</v>
      </c>
      <c r="I106" s="2"/>
      <c r="N106" s="27"/>
    </row>
    <row r="107" spans="1:14" customFormat="1">
      <c r="A107" s="3"/>
      <c r="B107" s="16" t="str">
        <f>[1]NPC!$B174</f>
        <v>Lake Side</v>
      </c>
      <c r="C107" s="3"/>
      <c r="D107" s="26">
        <f>VLOOKUP(B107,[1]NPC!$B$154:$E$177,4,FALSE)</f>
        <v>0</v>
      </c>
      <c r="E107" s="16"/>
      <c r="F107" s="14"/>
      <c r="G107" s="3"/>
      <c r="H107" s="26">
        <f t="shared" si="5"/>
        <v>0</v>
      </c>
      <c r="I107" s="2"/>
      <c r="N107" s="27"/>
    </row>
    <row r="108" spans="1:14" customFormat="1">
      <c r="A108" s="3"/>
      <c r="B108" s="16"/>
      <c r="C108" s="3"/>
      <c r="D108" s="26"/>
      <c r="E108" s="16"/>
      <c r="F108" s="14"/>
      <c r="G108" s="3"/>
      <c r="H108" s="26"/>
      <c r="I108" s="2"/>
      <c r="N108" s="27"/>
    </row>
    <row r="109" spans="1:14" customFormat="1">
      <c r="A109" s="3"/>
      <c r="B109" s="16" t="str">
        <f>[1]NPC!$B176</f>
        <v>Little Mountain</v>
      </c>
      <c r="C109" s="3"/>
      <c r="D109" s="26">
        <f>VLOOKUP(B109,[1]NPC!$B$154:$E$177,4,FALSE)</f>
        <v>0</v>
      </c>
      <c r="E109" s="16"/>
      <c r="F109" s="14"/>
      <c r="G109" s="3"/>
      <c r="H109" s="26">
        <f t="shared" ref="H109:H110" si="6">D109</f>
        <v>0</v>
      </c>
      <c r="I109" s="2"/>
      <c r="N109" s="27"/>
    </row>
    <row r="110" spans="1:14" customFormat="1">
      <c r="A110" s="3"/>
      <c r="B110" s="16" t="str">
        <f>[1]NPC!$B177</f>
        <v>Naughton - Gas</v>
      </c>
      <c r="C110" s="3"/>
      <c r="D110" s="26">
        <f>VLOOKUP(B110,[1]NPC!$B$154:$E$177,4,FALSE)</f>
        <v>0</v>
      </c>
      <c r="E110" s="16"/>
      <c r="F110" s="14"/>
      <c r="G110" s="3"/>
      <c r="H110" s="26">
        <f t="shared" si="6"/>
        <v>0</v>
      </c>
      <c r="I110" s="2"/>
      <c r="N110" s="27"/>
    </row>
    <row r="111" spans="1:14" customFormat="1">
      <c r="A111" s="3"/>
      <c r="B111" s="16" t="str">
        <f>[1]NPC!$B163</f>
        <v>Naughton</v>
      </c>
      <c r="C111" s="3"/>
      <c r="D111" s="26">
        <f>VLOOKUP(B111,[1]NPC!$B$154:$E$177,4,FALSE)</f>
        <v>0</v>
      </c>
      <c r="E111" s="16"/>
      <c r="F111" s="14"/>
      <c r="G111" s="3"/>
      <c r="H111" s="26">
        <f t="shared" si="5"/>
        <v>0</v>
      </c>
      <c r="I111" s="2"/>
      <c r="N111" s="27"/>
    </row>
    <row r="112" spans="1:14" customFormat="1">
      <c r="A112" s="3"/>
      <c r="B112" s="16"/>
      <c r="C112" s="3"/>
      <c r="D112" s="26"/>
      <c r="E112" s="16"/>
      <c r="F112" s="14"/>
      <c r="G112" s="3"/>
      <c r="H112" s="26"/>
      <c r="I112" s="2"/>
      <c r="N112" s="27"/>
    </row>
    <row r="113" spans="1:14" customFormat="1">
      <c r="A113" s="3"/>
      <c r="B113" s="16" t="str">
        <f>[1]NPC!$B164</f>
        <v>Wyodak</v>
      </c>
      <c r="C113" s="3"/>
      <c r="D113" s="26">
        <f>VLOOKUP(B113,[1]NPC!$B$154:$E$177,4,FALSE)</f>
        <v>0</v>
      </c>
      <c r="E113" s="16"/>
      <c r="F113" s="14"/>
      <c r="G113" s="3"/>
      <c r="H113" s="26">
        <f t="shared" si="5"/>
        <v>0</v>
      </c>
      <c r="I113" s="2"/>
      <c r="N113" s="27"/>
    </row>
    <row r="114" spans="1:14" customFormat="1" ht="11.25" thickBot="1">
      <c r="A114" s="3"/>
      <c r="B114" s="3"/>
      <c r="C114" s="3"/>
      <c r="D114" s="11" t="s">
        <v>14</v>
      </c>
      <c r="E114" s="14" t="s">
        <v>13</v>
      </c>
      <c r="F114" s="11" t="s">
        <v>14</v>
      </c>
      <c r="G114" s="11" t="s">
        <v>14</v>
      </c>
      <c r="H114" s="11" t="s">
        <v>14</v>
      </c>
      <c r="I114" s="11" t="s">
        <v>14</v>
      </c>
      <c r="N114" s="27"/>
    </row>
    <row r="115" spans="1:14" customFormat="1" ht="11.25" thickBot="1">
      <c r="A115" s="3" t="s">
        <v>37</v>
      </c>
      <c r="B115" s="3"/>
      <c r="C115" s="3"/>
      <c r="D115" s="26">
        <f>SUM(D93:D113)</f>
        <v>300933824.65999997</v>
      </c>
      <c r="E115" s="16"/>
      <c r="F115" s="26">
        <f>SUM(F92:F113)</f>
        <v>0</v>
      </c>
      <c r="G115" s="26">
        <f>SUM(G92:G113)</f>
        <v>0</v>
      </c>
      <c r="H115" s="26">
        <f>SUM(H92:H113)</f>
        <v>300933824.65999997</v>
      </c>
      <c r="I115" s="26">
        <f>SUM(I92:I105)</f>
        <v>0</v>
      </c>
      <c r="K115" s="36">
        <f>D115-[1]NPC!E166-[1]NPC!E179</f>
        <v>0</v>
      </c>
      <c r="L115" s="24" t="s">
        <v>40</v>
      </c>
      <c r="M115" s="37">
        <f>D115-SUM(F115:I115)</f>
        <v>0</v>
      </c>
      <c r="N115" s="27"/>
    </row>
    <row r="116" spans="1:14" customFormat="1">
      <c r="A116" s="3"/>
      <c r="B116" s="3"/>
      <c r="C116" s="3"/>
      <c r="D116" s="7"/>
      <c r="E116" s="16"/>
      <c r="F116" s="16"/>
      <c r="G116" s="16"/>
      <c r="H116" s="16"/>
      <c r="I116" s="16"/>
      <c r="N116" s="27"/>
    </row>
    <row r="117" spans="1:14" customFormat="1">
      <c r="A117" s="3" t="s">
        <v>43</v>
      </c>
      <c r="B117" s="3"/>
      <c r="C117" s="3"/>
      <c r="D117" s="7"/>
      <c r="E117" s="16"/>
      <c r="F117" s="16"/>
      <c r="G117" s="16"/>
      <c r="H117" s="16"/>
      <c r="I117" s="16"/>
      <c r="N117" s="27"/>
    </row>
    <row r="118" spans="1:14" customFormat="1">
      <c r="A118" s="3"/>
      <c r="B118" s="16" t="str">
        <f>[1]NPC!$B182</f>
        <v>Blundell</v>
      </c>
      <c r="C118" s="3"/>
      <c r="D118" s="26">
        <f>[1]NPC!$E182</f>
        <v>0</v>
      </c>
      <c r="E118" s="16"/>
      <c r="F118" s="14"/>
      <c r="G118" s="3"/>
      <c r="H118" s="26">
        <f>D118</f>
        <v>0</v>
      </c>
      <c r="I118" s="2"/>
      <c r="N118" s="27"/>
    </row>
    <row r="119" spans="1:14">
      <c r="D119" s="11" t="s">
        <v>14</v>
      </c>
      <c r="E119" s="14" t="s">
        <v>13</v>
      </c>
      <c r="F119" s="11" t="s">
        <v>14</v>
      </c>
      <c r="G119" s="11" t="s">
        <v>14</v>
      </c>
      <c r="H119" s="11" t="s">
        <v>14</v>
      </c>
      <c r="I119" s="11" t="s">
        <v>14</v>
      </c>
    </row>
    <row r="120" spans="1:14">
      <c r="A120" s="3" t="s">
        <v>44</v>
      </c>
      <c r="D120" s="26">
        <f>[1]NPC!$E198-D73</f>
        <v>0</v>
      </c>
      <c r="E120" s="16"/>
      <c r="F120" s="26">
        <f>SUM(F118:F118)</f>
        <v>0</v>
      </c>
      <c r="G120" s="26">
        <f>SUM(G118:G118)</f>
        <v>0</v>
      </c>
      <c r="H120" s="26">
        <f>SUM(H118:H118)</f>
        <v>0</v>
      </c>
      <c r="I120" s="26">
        <f>SUM(I118:I118)</f>
        <v>0</v>
      </c>
    </row>
    <row r="121" spans="1:14" ht="11.25" thickBot="1">
      <c r="D121" s="19" t="s">
        <v>38</v>
      </c>
      <c r="E121" s="14" t="s">
        <v>13</v>
      </c>
      <c r="F121" s="19" t="s">
        <v>38</v>
      </c>
      <c r="G121" s="19" t="s">
        <v>38</v>
      </c>
      <c r="H121" s="19" t="s">
        <v>38</v>
      </c>
      <c r="I121" s="19" t="s">
        <v>38</v>
      </c>
    </row>
    <row r="122" spans="1:14" ht="11.25" thickBot="1">
      <c r="A122" s="3" t="s">
        <v>39</v>
      </c>
      <c r="D122" s="26">
        <f>D115+D90+D76+D120-D16</f>
        <v>614978698.90999997</v>
      </c>
      <c r="E122" s="16" t="s">
        <v>13</v>
      </c>
      <c r="F122" s="26">
        <f>F115+F90+F76+F120-F16</f>
        <v>3090197.1941859592</v>
      </c>
      <c r="G122" s="26">
        <f>G115+G90+G76+G120-G16</f>
        <v>7773178.6158140404</v>
      </c>
      <c r="H122" s="26">
        <f>H115+H90+H76+H120-H16</f>
        <v>300933824.65999997</v>
      </c>
      <c r="I122" s="26">
        <f>I115+I90+I76+I120-I16</f>
        <v>303181498.44</v>
      </c>
      <c r="K122" s="36">
        <f>D122-[1]NPC!E200</f>
        <v>0</v>
      </c>
      <c r="L122" s="24" t="s">
        <v>40</v>
      </c>
      <c r="M122" s="37"/>
    </row>
    <row r="123" spans="1:14">
      <c r="D123" s="19" t="s">
        <v>38</v>
      </c>
      <c r="E123" s="14" t="s">
        <v>13</v>
      </c>
      <c r="F123" s="19" t="s">
        <v>38</v>
      </c>
      <c r="G123" s="19" t="s">
        <v>38</v>
      </c>
      <c r="H123" s="19" t="s">
        <v>38</v>
      </c>
      <c r="I123" s="19" t="s">
        <v>38</v>
      </c>
    </row>
  </sheetData>
  <mergeCells count="1">
    <mergeCell ref="A4:C4"/>
  </mergeCells>
  <phoneticPr fontId="0" type="noConversion"/>
  <printOptions horizontalCentered="1"/>
  <pageMargins left="0.75" right="0.75" top="0.75" bottom="0.5" header="0.25" footer="0.25"/>
  <pageSetup scale="81" orientation="portrait" r:id="rId1"/>
  <headerFooter alignWithMargins="0">
    <oddFooter>&amp;L&amp;7Power Planning  &amp;D  &amp;T&amp;C&amp;7Page &amp;P &amp;R&amp;7&amp;F - &amp;A</oddFooter>
  </headerFooter>
  <rowBreaks count="1" manualBreakCount="1">
    <brk id="69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C62F4-480C-498C-A768-38E2BA0F44C2}"/>
</file>

<file path=customXml/itemProps2.xml><?xml version="1.0" encoding="utf-8"?>
<ds:datastoreItem xmlns:ds="http://schemas.openxmlformats.org/officeDocument/2006/customXml" ds:itemID="{84D7784C-F16B-4CC2-9707-75DE09536B8F}"/>
</file>

<file path=customXml/itemProps3.xml><?xml version="1.0" encoding="utf-8"?>
<ds:datastoreItem xmlns:ds="http://schemas.openxmlformats.org/officeDocument/2006/customXml" ds:itemID="{5813E7A9-F45A-4674-92B1-85B997741F8A}"/>
</file>

<file path=customXml/itemProps4.xml><?xml version="1.0" encoding="utf-8"?>
<ds:datastoreItem xmlns:ds="http://schemas.openxmlformats.org/officeDocument/2006/customXml" ds:itemID="{39BBAD5F-61C5-429D-A6EC-1F41BA41A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PrePost</vt:lpstr>
      <vt:lpstr>PrePost!Print_Area</vt:lpstr>
      <vt:lpstr>PrePost!Print_Titles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Shu</dc:creator>
  <cp:lastModifiedBy>p73570</cp:lastModifiedBy>
  <cp:lastPrinted>2005-10-21T20:42:48Z</cp:lastPrinted>
  <dcterms:created xsi:type="dcterms:W3CDTF">2000-05-12T21:28:01Z</dcterms:created>
  <dcterms:modified xsi:type="dcterms:W3CDTF">2012-12-18T23:13:16Z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