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6615" windowWidth="15330" windowHeight="6900" tabRatio="663" activeTab="0"/>
  </bookViews>
  <sheets>
    <sheet name="Cost of Capital " sheetId="1" r:id="rId1"/>
    <sheet name="Reg Equity Adj" sheetId="2" state="hidden" r:id="rId2"/>
    <sheet name="STD Cost Rate" sheetId="3" r:id="rId3"/>
    <sheet name="STD Int &amp; Fees-Details" sheetId="4" r:id="rId4"/>
    <sheet name="STD OS &amp; Int-old" sheetId="5" state="hidden" r:id="rId5"/>
    <sheet name="STD Comm Fees &amp; Exp" sheetId="6" state="hidden" r:id="rId6"/>
    <sheet name="Cost of LTD" sheetId="7" r:id="rId7"/>
    <sheet name="Cost of LTD - New PCBs" sheetId="8" r:id="rId8"/>
    <sheet name=" Reacquired Debt" sheetId="9" r:id="rId9"/>
    <sheet name=" Reacquired Debt - New PCBs" sheetId="10" r:id="rId10"/>
    <sheet name="Cost of PS" sheetId="11" state="hidden" r:id="rId11"/>
    <sheet name="Reacquired PS " sheetId="12" state="hidden" r:id="rId12"/>
  </sheets>
  <externalReferences>
    <externalReference r:id="rId15"/>
    <externalReference r:id="rId16"/>
    <externalReference r:id="rId17"/>
  </externalReferences>
  <definedNames>
    <definedName name="_C_._DOWN_TERM_">'[2]CST STD!'!#REF!</definedName>
    <definedName name="_DOWN___COUPON_">'[2]CST STD!'!#REF!</definedName>
    <definedName name="_END__DOWN__DOW">'[2]CST STD!'!#REF!</definedName>
    <definedName name="_GOTO_TABLE__PR">'[2]CST STD!'!#REF!</definedName>
    <definedName name="_HOME__GOTO_YIE">'[2]CST STD!'!#REF!</definedName>
    <definedName name="_LET_YIELD__IRR">'[2]CST STD!'!#REF!</definedName>
    <definedName name="_RECASHFLOWS_">'[2]CST STD!'!#REF!</definedName>
    <definedName name="_RNCCASHFLOWS__">'[2]CST STD!'!#REF!</definedName>
    <definedName name="_WINDOWSOFF__PA">'[2]CST STD!'!#REF!</definedName>
    <definedName name="a">'[1]STD Cost'!#REF!</definedName>
    <definedName name="CASHFLOWS">'[2]CST STD!'!#REF!</definedName>
    <definedName name="data">#REF!</definedName>
    <definedName name="data12">#REF!</definedName>
    <definedName name="MONTH">#REF!</definedName>
    <definedName name="MonthlyInput">#REF!</definedName>
    <definedName name="new">#REF!</definedName>
    <definedName name="new12">#REF!</definedName>
    <definedName name="NEWYTD">#REF!</definedName>
    <definedName name="P">#REF!</definedName>
    <definedName name="pagea">#REF!</definedName>
    <definedName name="pageb">#REF!</definedName>
    <definedName name="_xlnm.Print_Area" localSheetId="8">' Reacquired Debt'!$A$1:$L$31</definedName>
    <definedName name="_xlnm.Print_Area" localSheetId="9">' Reacquired Debt - New PCBs'!$A$1:$L$32</definedName>
    <definedName name="_xlnm.Print_Area" localSheetId="0">'Cost of Capital '!$A$1:$F$37</definedName>
    <definedName name="_xlnm.Print_Area" localSheetId="6">'Cost of LTD'!$A$1:$W$40</definedName>
    <definedName name="_xlnm.Print_Area" localSheetId="7">'Cost of LTD - New PCBs'!$A$1:$W$53</definedName>
    <definedName name="_xlnm.Print_Area" localSheetId="10">'Cost of PS'!$A$1:$J$19</definedName>
    <definedName name="_xlnm.Print_Area" localSheetId="11">'Reacquired PS '!$A$1:$M$26</definedName>
    <definedName name="_xlnm.Print_Area" localSheetId="1">'Reg Equity Adj'!$A$2:$D$34</definedName>
    <definedName name="_xlnm.Print_Area" localSheetId="5">'STD Comm Fees &amp; Exp'!$A$1:$H$45</definedName>
    <definedName name="_xlnm.Print_Area" localSheetId="2">'STD Cost Rate'!$A$1:$G$25</definedName>
    <definedName name="_xlnm.Print_Area" localSheetId="3">'STD Int &amp; Fees-Details'!$A$1:$P$51</definedName>
    <definedName name="_xlnm.Print_Area" localSheetId="4">'STD OS &amp; Int-old'!$A$1:$P$43</definedName>
    <definedName name="_xlnm.Print_Titles" localSheetId="8">' Reacquired Debt'!$1:$7</definedName>
    <definedName name="_xlnm.Print_Titles" localSheetId="9">' Reacquired Debt - New PCBs'!$1:$7</definedName>
    <definedName name="_xlnm.Print_Titles" localSheetId="6">'Cost of LTD'!$1:$9</definedName>
    <definedName name="_xlnm.Print_Titles" localSheetId="7">'Cost of LTD - New PCBs'!$1:$9</definedName>
    <definedName name="TABLE">'[2]CST STD!'!#REF!</definedName>
    <definedName name="Total_Annual_Charge">'[1]BONDRATE'!#REF!</definedName>
    <definedName name="Total_OS_Amount">'[1]BONDRATE'!#REF!</definedName>
    <definedName name="TwelveMoAvg">#REF!</definedName>
    <definedName name="wrn.Customer._.Counts._.Electric."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7"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9" hidden="1">{#N/A,#N/A,FALSE,"Pg 6b CustCount_Gas";#N/A,#N/A,FALSE,"QA";#N/A,#N/A,FALSE,"Report";#N/A,#N/A,FALSE,"forecast"}</definedName>
    <definedName name="wrn.Customer._.Counts._.Gas." localSheetId="7" hidden="1">{#N/A,#N/A,FALSE,"Pg 6b CustCount_Gas";#N/A,#N/A,FALSE,"QA";#N/A,#N/A,FALSE,"Report";#N/A,#N/A,FALSE,"forecast"}</definedName>
    <definedName name="wrn.Customer._.Counts._.Gas." hidden="1">{#N/A,#N/A,FALSE,"Pg 6b CustCount_Gas";#N/A,#N/A,FALSE,"QA";#N/A,#N/A,FALSE,"Report";#N/A,#N/A,FALSE,"forecast"}</definedName>
    <definedName name="YEAR">#REF!</definedName>
    <definedName name="ytd">#REF!</definedName>
    <definedName name="YTDavg">#REF!</definedName>
  </definedNames>
  <calcPr fullCalcOnLoad="1"/>
</workbook>
</file>

<file path=xl/comments2.xml><?xml version="1.0" encoding="utf-8"?>
<comments xmlns="http://schemas.openxmlformats.org/spreadsheetml/2006/main">
  <authors>
    <author>pse</author>
    <author>jsant</author>
  </authors>
  <commentList>
    <comment ref="C9" authorId="0">
      <text>
        <r>
          <rPr>
            <sz val="8"/>
            <rFont val="Tahoma"/>
            <family val="2"/>
          </rPr>
          <t xml:space="preserve">Rainier Receivable net income is entirely eliminated in consolidation. </t>
        </r>
      </text>
    </comment>
    <comment ref="E39" authorId="1">
      <text>
        <r>
          <rPr>
            <sz val="8"/>
            <rFont val="Tahoma"/>
            <family val="2"/>
          </rPr>
          <t xml:space="preserve">For interest rate derivatives which amortize into interest expense, project the rate year further amortized balances. </t>
        </r>
        <r>
          <rPr>
            <sz val="8"/>
            <rFont val="Tahoma"/>
            <family val="2"/>
          </rPr>
          <t xml:space="preserve">
</t>
        </r>
      </text>
    </comment>
    <comment ref="E45" authorId="1">
      <text>
        <r>
          <rPr>
            <sz val="8"/>
            <rFont val="Tahoma"/>
            <family val="2"/>
          </rPr>
          <t xml:space="preserve">Maintain balance from end of test yr for these pension type OCI adjustments.
</t>
        </r>
      </text>
    </comment>
    <comment ref="A42" authorId="1">
      <text>
        <r>
          <rPr>
            <sz val="8"/>
            <rFont val="Tahoma"/>
            <family val="2"/>
          </rPr>
          <t>Monthly Amort pulled from SAP by Mike Ross 11/20/07.</t>
        </r>
        <r>
          <rPr>
            <sz val="8"/>
            <rFont val="Tahoma"/>
            <family val="2"/>
          </rPr>
          <t xml:space="preserve">
</t>
        </r>
      </text>
    </comment>
  </commentList>
</comments>
</file>

<file path=xl/comments4.xml><?xml version="1.0" encoding="utf-8"?>
<comments xmlns="http://schemas.openxmlformats.org/spreadsheetml/2006/main">
  <authors>
    <author>jsant</author>
    <author>Jim Sant</author>
  </authors>
  <commentList>
    <comment ref="C44" authorId="0">
      <text>
        <r>
          <rPr>
            <sz val="8"/>
            <rFont val="Tahoma"/>
            <family val="2"/>
          </rPr>
          <t>LC fee with Wells Fargo outside of credit agrmt commitments.</t>
        </r>
        <r>
          <rPr>
            <sz val="8"/>
            <rFont val="Tahoma"/>
            <family val="2"/>
          </rPr>
          <t xml:space="preserve">
</t>
        </r>
      </text>
    </comment>
    <comment ref="C41" authorId="0">
      <text>
        <r>
          <rPr>
            <sz val="8"/>
            <rFont val="Tahoma"/>
            <family val="2"/>
          </rPr>
          <t xml:space="preserve">Represents LC Fees under credit agreements.  </t>
        </r>
      </text>
    </comment>
    <comment ref="B10" authorId="1">
      <text>
        <r>
          <rPr>
            <sz val="8"/>
            <rFont val="Tahoma"/>
            <family val="2"/>
          </rPr>
          <t>Assumes half of borrowings are under CP, up to a max of $125 million outstanding to allow for managing maturities within the $50 million swingline, etc.</t>
        </r>
        <r>
          <rPr>
            <sz val="8"/>
            <rFont val="Tahoma"/>
            <family val="2"/>
          </rPr>
          <t xml:space="preserve">
</t>
        </r>
      </text>
    </comment>
    <comment ref="B34" authorId="1">
      <text>
        <r>
          <rPr>
            <sz val="8"/>
            <rFont val="Tahoma"/>
            <family val="2"/>
          </rPr>
          <t>Utilization under the credit agreements includes facility borrowings and letters of credit but excludes commercial paper.</t>
        </r>
        <r>
          <rPr>
            <sz val="8"/>
            <rFont val="Tahoma"/>
            <family val="2"/>
          </rPr>
          <t xml:space="preserve">
</t>
        </r>
      </text>
    </comment>
  </commentList>
</comments>
</file>

<file path=xl/comments6.xml><?xml version="1.0" encoding="utf-8"?>
<comments xmlns="http://schemas.openxmlformats.org/spreadsheetml/2006/main">
  <authors>
    <author>jsant</author>
  </authors>
  <commentList>
    <comment ref="F11" authorId="0">
      <text>
        <r>
          <rPr>
            <sz val="8"/>
            <rFont val="Tahoma"/>
            <family val="2"/>
          </rPr>
          <t>Goldendale Transmission and station service letters of credit required.  This level is the expected weighted amount for the rate year - the LC requirement reduces each year.</t>
        </r>
        <r>
          <rPr>
            <b/>
            <sz val="8"/>
            <rFont val="Tahoma"/>
            <family val="2"/>
          </rPr>
          <t xml:space="preserve">
</t>
        </r>
      </text>
    </comment>
    <comment ref="F31" authorId="0">
      <text>
        <r>
          <rPr>
            <sz val="8"/>
            <rFont val="Tahoma"/>
            <family val="2"/>
          </rPr>
          <t>Goldendale Transmission and station service letters of credit required.  This level is the expected weighted amount for the rate year - the LC requirement reduces each year.</t>
        </r>
        <r>
          <rPr>
            <b/>
            <sz val="8"/>
            <rFont val="Tahoma"/>
            <family val="2"/>
          </rPr>
          <t xml:space="preserve">
</t>
        </r>
      </text>
    </comment>
  </commentList>
</comments>
</file>

<file path=xl/sharedStrings.xml><?xml version="1.0" encoding="utf-8"?>
<sst xmlns="http://schemas.openxmlformats.org/spreadsheetml/2006/main" count="648" uniqueCount="333">
  <si>
    <t xml:space="preserve"> </t>
  </si>
  <si>
    <t>(A)</t>
  </si>
  <si>
    <t>Utility Capital Structure</t>
  </si>
  <si>
    <t>Cost of</t>
  </si>
  <si>
    <t>Description</t>
  </si>
  <si>
    <t>Ratio</t>
  </si>
  <si>
    <t>Cost</t>
  </si>
  <si>
    <t>Capital</t>
  </si>
  <si>
    <t>Short Term Debt</t>
  </si>
  <si>
    <t>Long Term Debt</t>
  </si>
  <si>
    <t>Preferred Stock</t>
  </si>
  <si>
    <t>Common Stock</t>
  </si>
  <si>
    <t>Issue</t>
  </si>
  <si>
    <t>Annual</t>
  </si>
  <si>
    <t>Rate</t>
  </si>
  <si>
    <t>Charge</t>
  </si>
  <si>
    <t>MTN-A</t>
  </si>
  <si>
    <t>MTN-B</t>
  </si>
  <si>
    <t>MTN-C</t>
  </si>
  <si>
    <t>PCB</t>
  </si>
  <si>
    <t>Puget Sound Energy, Inc.</t>
  </si>
  <si>
    <t>Schedule of Annual Charges on Reacquired Debt</t>
  </si>
  <si>
    <t>(B)</t>
  </si>
  <si>
    <t xml:space="preserve">Total Amortization on Reacquired Debt </t>
  </si>
  <si>
    <t>Par</t>
  </si>
  <si>
    <t xml:space="preserve">4.70% Series </t>
  </si>
  <si>
    <t>4.84% Series</t>
  </si>
  <si>
    <t xml:space="preserve">       PUGET SOUND ENERGY, INC</t>
  </si>
  <si>
    <t>Calculation of Amortization of Net Loss</t>
  </si>
  <si>
    <t>On Reacquired Preferred Stock</t>
  </si>
  <si>
    <t>Gain or Loss on Reacquired Preferred Stock</t>
  </si>
  <si>
    <t>Commercial Paper</t>
  </si>
  <si>
    <t>Cost of Short-Term Debt</t>
  </si>
  <si>
    <t>Interest</t>
  </si>
  <si>
    <t>Total Short-Term Debt/Cost</t>
  </si>
  <si>
    <t>Ending Date</t>
  </si>
  <si>
    <t>Days</t>
  </si>
  <si>
    <t>AR Securitization</t>
  </si>
  <si>
    <t>(C)</t>
  </si>
  <si>
    <t>Commitment Fees</t>
  </si>
  <si>
    <t>Issue Date</t>
  </si>
  <si>
    <t>Redemption Date</t>
  </si>
  <si>
    <t>Annual Cost</t>
  </si>
  <si>
    <t>Shares Issued</t>
  </si>
  <si>
    <t>Dividend Rate</t>
  </si>
  <si>
    <t>Call Price</t>
  </si>
  <si>
    <t>Reacquired Shares</t>
  </si>
  <si>
    <t>Original Issue Amount</t>
  </si>
  <si>
    <t xml:space="preserve">Net (Gain) or Loss </t>
  </si>
  <si>
    <t>Fee %</t>
  </si>
  <si>
    <t>(D)</t>
  </si>
  <si>
    <t>(E)</t>
  </si>
  <si>
    <t>(F)</t>
  </si>
  <si>
    <t>(G)</t>
  </si>
  <si>
    <t>(H)</t>
  </si>
  <si>
    <t>(I)</t>
  </si>
  <si>
    <t>End of Amortization Period</t>
  </si>
  <si>
    <t>Annual Amortization of Net Gain/( Loss) on Reacquired  Preferred Stock</t>
  </si>
  <si>
    <t>Maturity Date</t>
  </si>
  <si>
    <t>Sinking Fund</t>
  </si>
  <si>
    <t>Total Preferred Stock</t>
  </si>
  <si>
    <t>(J)</t>
  </si>
  <si>
    <t>(K)</t>
  </si>
  <si>
    <t>(L)</t>
  </si>
  <si>
    <t>(M)</t>
  </si>
  <si>
    <t>(N)</t>
  </si>
  <si>
    <t>(O)</t>
  </si>
  <si>
    <t>Monthly Amort</t>
  </si>
  <si>
    <t>Face Value Reaquired</t>
  </si>
  <si>
    <t>Prorated Net Loss (Gain)</t>
  </si>
  <si>
    <t>Outstanding (i)</t>
  </si>
  <si>
    <t>Annual Charge</t>
  </si>
  <si>
    <t>Cost Rate (iii)</t>
  </si>
  <si>
    <t>CP</t>
  </si>
  <si>
    <t>AR</t>
  </si>
  <si>
    <t>3 Month Libor</t>
  </si>
  <si>
    <t>Number of Days in Month</t>
  </si>
  <si>
    <t>Projected Short Term Rates</t>
  </si>
  <si>
    <t>Total STD Interest Expense</t>
  </si>
  <si>
    <t>Maturity</t>
  </si>
  <si>
    <t>Bond</t>
  </si>
  <si>
    <t>Date</t>
  </si>
  <si>
    <t>SN</t>
  </si>
  <si>
    <t>Average Borrowing Rate</t>
  </si>
  <si>
    <t>Est. AR Purchase Limit ( in 000's)</t>
  </si>
  <si>
    <t>STD Month End Balance (in 000's)</t>
  </si>
  <si>
    <t>Annual Amortization</t>
  </si>
  <si>
    <t>n/a</t>
  </si>
  <si>
    <t>Net Proceeds Per $100</t>
  </si>
  <si>
    <t>CP Borrowing Rate</t>
  </si>
  <si>
    <t>Ave Monthly Borrowing Rate</t>
  </si>
  <si>
    <t>AR Securitization Rate</t>
  </si>
  <si>
    <t>CP Spread</t>
  </si>
  <si>
    <t>AR Spread</t>
  </si>
  <si>
    <r>
      <t xml:space="preserve">(i) </t>
    </r>
    <r>
      <rPr>
        <sz val="8"/>
        <rFont val="Arial"/>
        <family val="2"/>
      </rPr>
      <t>Commitment fees are calculated for actual days elapsed on the basis of a 360 day year</t>
    </r>
  </si>
  <si>
    <t>Month-End Balances Rollforward  ($ in millions)</t>
  </si>
  <si>
    <t>Net Proceeds Per $100 (i)</t>
  </si>
  <si>
    <t>(P)</t>
  </si>
  <si>
    <t>(Q)</t>
  </si>
  <si>
    <t>(R)</t>
  </si>
  <si>
    <t>(S)</t>
  </si>
  <si>
    <t>(T)</t>
  </si>
  <si>
    <t>(U)</t>
  </si>
  <si>
    <t>(V)</t>
  </si>
  <si>
    <t>Rates</t>
  </si>
  <si>
    <t>AR Availability After Proj Usage</t>
  </si>
  <si>
    <t>Rate (ii)</t>
  </si>
  <si>
    <t xml:space="preserve">Cost   </t>
  </si>
  <si>
    <r>
      <t>(iii)</t>
    </r>
    <r>
      <rPr>
        <sz val="8"/>
        <rFont val="Arial"/>
        <family val="2"/>
      </rPr>
      <t xml:space="preserve"> Cost Rate for each bond is the yield to maturity based on net proceeds.</t>
    </r>
  </si>
  <si>
    <t>Date Re-acquired</t>
  </si>
  <si>
    <t>7.45% Series II</t>
  </si>
  <si>
    <t>No. of Years  (Gain) Loss To Be Amortized</t>
  </si>
  <si>
    <t>Refinance Issue</t>
  </si>
  <si>
    <t>Refinance Date</t>
  </si>
  <si>
    <t>Maturity Dt for Amort.</t>
  </si>
  <si>
    <t>SAP  #</t>
  </si>
  <si>
    <t>$200mm VRN</t>
  </si>
  <si>
    <t>30 Yr 5.483%</t>
  </si>
  <si>
    <t>PCB Series 1991A</t>
  </si>
  <si>
    <t>PCB Series 1991B</t>
  </si>
  <si>
    <t>PCB Series 1992</t>
  </si>
  <si>
    <t>PCB Series 1993</t>
  </si>
  <si>
    <t>WNG 8.4%</t>
  </si>
  <si>
    <t>WNG 8.39%</t>
  </si>
  <si>
    <t>PSPL 8.2%</t>
  </si>
  <si>
    <t>N/A</t>
  </si>
  <si>
    <t>Annual Amortization (i)</t>
  </si>
  <si>
    <r>
      <t>(i)</t>
    </r>
    <r>
      <rPr>
        <sz val="9"/>
        <rFont val="Arial"/>
        <family val="2"/>
      </rPr>
      <t xml:space="preserve"> Amortization is over life of replacement issue or remaining life of called bond if no replacement issue.</t>
    </r>
  </si>
  <si>
    <t>Call Date</t>
  </si>
  <si>
    <t>Short Term Debt Commitment Fees &amp; Amortization of Debt Issuance Costs</t>
  </si>
  <si>
    <t>Monthly Amortization</t>
  </si>
  <si>
    <r>
      <t xml:space="preserve">Fee $  </t>
    </r>
    <r>
      <rPr>
        <b/>
        <sz val="8"/>
        <rFont val="Arial"/>
        <family val="2"/>
      </rPr>
      <t>(i)</t>
    </r>
  </si>
  <si>
    <t>Monthly Amortization (i)</t>
  </si>
  <si>
    <t>Original (Gain) or Loss on Costs to Reacquire</t>
  </si>
  <si>
    <t>Short Term Debt Interest Expense Calculation</t>
  </si>
  <si>
    <t>(iv)</t>
  </si>
  <si>
    <r>
      <t xml:space="preserve">(ii) </t>
    </r>
    <r>
      <rPr>
        <sz val="9"/>
        <rFont val="Arial"/>
        <family val="2"/>
      </rPr>
      <t xml:space="preserve"> Cost Rate is calculated by dividing the Annual Charge (E) by the Outstandings (C).</t>
    </r>
  </si>
  <si>
    <t>Puget Western Inc</t>
  </si>
  <si>
    <r>
      <t xml:space="preserve">(i) </t>
    </r>
    <r>
      <rPr>
        <sz val="9"/>
        <rFont val="Arial"/>
        <family val="2"/>
      </rPr>
      <t xml:space="preserve"> Average of Monthly Average Balances for the period.</t>
    </r>
  </si>
  <si>
    <t>Additional Commercial Paper</t>
  </si>
  <si>
    <r>
      <t xml:space="preserve"> (ii) </t>
    </r>
    <r>
      <rPr>
        <sz val="8"/>
        <rFont val="Arial"/>
        <family val="2"/>
      </rPr>
      <t>Short term interest is calculated on the average balance for the month times the interest rate for the month times the actual days in the month divided by 360 days.</t>
    </r>
  </si>
  <si>
    <t>Total Commercial Paper</t>
  </si>
  <si>
    <t>Total Short Term Debt</t>
  </si>
  <si>
    <t>Beg. Date</t>
  </si>
  <si>
    <t xml:space="preserve">Total Annual Commitment Fees for Bank Facilities  </t>
  </si>
  <si>
    <t>Avg Amt Out-standing (in 000's)</t>
  </si>
  <si>
    <t>JrSubN</t>
  </si>
  <si>
    <r>
      <t xml:space="preserve">(ii)  </t>
    </r>
    <r>
      <rPr>
        <sz val="8"/>
        <rFont val="Arial"/>
        <family val="2"/>
      </rPr>
      <t>See schedule of Reacquired Debt.</t>
    </r>
  </si>
  <si>
    <r>
      <t xml:space="preserve">Annual Charge on Reacquired Debt </t>
    </r>
    <r>
      <rPr>
        <b/>
        <sz val="8"/>
        <rFont val="Arial"/>
        <family val="2"/>
      </rPr>
      <t xml:space="preserve">(ii)  </t>
    </r>
  </si>
  <si>
    <t>WNG 8.25%</t>
  </si>
  <si>
    <t>WNG 7.19%</t>
  </si>
  <si>
    <t>Original Maturity</t>
  </si>
  <si>
    <t xml:space="preserve"> No. of Months in Period</t>
  </si>
  <si>
    <t>8.231% Capital Trust I (Tender)</t>
  </si>
  <si>
    <t>8.40% Capital Trust II</t>
  </si>
  <si>
    <t>8.231% Capital Trust I (Call)</t>
  </si>
  <si>
    <t>Preferred Stock (i)</t>
  </si>
  <si>
    <r>
      <t>Annual Amortization of Gain on Reacquired Shares</t>
    </r>
    <r>
      <rPr>
        <b/>
        <sz val="8"/>
        <rFont val="Arial"/>
        <family val="2"/>
      </rPr>
      <t xml:space="preserve"> (ii)</t>
    </r>
  </si>
  <si>
    <r>
      <t>(i)</t>
    </r>
    <r>
      <rPr>
        <sz val="8"/>
        <rFont val="Arial"/>
        <family val="2"/>
      </rPr>
      <t xml:space="preserve"> Cost Rate=Dividend Rate/(Net Proceeds/Issue Amount)</t>
    </r>
  </si>
  <si>
    <r>
      <t xml:space="preserve">(ii)  </t>
    </r>
    <r>
      <rPr>
        <sz val="8"/>
        <rFont val="Arial"/>
        <family val="2"/>
      </rPr>
      <t>See schedule of Reacquired Preferred Stock</t>
    </r>
  </si>
  <si>
    <t>Average Monthly Avg Balance</t>
  </si>
  <si>
    <t>Total Amortization on Reacquired PS</t>
  </si>
  <si>
    <t>Months Amortized Over The Period</t>
  </si>
  <si>
    <t>7.75% Series</t>
  </si>
  <si>
    <t>Amortization of Upfront Facility Costs</t>
  </si>
  <si>
    <r>
      <t xml:space="preserve"> (i) </t>
    </r>
    <r>
      <rPr>
        <sz val="8"/>
        <rFont val="Arial"/>
        <family val="2"/>
      </rPr>
      <t>The Company's short-term borrowing projection follows funding the first $100mm of borrowing requirements in the commercial paper market to maintain adequate market presence.  Additional borrowing needs above that level are provided through the AR securitization facility and additional CP if necessary.</t>
    </r>
  </si>
  <si>
    <t>Total Bank Credit Facility Size</t>
  </si>
  <si>
    <t>Amount</t>
  </si>
  <si>
    <t>$200 Million AR Securitization</t>
  </si>
  <si>
    <t>$500 Million 5-Yr Bank Revolving Credit</t>
  </si>
  <si>
    <t>Commitment Fees on Unused Portion</t>
  </si>
  <si>
    <t>Fees on Total Commitment</t>
  </si>
  <si>
    <t>Short-Term Debt</t>
  </si>
  <si>
    <t xml:space="preserve">Offset to Equity Adjustment </t>
  </si>
  <si>
    <t>Total Adjusted Short-Term Debt</t>
  </si>
  <si>
    <r>
      <t xml:space="preserve">Short-Term Debt Funding (in 000's) </t>
    </r>
    <r>
      <rPr>
        <b/>
        <sz val="8"/>
        <rFont val="Arial"/>
        <family val="2"/>
      </rPr>
      <t xml:space="preserve"> (i)</t>
    </r>
  </si>
  <si>
    <t xml:space="preserve">Avg of </t>
  </si>
  <si>
    <t>Monthly Avg</t>
  </si>
  <si>
    <t>CP Interest Expense (ii)</t>
  </si>
  <si>
    <t>AR Interest Expense  (ii)</t>
  </si>
  <si>
    <t>Letters of Credit (Goldendale Plant)</t>
  </si>
  <si>
    <t>PUGET SOUND ENERGY</t>
  </si>
  <si>
    <t>COMMON EQUITY CALCULATION</t>
  </si>
  <si>
    <t>AS OF SEPTEMBER 30, 2007</t>
  </si>
  <si>
    <t>1st Qtr 2004</t>
  </si>
  <si>
    <t>COMMON EQUITY</t>
  </si>
  <si>
    <t>SAP Balance</t>
  </si>
  <si>
    <t>Sub Earnings not Moved</t>
  </si>
  <si>
    <t>(excluding Rainier Receivable )</t>
  </si>
  <si>
    <t xml:space="preserve">COMMON EQUITY </t>
  </si>
  <si>
    <t>Per Balance Sheet</t>
  </si>
  <si>
    <t>Retained Earnings Projections (From Financial Planning - Chen on 10/23/07)</t>
  </si>
  <si>
    <t>Sep</t>
  </si>
  <si>
    <t xml:space="preserve">Oct </t>
  </si>
  <si>
    <t xml:space="preserve">Nov </t>
  </si>
  <si>
    <t xml:space="preserve">Dec </t>
  </si>
  <si>
    <t xml:space="preserve">Jan </t>
  </si>
  <si>
    <t xml:space="preserve">Feb </t>
  </si>
  <si>
    <t xml:space="preserve">Mar </t>
  </si>
  <si>
    <t xml:space="preserve">Apr </t>
  </si>
  <si>
    <t xml:space="preserve">May </t>
  </si>
  <si>
    <t xml:space="preserve">Jun </t>
  </si>
  <si>
    <t xml:space="preserve">Jul </t>
  </si>
  <si>
    <t xml:space="preserve">Aug </t>
  </si>
  <si>
    <t xml:space="preserve">Sep </t>
  </si>
  <si>
    <t>BACK OUT RETAINED EARNINGS</t>
  </si>
  <si>
    <t>OF SUBSIDIARIES</t>
  </si>
  <si>
    <t>Net Income to be added to RE:</t>
  </si>
  <si>
    <t>PWI</t>
  </si>
  <si>
    <t>HEDC</t>
  </si>
  <si>
    <t>PWI Unrealized Gain on Securities Avail for Sale</t>
  </si>
  <si>
    <t>Projected RE:</t>
  </si>
  <si>
    <t>Hydro Energy Development Company</t>
  </si>
  <si>
    <t>Washington Energy Gas Marketing</t>
  </si>
  <si>
    <t xml:space="preserve">            Total Retained Earnings to Back Out</t>
  </si>
  <si>
    <t xml:space="preserve">                Common Equity Less Subsidiaries</t>
  </si>
  <si>
    <t>REGULATED COMMON EQUITY</t>
  </si>
  <si>
    <t>Note:  PSESI and PSEUSI were dissolved in 2003.  WEGM was dissolved in March 2004.</t>
  </si>
  <si>
    <t xml:space="preserve">           There were no available for sale securities at 9/30/2007.</t>
  </si>
  <si>
    <t>(add RE additions above to beginnning RE)</t>
  </si>
  <si>
    <t>Oct</t>
  </si>
  <si>
    <t>Projected Equity Adjustments from OCI</t>
  </si>
  <si>
    <t xml:space="preserve">Other (Pension type) </t>
  </si>
  <si>
    <t>$ 000's</t>
  </si>
  <si>
    <t>OCI-FAS 133 (not amortized)</t>
  </si>
  <si>
    <t>OCI-Int Rate Derivatives (Amortized)</t>
  </si>
  <si>
    <t>Total Derivatives OCI Forecast</t>
  </si>
  <si>
    <t xml:space="preserve">Derivatives:  </t>
  </si>
  <si>
    <t>Cumulative Monthly Amortization</t>
  </si>
  <si>
    <t xml:space="preserve">Cost of Preferred Stock </t>
  </si>
  <si>
    <t>Cost Rate (i)</t>
  </si>
  <si>
    <t>30 Yr 6.724%</t>
  </si>
  <si>
    <t>JrSubN 6.974%</t>
  </si>
  <si>
    <t>20 Yr 6.740%</t>
  </si>
  <si>
    <t>2003 PCB's</t>
  </si>
  <si>
    <t>30 Yr 7.350%</t>
  </si>
  <si>
    <t>Projected LIBO Rates (1 mo)</t>
  </si>
  <si>
    <t>UPDATE</t>
  </si>
  <si>
    <t>OLD FORMAT- can delete</t>
  </si>
  <si>
    <t>Prior facilities ran up until:</t>
  </si>
  <si>
    <t>$500mm</t>
  </si>
  <si>
    <t>AR Sec</t>
  </si>
  <si>
    <t>04 Apr 2012</t>
  </si>
  <si>
    <t>20 Dec 2010</t>
  </si>
  <si>
    <t>Commercial Paper (CP)</t>
  </si>
  <si>
    <t>CP Interest</t>
  </si>
  <si>
    <t>5 Year Bank</t>
  </si>
  <si>
    <t>Revolving Credit</t>
  </si>
  <si>
    <t>Accts Rec</t>
  </si>
  <si>
    <t>Securitization</t>
  </si>
  <si>
    <t>Amortization</t>
  </si>
  <si>
    <t>Total Annual</t>
  </si>
  <si>
    <r>
      <t xml:space="preserve">Pre Merger Cost Basis  </t>
    </r>
    <r>
      <rPr>
        <i/>
        <sz val="9"/>
        <color indexed="12"/>
        <rFont val="Arial"/>
        <family val="2"/>
      </rPr>
      <t>(Matches Prior GRC Rebuttal Costs)</t>
    </r>
  </si>
  <si>
    <t>Post Merger Cost Basis</t>
  </si>
  <si>
    <t>No. of Months in Year</t>
  </si>
  <si>
    <t>$400 Million Working Capital Facility</t>
  </si>
  <si>
    <t>$400 Million Capital Expenditure Facility</t>
  </si>
  <si>
    <t xml:space="preserve"> What is the LC rate?</t>
  </si>
  <si>
    <t>Facility Description</t>
  </si>
  <si>
    <t>$400 million</t>
  </si>
  <si>
    <t>Working Capital</t>
  </si>
  <si>
    <t>Capital Expend</t>
  </si>
  <si>
    <t>Get New Fac Amort</t>
  </si>
  <si>
    <t>Avg Monthly Borrowing Rate</t>
  </si>
  <si>
    <t>Total Interest</t>
  </si>
  <si>
    <t>Commitment Fees:</t>
  </si>
  <si>
    <t>Total Commitment Fees</t>
  </si>
  <si>
    <t>Total Amortization</t>
  </si>
  <si>
    <t>Est'd CP Spread</t>
  </si>
  <si>
    <t>Bank Credit Facilities</t>
  </si>
  <si>
    <t>Letters of Credit:</t>
  </si>
  <si>
    <t>Avg of Mo Avg</t>
  </si>
  <si>
    <t>Commitment &amp; LC Fees</t>
  </si>
  <si>
    <r>
      <t xml:space="preserve">(i) </t>
    </r>
    <r>
      <rPr>
        <sz val="8"/>
        <rFont val="Arial"/>
        <family val="2"/>
      </rPr>
      <t xml:space="preserve">  Net proceeds are face amount less underwriter's fees and issuance expenses.</t>
    </r>
  </si>
  <si>
    <t>Interest Rate Components:</t>
  </si>
  <si>
    <t>Credit Facilities</t>
  </si>
  <si>
    <t>Credit Facility Commitments</t>
  </si>
  <si>
    <t>Borrowings (000's):</t>
  </si>
  <si>
    <t>Total Short-term Debt</t>
  </si>
  <si>
    <t>All-in Rate</t>
  </si>
  <si>
    <t>Totals</t>
  </si>
  <si>
    <t>Loan Commitments (000's):</t>
  </si>
  <si>
    <t>Annual Interest Rates:</t>
  </si>
  <si>
    <t>Credit Facilities Interest</t>
  </si>
  <si>
    <t>Amortization:</t>
  </si>
  <si>
    <t>LC Outstanding with Wells (000's)</t>
  </si>
  <si>
    <t>LC Outstanding under Cr Agrmt (000's)</t>
  </si>
  <si>
    <t>Unutilized Portion</t>
  </si>
  <si>
    <t>Commitment Fees (Unutilized portion)</t>
  </si>
  <si>
    <r>
      <t xml:space="preserve">Total LC Fees </t>
    </r>
    <r>
      <rPr>
        <sz val="8"/>
        <rFont val="Arial"/>
        <family val="2"/>
      </rPr>
      <t>($ not in 000's)</t>
    </r>
  </si>
  <si>
    <t>Total and Rate of Return</t>
  </si>
  <si>
    <t>STD Average Balance (in 000's)</t>
  </si>
  <si>
    <t>Principal    in 000's 4/30/2012</t>
  </si>
  <si>
    <r>
      <t>(iv)</t>
    </r>
    <r>
      <rPr>
        <sz val="8"/>
        <rFont val="Arial"/>
        <family val="2"/>
      </rPr>
      <t xml:space="preserve"> For total long term debt, the cost rate is the total annual charge including reacquired debt divided by the average outstanding balance for the period.</t>
    </r>
  </si>
  <si>
    <t>Credit Facilities Margin</t>
  </si>
  <si>
    <t>Interest Expense (i):</t>
  </si>
  <si>
    <r>
      <t xml:space="preserve">(i) </t>
    </r>
    <r>
      <rPr>
        <sz val="8"/>
        <rFont val="Arial"/>
        <family val="2"/>
      </rPr>
      <t>Monthly short-term interest is calculated on the average balance for the month times the interest rate for the month times the actual days in the month divided by 360 days.</t>
    </r>
  </si>
  <si>
    <t>For The 12 Months Ended April 30, 2013</t>
  </si>
  <si>
    <t>Issue  Date</t>
  </si>
  <si>
    <r>
      <t>(a)</t>
    </r>
    <r>
      <rPr>
        <sz val="9"/>
        <rFont val="Arial"/>
        <family val="2"/>
      </rPr>
      <t xml:space="preserve"> - Average of Month-End Balances</t>
    </r>
  </si>
  <si>
    <t>Loan &amp; LOC Utilization</t>
  </si>
  <si>
    <t>Total LT Debt Balances and W. Avg Cost Rate</t>
  </si>
  <si>
    <t>$400mm Operating Capital Facility</t>
  </si>
  <si>
    <t>$400mm Capital Expenditure Facility</t>
  </si>
  <si>
    <t>WNG 9.57%</t>
  </si>
  <si>
    <t>40 Yr 4.95%</t>
  </si>
  <si>
    <t>Cost of Capital and Rate of Return</t>
  </si>
  <si>
    <t>For Rate Year May 2012 through April 2013</t>
  </si>
  <si>
    <t>Granted in 2011 General Rate Case</t>
  </si>
  <si>
    <t>PCB Series 2003A &amp; B</t>
  </si>
  <si>
    <t>2013 PCBs</t>
  </si>
  <si>
    <t>Remaining Bal 18100563:</t>
  </si>
  <si>
    <t>Remaining Bal 18100573:</t>
  </si>
  <si>
    <t>Call Premium:</t>
  </si>
  <si>
    <t>Months to Amortize:</t>
  </si>
  <si>
    <t>Monthly Amort:</t>
  </si>
  <si>
    <t>Annual Amort:</t>
  </si>
  <si>
    <t>Granted in 2011 General Rate Case with New PCB Costs</t>
  </si>
  <si>
    <t>For the 12 Months Ended April 30, 2013 as Granted in 2011 GRC</t>
  </si>
  <si>
    <t>For the 12 Months Ended April 30, 2013 with effect of refinanced PCB's</t>
  </si>
  <si>
    <r>
      <t>(ii)</t>
    </r>
    <r>
      <rPr>
        <sz val="8"/>
        <rFont val="Arial"/>
        <family val="2"/>
      </rPr>
      <t xml:space="preserve"> Cost Rate for each bond is the yield to maturity based on net proceeds.</t>
    </r>
  </si>
  <si>
    <r>
      <t>(iii)</t>
    </r>
    <r>
      <rPr>
        <sz val="8"/>
        <rFont val="Arial"/>
        <family val="2"/>
      </rPr>
      <t xml:space="preserve"> For total long term debt, the cost rate is the total annual charge including reacquired debt divided by the average outstanding balance for the period.</t>
    </r>
  </si>
  <si>
    <t>Remaining unamortized debt issue costs from 2003 PCB's:</t>
  </si>
  <si>
    <t>1% call premium on 2003 PCB's:</t>
  </si>
  <si>
    <t>Total Reaquired Debt Cost of 2003 PCB's:</t>
  </si>
  <si>
    <t>Number of months to amortize over:</t>
  </si>
  <si>
    <t>Monthly amortization amount:</t>
  </si>
  <si>
    <t>Annual amortization amount:</t>
  </si>
  <si>
    <t>(Iv)</t>
  </si>
  <si>
    <t>Annual Charge on Reaquired 2003 PCB's (iv):</t>
  </si>
  <si>
    <t>Cost Rate (ii)</t>
  </si>
  <si>
    <r>
      <t xml:space="preserve">Annual Charge on Reacquired Debt </t>
    </r>
    <r>
      <rPr>
        <b/>
        <sz val="8"/>
        <rFont val="Arial"/>
        <family val="2"/>
      </rPr>
      <t xml:space="preserve">(iii)  </t>
    </r>
  </si>
  <si>
    <t>Cost of Long-Term Debt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</si>
</sst>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0.0000%"/>
    <numFmt numFmtId="167" formatCode="0.000%"/>
    <numFmt numFmtId="168" formatCode="&quot;$&quot;#,##0"/>
    <numFmt numFmtId="169" formatCode="&quot;$&quot;#,##0.0_);\(&quot;$&quot;#,##0.0\)"/>
    <numFmt numFmtId="170" formatCode="_(* #,##0_);_(* \(#,##0\);_(* &quot;-&quot;??_);_(@_)"/>
    <numFmt numFmtId="171" formatCode="0.000000%"/>
    <numFmt numFmtId="172" formatCode="#,##0.0000_);\(#,##0.0000\)"/>
    <numFmt numFmtId="173" formatCode="dd\-mmm\-yy"/>
    <numFmt numFmtId="174" formatCode="&quot; As of &quot;mmmm\ d\,\ yyyy"/>
    <numFmt numFmtId="175" formatCode="0_);[Red]\(0\)"/>
    <numFmt numFmtId="176" formatCode="&quot;$&quot;#,##0\ ;\(&quot;$&quot;#,##0\)"/>
    <numFmt numFmtId="177" formatCode="#.0,,;\(&quot;$&quot;#.0,,\)"/>
    <numFmt numFmtId="178" formatCode="&quot;$&quot;#,000,;\(&quot;$&quot;#,000,\)"/>
    <numFmt numFmtId="179" formatCode="mmmmm\-yy"/>
    <numFmt numFmtId="180" formatCode="_(&quot;$&quot;* #,##0_);_(&quot;$&quot;* \(#,##0\);_(&quot;$&quot;* &quot;-&quot;??_);_(@_)"/>
    <numFmt numFmtId="181" formatCode="0.00_);\(0.00\)"/>
    <numFmt numFmtId="182" formatCode="m/d/yy;@"/>
    <numFmt numFmtId="183" formatCode="[$-409]d\-mmm\-yy;@"/>
    <numFmt numFmtId="184" formatCode="0.000"/>
    <numFmt numFmtId="185" formatCode="&quot;$&quot;#,000.000,;\(&quot;$&quot;#,000.000,\)"/>
    <numFmt numFmtId="186" formatCode="0.00000%"/>
    <numFmt numFmtId="187" formatCode="#,##0.0000"/>
    <numFmt numFmtId="188" formatCode="0.000000"/>
  </numFmts>
  <fonts count="88">
    <font>
      <sz val="9"/>
      <name val="Arial"/>
      <family val="2"/>
    </font>
    <font>
      <sz val="10"/>
      <name val="Arial"/>
      <family val="0"/>
    </font>
    <font>
      <sz val="10"/>
      <name val="Geneva"/>
      <family val="0"/>
    </font>
    <font>
      <sz val="10"/>
      <name val="Times New Roman"/>
      <family val="1"/>
    </font>
    <font>
      <sz val="12"/>
      <name val="Times New Roman"/>
      <family val="1"/>
    </font>
    <font>
      <sz val="10"/>
      <color indexed="10"/>
      <name val="Times New Roman"/>
      <family val="1"/>
    </font>
    <font>
      <sz val="12"/>
      <name val="Geneva"/>
      <family val="0"/>
    </font>
    <font>
      <sz val="10"/>
      <color indexed="24"/>
      <name val="Arial"/>
      <family val="2"/>
    </font>
    <font>
      <b/>
      <sz val="10"/>
      <name val="Arial"/>
      <family val="2"/>
    </font>
    <font>
      <b/>
      <i/>
      <sz val="9"/>
      <name val="Arial"/>
      <family val="2"/>
    </font>
    <font>
      <b/>
      <sz val="9"/>
      <name val="Arial"/>
      <family val="2"/>
    </font>
    <font>
      <sz val="9"/>
      <name val="Times New Roman"/>
      <family val="1"/>
    </font>
    <font>
      <b/>
      <u val="single"/>
      <sz val="8"/>
      <name val="Arial"/>
      <family val="2"/>
    </font>
    <font>
      <b/>
      <sz val="8"/>
      <name val="Arial"/>
      <family val="2"/>
    </font>
    <font>
      <sz val="8"/>
      <name val="Arial"/>
      <family val="2"/>
    </font>
    <font>
      <b/>
      <u val="single"/>
      <sz val="10"/>
      <name val="Arial"/>
      <family val="2"/>
    </font>
    <font>
      <u val="single"/>
      <sz val="10"/>
      <name val="Arial"/>
      <family val="2"/>
    </font>
    <font>
      <sz val="10"/>
      <color indexed="8"/>
      <name val="Arial"/>
      <family val="2"/>
    </font>
    <font>
      <u val="single"/>
      <sz val="10"/>
      <color indexed="8"/>
      <name val="Arial"/>
      <family val="2"/>
    </font>
    <font>
      <b/>
      <sz val="12"/>
      <name val="Arial"/>
      <family val="2"/>
    </font>
    <font>
      <b/>
      <sz val="9"/>
      <name val="Times New Roman"/>
      <family val="1"/>
    </font>
    <font>
      <sz val="8"/>
      <color indexed="8"/>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sz val="8"/>
      <color indexed="10"/>
      <name val="Times New Roman"/>
      <family val="1"/>
    </font>
    <font>
      <b/>
      <sz val="12"/>
      <color indexed="8"/>
      <name val="Times New Roman"/>
      <family val="1"/>
    </font>
    <font>
      <sz val="7"/>
      <name val="Arial"/>
      <family val="2"/>
    </font>
    <font>
      <u val="single"/>
      <sz val="8"/>
      <color indexed="36"/>
      <name val="Arial"/>
      <family val="2"/>
    </font>
    <font>
      <u val="single"/>
      <sz val="8"/>
      <color indexed="12"/>
      <name val="Arial"/>
      <family val="2"/>
    </font>
    <font>
      <u val="single"/>
      <sz val="8"/>
      <name val="Arial"/>
      <family val="2"/>
    </font>
    <font>
      <sz val="8"/>
      <name val="Tahoma"/>
      <family val="2"/>
    </font>
    <font>
      <sz val="8"/>
      <color indexed="12"/>
      <name val="Arial"/>
      <family val="2"/>
    </font>
    <font>
      <b/>
      <i/>
      <sz val="10"/>
      <color indexed="10"/>
      <name val="Arial"/>
      <family val="2"/>
    </font>
    <font>
      <b/>
      <sz val="9"/>
      <color indexed="10"/>
      <name val="Arial"/>
      <family val="2"/>
    </font>
    <font>
      <sz val="7"/>
      <color indexed="10"/>
      <name val="Arial"/>
      <family val="2"/>
    </font>
    <font>
      <b/>
      <sz val="10"/>
      <color indexed="10"/>
      <name val="Tahoma"/>
      <family val="2"/>
    </font>
    <font>
      <b/>
      <i/>
      <sz val="9"/>
      <color indexed="10"/>
      <name val="Arial"/>
      <family val="2"/>
    </font>
    <font>
      <b/>
      <sz val="8"/>
      <name val="Tahoma"/>
      <family val="2"/>
    </font>
    <font>
      <sz val="8"/>
      <color indexed="9"/>
      <name val="Arial"/>
      <family val="2"/>
    </font>
    <font>
      <b/>
      <sz val="12"/>
      <name val="Palatino"/>
      <family val="0"/>
    </font>
    <font>
      <sz val="10"/>
      <color indexed="10"/>
      <name val="Arial"/>
      <family val="2"/>
    </font>
    <font>
      <b/>
      <sz val="12"/>
      <name val="MS Serif"/>
      <family val="1"/>
    </font>
    <font>
      <b/>
      <u val="single"/>
      <sz val="11"/>
      <name val="Palatino"/>
      <family val="0"/>
    </font>
    <font>
      <sz val="12"/>
      <name val="Arial"/>
      <family val="2"/>
    </font>
    <font>
      <sz val="10"/>
      <name val="palatino"/>
      <family val="0"/>
    </font>
    <font>
      <u val="single"/>
      <sz val="10"/>
      <color indexed="12"/>
      <name val="Arial"/>
      <family val="2"/>
    </font>
    <font>
      <sz val="11"/>
      <name val="Palatino"/>
      <family val="0"/>
    </font>
    <font>
      <u val="single"/>
      <sz val="12"/>
      <name val="Arial"/>
      <family val="2"/>
    </font>
    <font>
      <sz val="11"/>
      <name val="Arial"/>
      <family val="2"/>
    </font>
    <font>
      <u val="doubleAccounting"/>
      <sz val="12"/>
      <name val="Arial"/>
      <family val="2"/>
    </font>
    <font>
      <i/>
      <sz val="8"/>
      <name val="Arial"/>
      <family val="2"/>
    </font>
    <font>
      <b/>
      <sz val="10"/>
      <name val="Palatino"/>
      <family val="0"/>
    </font>
    <font>
      <b/>
      <sz val="10"/>
      <color indexed="10"/>
      <name val="Palatino"/>
      <family val="0"/>
    </font>
    <font>
      <b/>
      <sz val="10"/>
      <name val="MS Serif"/>
      <family val="1"/>
    </font>
    <font>
      <b/>
      <u val="single"/>
      <sz val="10"/>
      <name val="Palatino"/>
      <family val="0"/>
    </font>
    <font>
      <u val="single"/>
      <sz val="10"/>
      <name val="palatino"/>
      <family val="0"/>
    </font>
    <font>
      <u val="doubleAccounting"/>
      <sz val="10"/>
      <name val="palatino"/>
      <family val="0"/>
    </font>
    <font>
      <i/>
      <u val="single"/>
      <sz val="8"/>
      <name val="Arial"/>
      <family val="2"/>
    </font>
    <font>
      <sz val="9"/>
      <color indexed="12"/>
      <name val="Palatino"/>
      <family val="0"/>
    </font>
    <font>
      <i/>
      <sz val="9"/>
      <name val="Arial"/>
      <family val="2"/>
    </font>
    <font>
      <b/>
      <sz val="11"/>
      <color indexed="10"/>
      <name val="Arial"/>
      <family val="2"/>
    </font>
    <font>
      <b/>
      <sz val="10"/>
      <color indexed="10"/>
      <name val="Arial"/>
      <family val="2"/>
    </font>
    <font>
      <i/>
      <sz val="9"/>
      <color indexed="12"/>
      <name val="Arial"/>
      <family val="2"/>
    </font>
    <font>
      <sz val="9"/>
      <color indexed="12"/>
      <name val="Arial"/>
      <family val="2"/>
    </font>
    <font>
      <b/>
      <i/>
      <sz val="10"/>
      <name val="Arial"/>
      <family val="2"/>
    </font>
    <font>
      <i/>
      <sz val="9"/>
      <color indexed="10"/>
      <name val="Arial"/>
      <family val="2"/>
    </font>
    <font>
      <sz val="9"/>
      <color indexed="10"/>
      <name val="Arial"/>
      <family val="2"/>
    </font>
    <font>
      <b/>
      <sz val="10"/>
      <color indexed="12"/>
      <name val="Arial"/>
      <family val="2"/>
    </font>
    <font>
      <i/>
      <sz val="8"/>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8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4" borderId="0" applyNumberFormat="0" applyBorder="0" applyAlignment="0" applyProtection="0"/>
    <xf numFmtId="0" fontId="72" fillId="6" borderId="0" applyNumberFormat="0" applyBorder="0" applyAlignment="0" applyProtection="0"/>
    <xf numFmtId="0" fontId="72" fillId="3"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6" borderId="0" applyNumberFormat="0" applyBorder="0" applyAlignment="0" applyProtection="0"/>
    <xf numFmtId="0" fontId="72" fillId="4" borderId="0" applyNumberFormat="0" applyBorder="0" applyAlignment="0" applyProtection="0"/>
    <xf numFmtId="0" fontId="73" fillId="6"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8" borderId="0" applyNumberFormat="0" applyBorder="0" applyAlignment="0" applyProtection="0"/>
    <xf numFmtId="0" fontId="73" fillId="6" borderId="0" applyNumberFormat="0" applyBorder="0" applyAlignment="0" applyProtection="0"/>
    <xf numFmtId="0" fontId="73" fillId="3" borderId="0" applyNumberFormat="0" applyBorder="0" applyAlignment="0" applyProtection="0"/>
    <xf numFmtId="0" fontId="73" fillId="11"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4" fillId="15" borderId="0" applyNumberFormat="0" applyBorder="0" applyAlignment="0" applyProtection="0"/>
    <xf numFmtId="0" fontId="75" fillId="16" borderId="1" applyNumberFormat="0" applyAlignment="0" applyProtection="0"/>
    <xf numFmtId="0" fontId="76" fillId="1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3" fontId="7"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6" fontId="7" fillId="0" borderId="0" applyFont="0" applyFill="0" applyBorder="0" applyAlignment="0" applyProtection="0"/>
    <xf numFmtId="0" fontId="7" fillId="0" borderId="0" applyFont="0" applyFill="0" applyBorder="0" applyAlignment="0" applyProtection="0"/>
    <xf numFmtId="0" fontId="77" fillId="0" borderId="0" applyNumberFormat="0" applyFill="0" applyBorder="0" applyAlignment="0" applyProtection="0"/>
    <xf numFmtId="0" fontId="30" fillId="0" borderId="0" applyNumberFormat="0" applyFill="0" applyBorder="0" applyAlignment="0" applyProtection="0"/>
    <xf numFmtId="0" fontId="78" fillId="6"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1" fillId="0" borderId="0" applyNumberFormat="0" applyFill="0" applyBorder="0" applyAlignment="0" applyProtection="0"/>
    <xf numFmtId="0" fontId="82" fillId="7" borderId="1" applyNumberFormat="0" applyAlignment="0" applyProtection="0"/>
    <xf numFmtId="0" fontId="83" fillId="0" borderId="6" applyNumberFormat="0" applyFill="0" applyAlignment="0" applyProtection="0"/>
    <xf numFmtId="181" fontId="14" fillId="0" borderId="0">
      <alignment/>
      <protection/>
    </xf>
    <xf numFmtId="0" fontId="84" fillId="7" borderId="0" applyNumberFormat="0" applyBorder="0" applyAlignment="0" applyProtection="0"/>
    <xf numFmtId="0" fontId="1" fillId="0" borderId="0">
      <alignment/>
      <protection/>
    </xf>
    <xf numFmtId="0" fontId="2" fillId="0" borderId="0">
      <alignment/>
      <protection/>
    </xf>
    <xf numFmtId="0" fontId="2" fillId="0" borderId="0">
      <alignment/>
      <protection/>
    </xf>
    <xf numFmtId="37" fontId="14" fillId="0" borderId="0">
      <alignment/>
      <protection/>
    </xf>
    <xf numFmtId="37" fontId="2" fillId="0" borderId="0">
      <alignment/>
      <protection/>
    </xf>
    <xf numFmtId="37" fontId="2" fillId="0" borderId="0">
      <alignment/>
      <protection/>
    </xf>
    <xf numFmtId="0" fontId="2" fillId="0" borderId="0">
      <alignment/>
      <protection/>
    </xf>
    <xf numFmtId="37" fontId="2" fillId="0" borderId="0">
      <alignment/>
      <protection/>
    </xf>
    <xf numFmtId="37" fontId="14" fillId="0" borderId="0">
      <alignment/>
      <protection/>
    </xf>
    <xf numFmtId="37" fontId="14" fillId="0" borderId="0">
      <alignment/>
      <protection/>
    </xf>
    <xf numFmtId="3" fontId="0" fillId="0" borderId="0">
      <alignment/>
      <protection/>
    </xf>
    <xf numFmtId="10" fontId="2" fillId="0" borderId="0">
      <alignment/>
      <protection/>
    </xf>
    <xf numFmtId="0" fontId="2" fillId="0" borderId="0">
      <alignment/>
      <protection/>
    </xf>
    <xf numFmtId="0" fontId="2" fillId="0" borderId="0">
      <alignment/>
      <protection/>
    </xf>
    <xf numFmtId="37" fontId="14" fillId="0" borderId="0">
      <alignment/>
      <protection/>
    </xf>
    <xf numFmtId="0" fontId="0" fillId="4" borderId="7" applyNumberFormat="0" applyFont="0" applyAlignment="0" applyProtection="0"/>
    <xf numFmtId="0" fontId="85" fillId="16" borderId="8" applyNumberFormat="0" applyAlignment="0" applyProtection="0"/>
    <xf numFmtId="9" fontId="1" fillId="0" borderId="0" applyFont="0" applyFill="0" applyBorder="0" applyAlignment="0" applyProtection="0"/>
    <xf numFmtId="188" fontId="1" fillId="0" borderId="0">
      <alignment horizontal="left" wrapText="1"/>
      <protection/>
    </xf>
    <xf numFmtId="0" fontId="86" fillId="0" borderId="0" applyNumberFormat="0" applyFill="0" applyBorder="0" applyAlignment="0" applyProtection="0"/>
    <xf numFmtId="0" fontId="87" fillId="0" borderId="9" applyNumberFormat="0" applyFill="0" applyAlignment="0" applyProtection="0"/>
    <xf numFmtId="0" fontId="83" fillId="0" borderId="0" applyNumberFormat="0" applyFill="0" applyBorder="0" applyAlignment="0" applyProtection="0"/>
  </cellStyleXfs>
  <cellXfs count="587">
    <xf numFmtId="37" fontId="0" fillId="0" borderId="0" xfId="0" applyAlignment="1">
      <alignment/>
    </xf>
    <xf numFmtId="37" fontId="3" fillId="0" borderId="0" xfId="65" applyFont="1">
      <alignment/>
      <protection/>
    </xf>
    <xf numFmtId="37" fontId="3" fillId="0" borderId="0" xfId="65" applyFont="1" applyAlignment="1">
      <alignment horizontal="centerContinuous"/>
      <protection/>
    </xf>
    <xf numFmtId="37" fontId="3" fillId="0" borderId="0" xfId="65" applyFont="1" applyAlignment="1" applyProtection="1">
      <alignment horizontal="left"/>
      <protection/>
    </xf>
    <xf numFmtId="37" fontId="3" fillId="0" borderId="0" xfId="65" applyFont="1" applyAlignment="1" applyProtection="1">
      <alignment horizontal="fill"/>
      <protection/>
    </xf>
    <xf numFmtId="10" fontId="3" fillId="0" borderId="0" xfId="65" applyNumberFormat="1" applyFont="1" applyProtection="1">
      <alignment/>
      <protection/>
    </xf>
    <xf numFmtId="37" fontId="3" fillId="0" borderId="0" xfId="65" applyNumberFormat="1" applyFont="1" applyProtection="1">
      <alignment/>
      <protection/>
    </xf>
    <xf numFmtId="37" fontId="3" fillId="0" borderId="0" xfId="65" applyNumberFormat="1" applyFont="1" applyAlignment="1" applyProtection="1">
      <alignment horizontal="fill"/>
      <protection/>
    </xf>
    <xf numFmtId="15" fontId="3" fillId="0" borderId="0" xfId="65" applyNumberFormat="1" applyFont="1" applyProtection="1">
      <alignment/>
      <protection/>
    </xf>
    <xf numFmtId="7" fontId="3" fillId="0" borderId="0" xfId="65" applyNumberFormat="1" applyFont="1" applyProtection="1">
      <alignment/>
      <protection/>
    </xf>
    <xf numFmtId="167" fontId="3" fillId="0" borderId="0" xfId="65" applyNumberFormat="1" applyFont="1" applyProtection="1">
      <alignment/>
      <protection/>
    </xf>
    <xf numFmtId="1" fontId="3" fillId="0" borderId="0" xfId="72" applyNumberFormat="1" applyFont="1" applyProtection="1">
      <alignment/>
      <protection/>
    </xf>
    <xf numFmtId="10" fontId="3" fillId="0" borderId="0" xfId="72" applyFont="1">
      <alignment/>
      <protection/>
    </xf>
    <xf numFmtId="10" fontId="3" fillId="0" borderId="0" xfId="72" applyFont="1" applyAlignment="1" applyProtection="1">
      <alignment horizontal="left"/>
      <protection/>
    </xf>
    <xf numFmtId="37" fontId="3" fillId="0" borderId="0" xfId="0" applyFont="1" applyAlignment="1">
      <alignment/>
    </xf>
    <xf numFmtId="5" fontId="3" fillId="0" borderId="0" xfId="72" applyNumberFormat="1" applyFont="1" applyProtection="1">
      <alignment/>
      <protection/>
    </xf>
    <xf numFmtId="164" fontId="3" fillId="0" borderId="0" xfId="72" applyNumberFormat="1" applyFont="1" applyProtection="1">
      <alignment/>
      <protection/>
    </xf>
    <xf numFmtId="10" fontId="3" fillId="0" borderId="0" xfId="72" applyNumberFormat="1" applyFont="1" applyProtection="1">
      <alignment/>
      <protection/>
    </xf>
    <xf numFmtId="0" fontId="6" fillId="0" borderId="0" xfId="73" applyFont="1">
      <alignment/>
      <protection/>
    </xf>
    <xf numFmtId="0" fontId="4" fillId="0" borderId="0" xfId="73" applyFont="1">
      <alignment/>
      <protection/>
    </xf>
    <xf numFmtId="5" fontId="4" fillId="0" borderId="0" xfId="73" applyNumberFormat="1" applyFont="1" applyProtection="1">
      <alignment/>
      <protection/>
    </xf>
    <xf numFmtId="37" fontId="4" fillId="0" borderId="0" xfId="68" applyFont="1" applyFill="1">
      <alignment/>
      <protection/>
    </xf>
    <xf numFmtId="0" fontId="3" fillId="0" borderId="0" xfId="63" applyFont="1">
      <alignment/>
      <protection/>
    </xf>
    <xf numFmtId="0" fontId="3" fillId="0" borderId="0" xfId="63" applyFont="1" applyFill="1">
      <alignment/>
      <protection/>
    </xf>
    <xf numFmtId="0" fontId="3" fillId="0" borderId="0" xfId="63" applyFont="1" applyAlignment="1" applyProtection="1">
      <alignment horizontal="center"/>
      <protection/>
    </xf>
    <xf numFmtId="0" fontId="3" fillId="0" borderId="0" xfId="63" applyFont="1" applyAlignment="1">
      <alignment horizontal="center"/>
      <protection/>
    </xf>
    <xf numFmtId="0" fontId="5" fillId="0" borderId="0" xfId="63" applyFont="1">
      <alignment/>
      <protection/>
    </xf>
    <xf numFmtId="37" fontId="0" fillId="0" borderId="0" xfId="0" applyFont="1" applyAlignment="1">
      <alignment/>
    </xf>
    <xf numFmtId="37" fontId="10" fillId="0" borderId="0" xfId="0" applyFont="1" applyAlignment="1">
      <alignment/>
    </xf>
    <xf numFmtId="15" fontId="0" fillId="0" borderId="0" xfId="0" applyNumberFormat="1" applyFont="1" applyAlignment="1">
      <alignment horizontal="left"/>
    </xf>
    <xf numFmtId="37" fontId="0" fillId="0" borderId="0" xfId="0" applyFont="1" applyBorder="1" applyAlignment="1">
      <alignment/>
    </xf>
    <xf numFmtId="14" fontId="0" fillId="0" borderId="0" xfId="0" applyNumberFormat="1" applyFont="1" applyBorder="1" applyAlignment="1">
      <alignment/>
    </xf>
    <xf numFmtId="14" fontId="0" fillId="0" borderId="0" xfId="0" applyNumberFormat="1" applyFont="1" applyFill="1" applyBorder="1" applyAlignment="1">
      <alignment/>
    </xf>
    <xf numFmtId="165" fontId="10" fillId="0" borderId="0" xfId="0" applyNumberFormat="1" applyFont="1" applyAlignment="1">
      <alignment horizontal="left"/>
    </xf>
    <xf numFmtId="0" fontId="0" fillId="0" borderId="0" xfId="73" applyFont="1">
      <alignment/>
      <protection/>
    </xf>
    <xf numFmtId="0" fontId="9" fillId="0" borderId="0" xfId="73" applyFont="1" applyFill="1" applyAlignment="1" applyProtection="1" quotePrefix="1">
      <alignment horizontal="center"/>
      <protection/>
    </xf>
    <xf numFmtId="0" fontId="10" fillId="0" borderId="0" xfId="73" applyFont="1" applyFill="1" applyAlignment="1" applyProtection="1">
      <alignment horizontal="center"/>
      <protection/>
    </xf>
    <xf numFmtId="1" fontId="0" fillId="0" borderId="0" xfId="73" applyNumberFormat="1" applyFont="1" applyFill="1" applyAlignment="1" applyProtection="1">
      <alignment horizontal="right"/>
      <protection/>
    </xf>
    <xf numFmtId="7" fontId="0" fillId="0" borderId="0" xfId="73" applyNumberFormat="1" applyFont="1" applyFill="1">
      <alignment/>
      <protection/>
    </xf>
    <xf numFmtId="0" fontId="10" fillId="0" borderId="0" xfId="73" applyFont="1" applyFill="1" applyAlignment="1" applyProtection="1" quotePrefix="1">
      <alignment horizontal="left"/>
      <protection/>
    </xf>
    <xf numFmtId="37" fontId="1" fillId="0" borderId="0" xfId="65" applyFont="1">
      <alignment/>
      <protection/>
    </xf>
    <xf numFmtId="37" fontId="8" fillId="0" borderId="0" xfId="65" applyFont="1">
      <alignment/>
      <protection/>
    </xf>
    <xf numFmtId="37" fontId="8" fillId="0" borderId="0" xfId="65" applyFont="1" applyAlignment="1" applyProtection="1">
      <alignment horizontal="center"/>
      <protection/>
    </xf>
    <xf numFmtId="37" fontId="15" fillId="0" borderId="0" xfId="65" applyFont="1" applyAlignment="1" applyProtection="1">
      <alignment horizontal="center"/>
      <protection/>
    </xf>
    <xf numFmtId="37" fontId="1" fillId="0" borderId="0" xfId="65" applyFont="1" applyAlignment="1" applyProtection="1">
      <alignment horizontal="left"/>
      <protection/>
    </xf>
    <xf numFmtId="10" fontId="1" fillId="0" borderId="0" xfId="65" applyNumberFormat="1" applyFont="1" applyProtection="1">
      <alignment/>
      <protection/>
    </xf>
    <xf numFmtId="37" fontId="0" fillId="0" borderId="0" xfId="0" applyBorder="1" applyAlignment="1">
      <alignment/>
    </xf>
    <xf numFmtId="10" fontId="1" fillId="0" borderId="0" xfId="72" applyFont="1">
      <alignment/>
      <protection/>
    </xf>
    <xf numFmtId="10" fontId="8" fillId="0" borderId="0" xfId="72" applyFont="1" applyAlignment="1">
      <alignment horizontal="center"/>
      <protection/>
    </xf>
    <xf numFmtId="10" fontId="8" fillId="0" borderId="0" xfId="72" applyFont="1" applyAlignment="1" applyProtection="1">
      <alignment horizontal="center"/>
      <protection/>
    </xf>
    <xf numFmtId="10" fontId="15" fillId="0" borderId="0" xfId="72" applyFont="1" applyAlignment="1" applyProtection="1">
      <alignment horizontal="center"/>
      <protection/>
    </xf>
    <xf numFmtId="10" fontId="1" fillId="0" borderId="0" xfId="72" applyFont="1" applyAlignment="1" applyProtection="1">
      <alignment horizontal="left"/>
      <protection/>
    </xf>
    <xf numFmtId="5" fontId="1" fillId="0" borderId="0" xfId="45" applyNumberFormat="1" applyFont="1" applyAlignment="1">
      <alignment horizontal="right"/>
    </xf>
    <xf numFmtId="10" fontId="1" fillId="0" borderId="0" xfId="72" applyFont="1" applyFill="1">
      <alignment/>
      <protection/>
    </xf>
    <xf numFmtId="10" fontId="1" fillId="0" borderId="0" xfId="72" applyFont="1" applyBorder="1">
      <alignment/>
      <protection/>
    </xf>
    <xf numFmtId="0" fontId="10" fillId="0" borderId="0" xfId="73" applyFont="1" applyFill="1" applyBorder="1" applyAlignment="1" applyProtection="1" quotePrefix="1">
      <alignment horizontal="left"/>
      <protection/>
    </xf>
    <xf numFmtId="167" fontId="0" fillId="0" borderId="0" xfId="73" applyNumberFormat="1" applyFont="1" applyFill="1" applyAlignment="1">
      <alignment horizontal="left"/>
      <protection/>
    </xf>
    <xf numFmtId="15" fontId="0" fillId="0" borderId="0" xfId="73" applyNumberFormat="1" applyFont="1" applyFill="1" applyAlignment="1">
      <alignment horizontal="center"/>
      <protection/>
    </xf>
    <xf numFmtId="175" fontId="0" fillId="0" borderId="0" xfId="73" applyNumberFormat="1" applyFont="1" applyFill="1" applyAlignment="1">
      <alignment horizontal="center"/>
      <protection/>
    </xf>
    <xf numFmtId="167" fontId="0" fillId="0" borderId="0" xfId="73" applyNumberFormat="1" applyFont="1" applyFill="1" applyAlignment="1" applyProtection="1">
      <alignment horizontal="left"/>
      <protection/>
    </xf>
    <xf numFmtId="15" fontId="0" fillId="0" borderId="0" xfId="73" applyNumberFormat="1" applyFont="1" applyFill="1" applyAlignment="1" applyProtection="1">
      <alignment horizontal="center"/>
      <protection/>
    </xf>
    <xf numFmtId="15" fontId="20" fillId="0" borderId="0" xfId="73" applyNumberFormat="1" applyFont="1" applyBorder="1" applyAlignment="1">
      <alignment horizontal="left"/>
      <protection/>
    </xf>
    <xf numFmtId="37" fontId="0" fillId="0" borderId="0" xfId="0" applyFont="1" applyBorder="1" applyAlignment="1">
      <alignment horizontal="left"/>
    </xf>
    <xf numFmtId="10" fontId="0" fillId="0" borderId="0" xfId="0" applyNumberFormat="1" applyBorder="1" applyAlignment="1">
      <alignment/>
    </xf>
    <xf numFmtId="174" fontId="10" fillId="0" borderId="0" xfId="73" applyNumberFormat="1" applyFont="1" applyFill="1" applyAlignment="1">
      <alignment horizontal="left"/>
      <protection/>
    </xf>
    <xf numFmtId="0" fontId="0" fillId="0" borderId="0" xfId="63" applyFont="1" applyAlignment="1" applyProtection="1">
      <alignment horizontal="center"/>
      <protection/>
    </xf>
    <xf numFmtId="37" fontId="13" fillId="0" borderId="10" xfId="68" applyFont="1" applyBorder="1" applyAlignment="1" applyProtection="1">
      <alignment horizontal="center" wrapText="1"/>
      <protection/>
    </xf>
    <xf numFmtId="37" fontId="14" fillId="0" borderId="0" xfId="68" applyFont="1">
      <alignment/>
      <protection/>
    </xf>
    <xf numFmtId="37" fontId="25" fillId="0" borderId="0" xfId="68" applyFont="1">
      <alignment/>
      <protection/>
    </xf>
    <xf numFmtId="37" fontId="14" fillId="0" borderId="0" xfId="68" applyFont="1" applyAlignment="1" applyProtection="1">
      <alignment horizontal="left"/>
      <protection/>
    </xf>
    <xf numFmtId="5" fontId="14" fillId="0" borderId="0" xfId="68" applyNumberFormat="1" applyFont="1" applyBorder="1" applyProtection="1">
      <alignment/>
      <protection/>
    </xf>
    <xf numFmtId="5" fontId="22" fillId="0" borderId="0" xfId="68" applyNumberFormat="1" applyFont="1" applyFill="1" applyBorder="1" applyProtection="1">
      <alignment/>
      <protection/>
    </xf>
    <xf numFmtId="37" fontId="13" fillId="0" borderId="0" xfId="68" applyFont="1" applyBorder="1" applyAlignment="1" applyProtection="1">
      <alignment horizontal="left"/>
      <protection/>
    </xf>
    <xf numFmtId="0" fontId="14" fillId="0" borderId="0" xfId="63" applyFont="1" applyAlignment="1" applyProtection="1">
      <alignment horizontal="center"/>
      <protection/>
    </xf>
    <xf numFmtId="37" fontId="13" fillId="0" borderId="0" xfId="65" applyFont="1" applyAlignment="1" applyProtection="1">
      <alignment horizontal="center"/>
      <protection/>
    </xf>
    <xf numFmtId="15" fontId="14" fillId="0" borderId="0" xfId="68" applyNumberFormat="1" applyFont="1" applyBorder="1" applyAlignment="1" applyProtection="1">
      <alignment horizontal="center"/>
      <protection/>
    </xf>
    <xf numFmtId="37" fontId="22" fillId="0" borderId="0" xfId="68" applyNumberFormat="1" applyFont="1" applyBorder="1" applyProtection="1">
      <alignment/>
      <protection/>
    </xf>
    <xf numFmtId="37" fontId="14" fillId="0" borderId="0" xfId="68" applyFont="1" applyBorder="1" applyAlignment="1" applyProtection="1">
      <alignment horizontal="left"/>
      <protection/>
    </xf>
    <xf numFmtId="37" fontId="0" fillId="0" borderId="0" xfId="68" applyFont="1" applyFill="1">
      <alignment/>
      <protection/>
    </xf>
    <xf numFmtId="37" fontId="12" fillId="0" borderId="0" xfId="68" applyFont="1" applyBorder="1" applyAlignment="1" applyProtection="1">
      <alignment horizontal="left"/>
      <protection/>
    </xf>
    <xf numFmtId="0" fontId="14" fillId="0" borderId="0" xfId="73" applyFont="1" applyFill="1">
      <alignment/>
      <protection/>
    </xf>
    <xf numFmtId="7" fontId="13" fillId="0" borderId="0" xfId="73" applyNumberFormat="1" applyFont="1">
      <alignment/>
      <protection/>
    </xf>
    <xf numFmtId="0" fontId="10" fillId="0" borderId="0" xfId="73" applyFont="1" applyAlignment="1" applyProtection="1">
      <alignment horizontal="left"/>
      <protection/>
    </xf>
    <xf numFmtId="0" fontId="10" fillId="0" borderId="0" xfId="73" applyFont="1">
      <alignment/>
      <protection/>
    </xf>
    <xf numFmtId="37" fontId="10" fillId="0" borderId="0" xfId="65" applyFont="1" applyAlignment="1" applyProtection="1">
      <alignment horizontal="left"/>
      <protection/>
    </xf>
    <xf numFmtId="0" fontId="25" fillId="0" borderId="0" xfId="63" applyFont="1" applyAlignment="1" applyProtection="1">
      <alignment horizontal="center"/>
      <protection/>
    </xf>
    <xf numFmtId="0" fontId="25" fillId="0" borderId="0" xfId="63" applyFont="1">
      <alignment/>
      <protection/>
    </xf>
    <xf numFmtId="0" fontId="25" fillId="0" borderId="0" xfId="63" applyFont="1" applyFill="1">
      <alignment/>
      <protection/>
    </xf>
    <xf numFmtId="174" fontId="13" fillId="0" borderId="0" xfId="67" applyNumberFormat="1" applyFont="1" applyFill="1" applyAlignment="1" applyProtection="1">
      <alignment horizontal="center"/>
      <protection/>
    </xf>
    <xf numFmtId="0" fontId="14" fillId="0" borderId="0" xfId="63" applyFont="1">
      <alignment/>
      <protection/>
    </xf>
    <xf numFmtId="37" fontId="13" fillId="0" borderId="0" xfId="68" applyFont="1" applyBorder="1" applyAlignment="1" applyProtection="1">
      <alignment horizontal="center" wrapText="1"/>
      <protection/>
    </xf>
    <xf numFmtId="0" fontId="14" fillId="0" borderId="0" xfId="63" applyFont="1" applyBorder="1">
      <alignment/>
      <protection/>
    </xf>
    <xf numFmtId="0" fontId="14" fillId="0" borderId="0" xfId="63" applyFont="1" applyBorder="1" applyAlignment="1">
      <alignment horizontal="center"/>
      <protection/>
    </xf>
    <xf numFmtId="0" fontId="14" fillId="0" borderId="0" xfId="63" applyFont="1" applyBorder="1" applyAlignment="1" applyProtection="1">
      <alignment horizontal="center"/>
      <protection/>
    </xf>
    <xf numFmtId="0" fontId="25" fillId="0" borderId="0" xfId="63" applyFont="1" applyAlignment="1">
      <alignment horizontal="center"/>
      <protection/>
    </xf>
    <xf numFmtId="173" fontId="14" fillId="0" borderId="0" xfId="68" applyNumberFormat="1" applyFont="1" applyBorder="1" applyProtection="1">
      <alignment/>
      <protection/>
    </xf>
    <xf numFmtId="7" fontId="14" fillId="0" borderId="0" xfId="63" applyNumberFormat="1" applyFont="1" applyBorder="1" applyProtection="1">
      <alignment/>
      <protection/>
    </xf>
    <xf numFmtId="5" fontId="14" fillId="0" borderId="0" xfId="63" applyNumberFormat="1" applyFont="1" applyBorder="1" applyProtection="1">
      <alignment/>
      <protection/>
    </xf>
    <xf numFmtId="0" fontId="27" fillId="0" borderId="0" xfId="63" applyFont="1">
      <alignment/>
      <protection/>
    </xf>
    <xf numFmtId="5" fontId="22" fillId="0" borderId="0" xfId="63" applyNumberFormat="1" applyFont="1" applyFill="1" applyBorder="1" applyProtection="1">
      <alignment/>
      <protection/>
    </xf>
    <xf numFmtId="37" fontId="26" fillId="0" borderId="0" xfId="63" applyNumberFormat="1" applyFont="1" applyProtection="1">
      <alignment/>
      <protection/>
    </xf>
    <xf numFmtId="15" fontId="26" fillId="0" borderId="0" xfId="63" applyNumberFormat="1" applyFont="1" applyProtection="1">
      <alignment/>
      <protection/>
    </xf>
    <xf numFmtId="7" fontId="26" fillId="0" borderId="0" xfId="63" applyNumberFormat="1" applyFont="1" applyProtection="1">
      <alignment/>
      <protection/>
    </xf>
    <xf numFmtId="39" fontId="26" fillId="0" borderId="0" xfId="63" applyNumberFormat="1" applyFont="1" applyProtection="1">
      <alignment/>
      <protection/>
    </xf>
    <xf numFmtId="15" fontId="14" fillId="0" borderId="0" xfId="63" applyNumberFormat="1" applyFont="1" applyBorder="1">
      <alignment/>
      <protection/>
    </xf>
    <xf numFmtId="0" fontId="13" fillId="0" borderId="0" xfId="63" applyFont="1" applyBorder="1" applyAlignment="1">
      <alignment horizontal="right"/>
      <protection/>
    </xf>
    <xf numFmtId="0" fontId="13" fillId="0" borderId="0" xfId="63" applyFont="1" applyBorder="1" applyAlignment="1" applyProtection="1">
      <alignment horizontal="right"/>
      <protection/>
    </xf>
    <xf numFmtId="0" fontId="25" fillId="0" borderId="0" xfId="63" applyFont="1" applyBorder="1">
      <alignment/>
      <protection/>
    </xf>
    <xf numFmtId="5" fontId="14" fillId="0" borderId="0" xfId="63" applyNumberFormat="1" applyFont="1" applyFill="1" applyBorder="1" applyProtection="1">
      <alignment/>
      <protection/>
    </xf>
    <xf numFmtId="0" fontId="25" fillId="0" borderId="0" xfId="63" applyFont="1" applyFill="1" applyBorder="1">
      <alignment/>
      <protection/>
    </xf>
    <xf numFmtId="37" fontId="14" fillId="0" borderId="0" xfId="0" applyFont="1" applyBorder="1" applyAlignment="1">
      <alignment/>
    </xf>
    <xf numFmtId="37" fontId="14" fillId="0" borderId="0" xfId="66" applyNumberFormat="1" applyFont="1" applyProtection="1">
      <alignment/>
      <protection/>
    </xf>
    <xf numFmtId="37" fontId="14" fillId="0" borderId="0" xfId="66" applyNumberFormat="1" applyFont="1" applyBorder="1" applyProtection="1">
      <alignment/>
      <protection/>
    </xf>
    <xf numFmtId="38" fontId="1" fillId="0" borderId="0" xfId="72" applyNumberFormat="1" applyFont="1">
      <alignment/>
      <protection/>
    </xf>
    <xf numFmtId="3" fontId="0" fillId="0" borderId="0" xfId="71" applyFont="1" applyAlignment="1">
      <alignment horizontal="center"/>
      <protection/>
    </xf>
    <xf numFmtId="3" fontId="0" fillId="0" borderId="0" xfId="71" applyFont="1" applyAlignment="1">
      <alignment horizontal="centerContinuous"/>
      <protection/>
    </xf>
    <xf numFmtId="3" fontId="1" fillId="0" borderId="0" xfId="71" applyFont="1">
      <alignment/>
      <protection/>
    </xf>
    <xf numFmtId="3" fontId="1" fillId="0" borderId="0" xfId="71" applyFont="1" applyBorder="1">
      <alignment/>
      <protection/>
    </xf>
    <xf numFmtId="3" fontId="1" fillId="0" borderId="0" xfId="71" applyFont="1" applyAlignment="1">
      <alignment horizontal="center"/>
      <protection/>
    </xf>
    <xf numFmtId="3" fontId="14" fillId="0" borderId="0" xfId="71" applyFont="1" applyAlignment="1">
      <alignment horizontal="center"/>
      <protection/>
    </xf>
    <xf numFmtId="3" fontId="14" fillId="0" borderId="0" xfId="71" applyFont="1">
      <alignment/>
      <protection/>
    </xf>
    <xf numFmtId="3" fontId="13" fillId="0" borderId="0" xfId="71" applyFont="1" applyAlignment="1">
      <alignment horizontal="center"/>
      <protection/>
    </xf>
    <xf numFmtId="167" fontId="13" fillId="0" borderId="0" xfId="71" applyNumberFormat="1" applyFont="1" applyAlignment="1" applyProtection="1">
      <alignment horizontal="center"/>
      <protection/>
    </xf>
    <xf numFmtId="3" fontId="13" fillId="0" borderId="10" xfId="71" applyFont="1" applyBorder="1" applyAlignment="1" applyProtection="1">
      <alignment horizontal="center"/>
      <protection/>
    </xf>
    <xf numFmtId="3" fontId="13" fillId="0" borderId="10" xfId="71" applyFont="1" applyBorder="1" applyAlignment="1" applyProtection="1" quotePrefix="1">
      <alignment horizontal="center"/>
      <protection/>
    </xf>
    <xf numFmtId="3" fontId="22" fillId="0" borderId="0" xfId="71" applyFont="1" applyFill="1">
      <alignment/>
      <protection/>
    </xf>
    <xf numFmtId="3" fontId="14" fillId="0" borderId="0" xfId="71" applyFont="1" applyBorder="1">
      <alignment/>
      <protection/>
    </xf>
    <xf numFmtId="3" fontId="14" fillId="0" borderId="0" xfId="71" applyFont="1" applyAlignment="1">
      <alignment horizontal="left"/>
      <protection/>
    </xf>
    <xf numFmtId="37" fontId="14" fillId="0" borderId="0" xfId="0" applyFont="1" applyAlignment="1">
      <alignment/>
    </xf>
    <xf numFmtId="5" fontId="0" fillId="0" borderId="0" xfId="73" applyNumberFormat="1" applyFont="1" applyProtection="1">
      <alignment/>
      <protection/>
    </xf>
    <xf numFmtId="0" fontId="0" fillId="0" borderId="0" xfId="73" applyFont="1" applyAlignment="1" applyProtection="1">
      <alignment horizontal="left"/>
      <protection/>
    </xf>
    <xf numFmtId="37" fontId="10" fillId="0" borderId="0" xfId="65" applyFont="1" applyAlignment="1" applyProtection="1">
      <alignment horizontal="center"/>
      <protection/>
    </xf>
    <xf numFmtId="37" fontId="13" fillId="0" borderId="0" xfId="0" applyFont="1" applyAlignment="1" quotePrefix="1">
      <alignment/>
    </xf>
    <xf numFmtId="17" fontId="14" fillId="0" borderId="0" xfId="66" applyNumberFormat="1" applyFont="1" applyProtection="1">
      <alignment/>
      <protection/>
    </xf>
    <xf numFmtId="17" fontId="14" fillId="0" borderId="0" xfId="71" applyNumberFormat="1" applyFont="1" applyAlignment="1">
      <alignment horizontal="center"/>
      <protection/>
    </xf>
    <xf numFmtId="178" fontId="22" fillId="0" borderId="0" xfId="62" applyNumberFormat="1" applyFont="1" applyBorder="1" applyProtection="1">
      <alignment/>
      <protection/>
    </xf>
    <xf numFmtId="10" fontId="1" fillId="0" borderId="0" xfId="72" applyNumberFormat="1" applyFont="1" applyAlignment="1" applyProtection="1">
      <alignment horizontal="left"/>
      <protection/>
    </xf>
    <xf numFmtId="10" fontId="1" fillId="0" borderId="0" xfId="72" applyNumberFormat="1" applyFont="1" applyBorder="1" applyAlignment="1" applyProtection="1">
      <alignment horizontal="center"/>
      <protection/>
    </xf>
    <xf numFmtId="10" fontId="24" fillId="0" borderId="0" xfId="72" applyNumberFormat="1" applyFont="1" applyBorder="1" applyAlignment="1" applyProtection="1">
      <alignment horizontal="center"/>
      <protection/>
    </xf>
    <xf numFmtId="10" fontId="1" fillId="0" borderId="0" xfId="72" applyNumberFormat="1" applyFont="1" applyBorder="1">
      <alignment/>
      <protection/>
    </xf>
    <xf numFmtId="10" fontId="3" fillId="0" borderId="0" xfId="65" applyNumberFormat="1" applyFont="1" applyAlignment="1" applyProtection="1">
      <alignment/>
      <protection/>
    </xf>
    <xf numFmtId="10" fontId="0" fillId="0" borderId="0" xfId="0" applyNumberFormat="1" applyAlignment="1">
      <alignment/>
    </xf>
    <xf numFmtId="10" fontId="14" fillId="0" borderId="0" xfId="0" applyNumberFormat="1" applyFont="1" applyFill="1" applyBorder="1" applyAlignment="1">
      <alignment/>
    </xf>
    <xf numFmtId="171" fontId="1" fillId="0" borderId="0" xfId="72" applyNumberFormat="1" applyFont="1">
      <alignment/>
      <protection/>
    </xf>
    <xf numFmtId="3" fontId="13" fillId="0" borderId="0" xfId="71" applyFont="1" quotePrefix="1">
      <alignment/>
      <protection/>
    </xf>
    <xf numFmtId="37" fontId="14" fillId="0" borderId="0" xfId="65" applyFont="1" applyAlignment="1" applyProtection="1">
      <alignment horizontal="center"/>
      <protection/>
    </xf>
    <xf numFmtId="5" fontId="22" fillId="0" borderId="0" xfId="62" applyNumberFormat="1" applyFont="1" applyFill="1" applyBorder="1" applyProtection="1">
      <alignment/>
      <protection/>
    </xf>
    <xf numFmtId="0" fontId="10" fillId="0" borderId="0" xfId="73" applyFont="1" applyFill="1" applyAlignment="1" applyProtection="1" quotePrefix="1">
      <alignment horizontal="center"/>
      <protection/>
    </xf>
    <xf numFmtId="1" fontId="0" fillId="0" borderId="0" xfId="72" applyNumberFormat="1" applyFont="1" applyAlignment="1" applyProtection="1">
      <alignment horizontal="left"/>
      <protection/>
    </xf>
    <xf numFmtId="1" fontId="14" fillId="0" borderId="0" xfId="72" applyNumberFormat="1" applyFont="1" applyAlignment="1" applyProtection="1">
      <alignment horizontal="left"/>
      <protection/>
    </xf>
    <xf numFmtId="10" fontId="8" fillId="0" borderId="0" xfId="72" applyFont="1" applyBorder="1" applyAlignment="1" applyProtection="1">
      <alignment horizontal="center"/>
      <protection/>
    </xf>
    <xf numFmtId="10" fontId="1" fillId="0" borderId="0" xfId="72" applyNumberFormat="1" applyFont="1" applyBorder="1" applyAlignment="1" applyProtection="1">
      <alignment horizontal="left"/>
      <protection/>
    </xf>
    <xf numFmtId="10" fontId="16" fillId="0" borderId="0" xfId="72" applyNumberFormat="1" applyFont="1" applyBorder="1" applyAlignment="1" applyProtection="1">
      <alignment horizontal="center"/>
      <protection/>
    </xf>
    <xf numFmtId="37" fontId="14" fillId="0" borderId="0" xfId="0" applyFont="1" applyFill="1" applyBorder="1" applyAlignment="1">
      <alignment horizontal="left"/>
    </xf>
    <xf numFmtId="5" fontId="28" fillId="0" borderId="0" xfId="62" applyNumberFormat="1" applyFont="1" applyFill="1" applyBorder="1" applyAlignment="1" applyProtection="1">
      <alignment horizontal="left"/>
      <protection/>
    </xf>
    <xf numFmtId="37" fontId="13" fillId="0" borderId="0" xfId="0" applyFont="1" applyBorder="1" applyAlignment="1">
      <alignment/>
    </xf>
    <xf numFmtId="7" fontId="14" fillId="0" borderId="0" xfId="45" applyNumberFormat="1" applyFont="1" applyBorder="1" applyAlignment="1">
      <alignment/>
    </xf>
    <xf numFmtId="5" fontId="22" fillId="0" borderId="0" xfId="63" applyNumberFormat="1" applyFont="1" applyBorder="1" applyProtection="1">
      <alignment/>
      <protection/>
    </xf>
    <xf numFmtId="0" fontId="3" fillId="0" borderId="0" xfId="63" applyFont="1" applyBorder="1">
      <alignment/>
      <protection/>
    </xf>
    <xf numFmtId="37" fontId="0" fillId="0" borderId="0" xfId="68" applyFont="1" applyAlignment="1" applyProtection="1">
      <alignment horizontal="left"/>
      <protection/>
    </xf>
    <xf numFmtId="0" fontId="0" fillId="0" borderId="0" xfId="73" applyFont="1" applyFill="1">
      <alignment/>
      <protection/>
    </xf>
    <xf numFmtId="15" fontId="0" fillId="0" borderId="0" xfId="73" applyNumberFormat="1" applyFont="1" applyFill="1" applyAlignment="1">
      <alignment horizontal="right"/>
      <protection/>
    </xf>
    <xf numFmtId="175" fontId="0" fillId="0" borderId="0" xfId="73" applyNumberFormat="1" applyFont="1" applyFill="1">
      <alignment/>
      <protection/>
    </xf>
    <xf numFmtId="0" fontId="20" fillId="0" borderId="0" xfId="73" applyFont="1" applyAlignment="1" quotePrefix="1">
      <alignment horizontal="left"/>
      <protection/>
    </xf>
    <xf numFmtId="37" fontId="20" fillId="0" borderId="0" xfId="69" applyFont="1" applyBorder="1">
      <alignment/>
      <protection/>
    </xf>
    <xf numFmtId="37" fontId="11" fillId="0" borderId="0" xfId="69" applyFont="1" applyBorder="1">
      <alignment/>
      <protection/>
    </xf>
    <xf numFmtId="0" fontId="11" fillId="0" borderId="0" xfId="73" applyFont="1">
      <alignment/>
      <protection/>
    </xf>
    <xf numFmtId="37" fontId="0" fillId="0" borderId="0" xfId="69" applyFont="1">
      <alignment/>
      <protection/>
    </xf>
    <xf numFmtId="37" fontId="14" fillId="0" borderId="0" xfId="0" applyNumberFormat="1" applyFont="1" applyFill="1" applyAlignment="1">
      <alignment/>
    </xf>
    <xf numFmtId="167" fontId="14" fillId="0" borderId="0" xfId="71" applyNumberFormat="1" applyFont="1" applyFill="1" applyBorder="1" applyProtection="1">
      <alignment/>
      <protection/>
    </xf>
    <xf numFmtId="17" fontId="14" fillId="0" borderId="0" xfId="0" applyNumberFormat="1" applyFont="1" applyFill="1" applyAlignment="1">
      <alignment horizontal="center"/>
    </xf>
    <xf numFmtId="172" fontId="14" fillId="0" borderId="0" xfId="0" applyNumberFormat="1" applyFont="1" applyFill="1" applyAlignment="1">
      <alignment/>
    </xf>
    <xf numFmtId="37" fontId="14" fillId="0" borderId="0" xfId="0" applyFont="1" applyBorder="1" applyAlignment="1">
      <alignment horizontal="center" wrapText="1"/>
    </xf>
    <xf numFmtId="167" fontId="14" fillId="0" borderId="0" xfId="0" applyNumberFormat="1" applyFont="1" applyFill="1" applyAlignment="1">
      <alignment/>
    </xf>
    <xf numFmtId="37" fontId="25" fillId="0" borderId="0" xfId="70" applyFont="1" applyAlignment="1">
      <alignment horizontal="center"/>
      <protection/>
    </xf>
    <xf numFmtId="37" fontId="25" fillId="0" borderId="0" xfId="70" applyFont="1">
      <alignment/>
      <protection/>
    </xf>
    <xf numFmtId="37" fontId="21" fillId="0" borderId="0" xfId="70" applyFont="1">
      <alignment/>
      <protection/>
    </xf>
    <xf numFmtId="37" fontId="27" fillId="0" borderId="0" xfId="70" applyFont="1">
      <alignment/>
      <protection/>
    </xf>
    <xf numFmtId="5" fontId="23" fillId="0" borderId="0" xfId="63" applyNumberFormat="1" applyFont="1" applyBorder="1" applyProtection="1">
      <alignment/>
      <protection/>
    </xf>
    <xf numFmtId="37" fontId="13" fillId="0" borderId="0" xfId="65" applyFont="1" applyAlignment="1" applyProtection="1">
      <alignment horizontal="left"/>
      <protection/>
    </xf>
    <xf numFmtId="39" fontId="14" fillId="0" borderId="0" xfId="70" applyNumberFormat="1">
      <alignment/>
      <protection/>
    </xf>
    <xf numFmtId="5" fontId="23" fillId="0" borderId="11" xfId="63" applyNumberFormat="1" applyFont="1" applyBorder="1" applyProtection="1">
      <alignment/>
      <protection/>
    </xf>
    <xf numFmtId="37" fontId="14" fillId="0" borderId="0" xfId="0" applyFont="1" applyBorder="1" applyAlignment="1">
      <alignment horizontal="center"/>
    </xf>
    <xf numFmtId="37" fontId="14" fillId="0" borderId="0" xfId="0" applyFont="1" applyFill="1" applyBorder="1" applyAlignment="1">
      <alignment horizontal="center"/>
    </xf>
    <xf numFmtId="37" fontId="14" fillId="0" borderId="0" xfId="0" applyFont="1" applyFill="1" applyBorder="1" applyAlignment="1">
      <alignment/>
    </xf>
    <xf numFmtId="0" fontId="0" fillId="0" borderId="0" xfId="73" applyNumberFormat="1" applyFont="1" applyFill="1" applyAlignment="1">
      <alignment horizontal="center"/>
      <protection/>
    </xf>
    <xf numFmtId="174" fontId="8" fillId="0" borderId="0" xfId="72" applyNumberFormat="1" applyFont="1" applyAlignment="1" applyProtection="1">
      <alignment/>
      <protection/>
    </xf>
    <xf numFmtId="37" fontId="32" fillId="0" borderId="0" xfId="0" applyFont="1" applyFill="1" applyBorder="1" applyAlignment="1">
      <alignment horizontal="left"/>
    </xf>
    <xf numFmtId="167" fontId="0" fillId="0" borderId="0" xfId="73" applyNumberFormat="1" applyFont="1" applyFill="1" applyBorder="1" applyAlignment="1">
      <alignment horizontal="left"/>
      <protection/>
    </xf>
    <xf numFmtId="15" fontId="0" fillId="0" borderId="0" xfId="73" applyNumberFormat="1" applyFont="1" applyFill="1" applyBorder="1" applyAlignment="1">
      <alignment horizontal="center"/>
      <protection/>
    </xf>
    <xf numFmtId="7" fontId="0" fillId="0" borderId="0" xfId="73" applyNumberFormat="1" applyFont="1" applyFill="1" applyBorder="1" applyProtection="1">
      <alignment/>
      <protection/>
    </xf>
    <xf numFmtId="3" fontId="13" fillId="0" borderId="0" xfId="71" applyFont="1">
      <alignment/>
      <protection/>
    </xf>
    <xf numFmtId="3" fontId="13" fillId="0" borderId="0" xfId="71" applyFont="1" applyAlignment="1">
      <alignment horizontal="right"/>
      <protection/>
    </xf>
    <xf numFmtId="2" fontId="14" fillId="0" borderId="0" xfId="0" applyNumberFormat="1" applyFont="1" applyFill="1" applyBorder="1" applyAlignment="1">
      <alignment horizontal="center"/>
    </xf>
    <xf numFmtId="10" fontId="14" fillId="0" borderId="0" xfId="68" applyNumberFormat="1" applyFont="1" applyFill="1" applyBorder="1" applyProtection="1">
      <alignment/>
      <protection/>
    </xf>
    <xf numFmtId="10" fontId="1" fillId="0" borderId="0" xfId="72" applyNumberFormat="1" applyFont="1" applyFill="1" applyAlignment="1" applyProtection="1">
      <alignment horizontal="center"/>
      <protection/>
    </xf>
    <xf numFmtId="37" fontId="13" fillId="0" borderId="0" xfId="68" applyFont="1" applyBorder="1" applyAlignment="1" applyProtection="1">
      <alignment horizontal="left" wrapText="1"/>
      <protection/>
    </xf>
    <xf numFmtId="37" fontId="14" fillId="0" borderId="0" xfId="68" applyFont="1" applyFill="1" applyBorder="1" applyAlignment="1" applyProtection="1">
      <alignment horizontal="left"/>
      <protection/>
    </xf>
    <xf numFmtId="182" fontId="14" fillId="0" borderId="0" xfId="68" applyNumberFormat="1" applyFont="1" applyFill="1" applyBorder="1" applyAlignment="1" applyProtection="1">
      <alignment horizontal="center"/>
      <protection/>
    </xf>
    <xf numFmtId="15" fontId="14" fillId="0" borderId="0" xfId="68" applyNumberFormat="1" applyFont="1" applyFill="1" applyBorder="1" applyAlignment="1" applyProtection="1">
      <alignment horizontal="center"/>
      <protection/>
    </xf>
    <xf numFmtId="5" fontId="14" fillId="0" borderId="0" xfId="45" applyNumberFormat="1" applyFont="1" applyFill="1" applyBorder="1" applyAlignment="1">
      <alignment horizontal="right"/>
    </xf>
    <xf numFmtId="38" fontId="14" fillId="0" borderId="0" xfId="68" applyNumberFormat="1" applyFont="1" applyFill="1" applyProtection="1">
      <alignment/>
      <protection/>
    </xf>
    <xf numFmtId="184" fontId="14" fillId="0" borderId="0" xfId="78" applyNumberFormat="1" applyFont="1" applyFill="1" applyAlignment="1">
      <alignment/>
    </xf>
    <xf numFmtId="37" fontId="8" fillId="0" borderId="0" xfId="68" applyFont="1" applyAlignment="1" applyProtection="1">
      <alignment horizontal="left"/>
      <protection/>
    </xf>
    <xf numFmtId="37" fontId="8" fillId="0" borderId="0" xfId="65" applyFont="1" applyBorder="1" applyAlignment="1" applyProtection="1">
      <alignment horizontal="left"/>
      <protection/>
    </xf>
    <xf numFmtId="37" fontId="8" fillId="0" borderId="0" xfId="65" applyFont="1" applyBorder="1" applyAlignment="1" applyProtection="1">
      <alignment horizontal="center"/>
      <protection/>
    </xf>
    <xf numFmtId="37" fontId="13" fillId="0" borderId="10" xfId="68" applyFont="1" applyFill="1" applyBorder="1" applyAlignment="1" applyProtection="1">
      <alignment horizontal="center" wrapText="1"/>
      <protection/>
    </xf>
    <xf numFmtId="37" fontId="12" fillId="0" borderId="0" xfId="68" applyFont="1" applyFill="1" applyBorder="1" applyAlignment="1" applyProtection="1">
      <alignment horizontal="left"/>
      <protection/>
    </xf>
    <xf numFmtId="37" fontId="25" fillId="0" borderId="0" xfId="68" applyFont="1" applyFill="1" applyBorder="1">
      <alignment/>
      <protection/>
    </xf>
    <xf numFmtId="37" fontId="0" fillId="0" borderId="0" xfId="0" applyFill="1" applyAlignment="1">
      <alignment/>
    </xf>
    <xf numFmtId="14" fontId="13" fillId="0" borderId="0" xfId="0" applyNumberFormat="1" applyFont="1" applyFill="1" applyBorder="1" applyAlignment="1">
      <alignment horizontal="right"/>
    </xf>
    <xf numFmtId="37" fontId="14" fillId="0" borderId="0" xfId="66" applyNumberFormat="1" applyFont="1" applyFill="1" applyBorder="1" applyProtection="1">
      <alignment/>
      <protection/>
    </xf>
    <xf numFmtId="0" fontId="13" fillId="0" borderId="0" xfId="63" applyFont="1" applyBorder="1" applyAlignment="1" applyProtection="1">
      <alignment horizontal="left"/>
      <protection/>
    </xf>
    <xf numFmtId="37" fontId="13" fillId="0" borderId="10" xfId="68" applyFont="1" applyBorder="1" applyAlignment="1" applyProtection="1">
      <alignment horizontal="left" wrapText="1"/>
      <protection/>
    </xf>
    <xf numFmtId="37" fontId="22" fillId="0" borderId="0" xfId="68" applyFont="1" applyBorder="1" applyAlignment="1" applyProtection="1">
      <alignment horizontal="left"/>
      <protection/>
    </xf>
    <xf numFmtId="37" fontId="26" fillId="0" borderId="0" xfId="63" applyNumberFormat="1" applyFont="1" applyBorder="1" applyProtection="1">
      <alignment/>
      <protection/>
    </xf>
    <xf numFmtId="15" fontId="26" fillId="0" borderId="0" xfId="63" applyNumberFormat="1" applyFont="1" applyBorder="1" applyProtection="1">
      <alignment/>
      <protection/>
    </xf>
    <xf numFmtId="7" fontId="26" fillId="0" borderId="0" xfId="63" applyNumberFormat="1" applyFont="1" applyBorder="1" applyProtection="1">
      <alignment/>
      <protection/>
    </xf>
    <xf numFmtId="39" fontId="26" fillId="0" borderId="0" xfId="63" applyNumberFormat="1" applyFont="1" applyBorder="1" applyProtection="1">
      <alignment/>
      <protection/>
    </xf>
    <xf numFmtId="0" fontId="3" fillId="0" borderId="0" xfId="63" applyFont="1" applyFill="1" applyBorder="1">
      <alignment/>
      <protection/>
    </xf>
    <xf numFmtId="37" fontId="14" fillId="0" borderId="0" xfId="0" applyFont="1" applyFill="1" applyAlignment="1">
      <alignment/>
    </xf>
    <xf numFmtId="37" fontId="13" fillId="0" borderId="0" xfId="0" applyFont="1" applyFill="1" applyAlignment="1">
      <alignment/>
    </xf>
    <xf numFmtId="37" fontId="10" fillId="0" borderId="0" xfId="0" applyFont="1" applyFill="1" applyAlignment="1">
      <alignment/>
    </xf>
    <xf numFmtId="15" fontId="14" fillId="0" borderId="0" xfId="0" applyNumberFormat="1" applyFont="1" applyFill="1" applyAlignment="1">
      <alignment horizontal="left"/>
    </xf>
    <xf numFmtId="165" fontId="13" fillId="0" borderId="0" xfId="0" applyNumberFormat="1" applyFont="1" applyFill="1" applyAlignment="1">
      <alignment horizontal="left"/>
    </xf>
    <xf numFmtId="37" fontId="14" fillId="0" borderId="0" xfId="65" applyFont="1" applyFill="1" applyAlignment="1" applyProtection="1">
      <alignment horizontal="center"/>
      <protection/>
    </xf>
    <xf numFmtId="37" fontId="13" fillId="0" borderId="0" xfId="65" applyFont="1" applyFill="1" applyAlignment="1" applyProtection="1">
      <alignment horizontal="center"/>
      <protection/>
    </xf>
    <xf numFmtId="17" fontId="14" fillId="0" borderId="0" xfId="0" applyNumberFormat="1" applyFont="1" applyFill="1" applyBorder="1" applyAlignment="1">
      <alignment horizontal="center"/>
    </xf>
    <xf numFmtId="37" fontId="14" fillId="0" borderId="0" xfId="0" applyFont="1" applyFill="1" applyBorder="1" applyAlignment="1">
      <alignment horizontal="center" wrapText="1"/>
    </xf>
    <xf numFmtId="0" fontId="22" fillId="0" borderId="0" xfId="62" applyFont="1" applyFill="1" applyBorder="1" applyProtection="1">
      <alignment/>
      <protection/>
    </xf>
    <xf numFmtId="37" fontId="0" fillId="0" borderId="0" xfId="0" applyFill="1" applyBorder="1" applyAlignment="1">
      <alignment/>
    </xf>
    <xf numFmtId="0" fontId="22" fillId="0" borderId="0" xfId="62" applyFont="1" applyFill="1" applyProtection="1">
      <alignment/>
      <protection/>
    </xf>
    <xf numFmtId="37" fontId="14" fillId="0" borderId="10" xfId="0" applyFont="1" applyFill="1" applyBorder="1" applyAlignment="1">
      <alignment/>
    </xf>
    <xf numFmtId="167" fontId="14" fillId="0" borderId="0" xfId="78" applyNumberFormat="1" applyFont="1" applyFill="1" applyAlignment="1">
      <alignment/>
    </xf>
    <xf numFmtId="10" fontId="14" fillId="0" borderId="0" xfId="0" applyNumberFormat="1" applyFont="1" applyFill="1" applyAlignment="1">
      <alignment/>
    </xf>
    <xf numFmtId="37" fontId="14" fillId="0" borderId="10" xfId="0" applyFont="1" applyFill="1" applyBorder="1" applyAlignment="1">
      <alignment horizontal="center"/>
    </xf>
    <xf numFmtId="183" fontId="14" fillId="0" borderId="0" xfId="0" applyNumberFormat="1" applyFont="1" applyFill="1" applyBorder="1" applyAlignment="1">
      <alignment horizontal="left"/>
    </xf>
    <xf numFmtId="37" fontId="13" fillId="0" borderId="0" xfId="0" applyFont="1" applyFill="1" applyBorder="1" applyAlignment="1">
      <alignment/>
    </xf>
    <xf numFmtId="37" fontId="8" fillId="0" borderId="0" xfId="68" applyFont="1" applyFill="1" applyAlignment="1" applyProtection="1">
      <alignment horizontal="left"/>
      <protection/>
    </xf>
    <xf numFmtId="37" fontId="3" fillId="0" borderId="0" xfId="65" applyFont="1" applyFill="1" applyAlignment="1" applyProtection="1">
      <alignment horizontal="center"/>
      <protection/>
    </xf>
    <xf numFmtId="37" fontId="13" fillId="0" borderId="0" xfId="68" applyFont="1" applyFill="1" applyAlignment="1" applyProtection="1">
      <alignment horizontal="center"/>
      <protection/>
    </xf>
    <xf numFmtId="0" fontId="13" fillId="0" borderId="0" xfId="73" applyFont="1" applyFill="1" applyBorder="1" applyAlignment="1" applyProtection="1">
      <alignment horizontal="center" wrapText="1"/>
      <protection/>
    </xf>
    <xf numFmtId="37" fontId="4" fillId="0" borderId="0" xfId="68" applyFont="1" applyFill="1" applyAlignment="1">
      <alignment horizontal="center"/>
      <protection/>
    </xf>
    <xf numFmtId="0" fontId="0" fillId="0" borderId="0" xfId="63" applyFont="1" applyFill="1" applyAlignment="1" applyProtection="1">
      <alignment horizontal="center"/>
      <protection/>
    </xf>
    <xf numFmtId="0" fontId="14" fillId="0" borderId="0" xfId="63" applyFont="1" applyFill="1" applyAlignment="1" applyProtection="1">
      <alignment horizontal="center"/>
      <protection/>
    </xf>
    <xf numFmtId="37" fontId="14" fillId="0" borderId="0" xfId="68" applyFont="1" applyFill="1">
      <alignment/>
      <protection/>
    </xf>
    <xf numFmtId="37" fontId="25" fillId="0" borderId="0" xfId="68" applyFont="1" applyFill="1">
      <alignment/>
      <protection/>
    </xf>
    <xf numFmtId="37" fontId="14" fillId="0" borderId="0" xfId="68" applyFont="1" applyFill="1" applyBorder="1">
      <alignment/>
      <protection/>
    </xf>
    <xf numFmtId="37" fontId="14" fillId="0" borderId="0" xfId="68" applyFont="1" applyFill="1" applyBorder="1" applyAlignment="1" applyProtection="1">
      <alignment horizontal="right"/>
      <protection/>
    </xf>
    <xf numFmtId="182" fontId="25" fillId="0" borderId="0" xfId="68" applyNumberFormat="1" applyFont="1" applyFill="1" applyBorder="1">
      <alignment/>
      <protection/>
    </xf>
    <xf numFmtId="37" fontId="22" fillId="0" borderId="0" xfId="68" applyNumberFormat="1" applyFont="1" applyFill="1" applyBorder="1" applyProtection="1">
      <alignment/>
      <protection/>
    </xf>
    <xf numFmtId="5" fontId="14" fillId="0" borderId="0" xfId="68" applyNumberFormat="1" applyFont="1" applyFill="1" applyBorder="1" applyProtection="1">
      <alignment/>
      <protection/>
    </xf>
    <xf numFmtId="10" fontId="13" fillId="0" borderId="11" xfId="0" applyNumberFormat="1" applyFont="1" applyFill="1" applyBorder="1" applyAlignment="1">
      <alignment/>
    </xf>
    <xf numFmtId="182" fontId="14" fillId="0" borderId="0" xfId="68" applyNumberFormat="1" applyFont="1" applyFill="1" applyBorder="1">
      <alignment/>
      <protection/>
    </xf>
    <xf numFmtId="182" fontId="12" fillId="0" borderId="0" xfId="68" applyNumberFormat="1" applyFont="1" applyFill="1" applyBorder="1" applyAlignment="1">
      <alignment horizontal="center"/>
      <protection/>
    </xf>
    <xf numFmtId="37" fontId="12" fillId="0" borderId="0" xfId="68" applyFont="1" applyFill="1" applyBorder="1" applyAlignment="1">
      <alignment horizontal="center"/>
      <protection/>
    </xf>
    <xf numFmtId="37" fontId="12" fillId="0" borderId="0" xfId="68" applyFont="1" applyFill="1" applyAlignment="1" applyProtection="1">
      <alignment horizontal="center"/>
      <protection/>
    </xf>
    <xf numFmtId="166" fontId="14" fillId="0" borderId="0" xfId="78" applyNumberFormat="1" applyFont="1" applyFill="1" applyAlignment="1">
      <alignment/>
    </xf>
    <xf numFmtId="10" fontId="14" fillId="0" borderId="0" xfId="78" applyNumberFormat="1" applyFont="1" applyFill="1" applyAlignment="1">
      <alignment/>
    </xf>
    <xf numFmtId="169" fontId="14" fillId="0" borderId="0" xfId="68" applyNumberFormat="1" applyFont="1" applyFill="1" applyBorder="1" applyProtection="1">
      <alignment/>
      <protection/>
    </xf>
    <xf numFmtId="37" fontId="13" fillId="0" borderId="0" xfId="68" applyFont="1" applyFill="1" applyBorder="1" applyAlignment="1" applyProtection="1">
      <alignment horizontal="left"/>
      <protection/>
    </xf>
    <xf numFmtId="3" fontId="13" fillId="0" borderId="0" xfId="71" applyFont="1" applyFill="1" quotePrefix="1">
      <alignment/>
      <protection/>
    </xf>
    <xf numFmtId="37" fontId="25" fillId="0" borderId="0" xfId="68" applyFont="1" applyFill="1" applyAlignment="1">
      <alignment horizontal="center"/>
      <protection/>
    </xf>
    <xf numFmtId="0" fontId="10" fillId="0" borderId="0" xfId="73" applyFont="1" applyFill="1" applyBorder="1" applyAlignment="1" applyProtection="1" quotePrefix="1">
      <alignment horizontal="centerContinuous" vertical="center" wrapText="1"/>
      <protection/>
    </xf>
    <xf numFmtId="5" fontId="34" fillId="0" borderId="0" xfId="62" applyNumberFormat="1" applyFont="1" applyFill="1" applyBorder="1" applyProtection="1">
      <alignment/>
      <protection/>
    </xf>
    <xf numFmtId="10" fontId="34" fillId="0" borderId="0" xfId="0" applyNumberFormat="1" applyFont="1" applyFill="1" applyBorder="1" applyAlignment="1">
      <alignment/>
    </xf>
    <xf numFmtId="183" fontId="34" fillId="0" borderId="0" xfId="0" applyNumberFormat="1" applyFont="1" applyFill="1" applyBorder="1" applyAlignment="1">
      <alignment horizontal="left"/>
    </xf>
    <xf numFmtId="37" fontId="14" fillId="0" borderId="0" xfId="0" applyFont="1" applyFill="1" applyBorder="1" applyAlignment="1">
      <alignment horizontal="left" indent="1"/>
    </xf>
    <xf numFmtId="5" fontId="22" fillId="0" borderId="12" xfId="62" applyNumberFormat="1" applyFont="1" applyFill="1" applyBorder="1" applyProtection="1">
      <alignment/>
      <protection/>
    </xf>
    <xf numFmtId="168" fontId="34" fillId="0" borderId="0" xfId="0" applyNumberFormat="1" applyFont="1" applyFill="1" applyBorder="1" applyAlignment="1">
      <alignment horizontal="left"/>
    </xf>
    <xf numFmtId="37" fontId="32" fillId="0" borderId="0" xfId="0" applyFont="1" applyBorder="1" applyAlignment="1">
      <alignment/>
    </xf>
    <xf numFmtId="17" fontId="14" fillId="0" borderId="0" xfId="66" applyNumberFormat="1" applyFont="1" applyAlignment="1" applyProtection="1">
      <alignment horizontal="right"/>
      <protection/>
    </xf>
    <xf numFmtId="3" fontId="1" fillId="0" borderId="0" xfId="71" applyNumberFormat="1" applyFont="1">
      <alignment/>
      <protection/>
    </xf>
    <xf numFmtId="3" fontId="14" fillId="0" borderId="0" xfId="71" applyFont="1" applyBorder="1" applyAlignment="1">
      <alignment horizontal="center"/>
      <protection/>
    </xf>
    <xf numFmtId="7" fontId="0" fillId="0" borderId="0" xfId="73" applyNumberFormat="1" applyFont="1" applyProtection="1">
      <alignment/>
      <protection/>
    </xf>
    <xf numFmtId="5" fontId="0" fillId="0" borderId="0" xfId="73" applyNumberFormat="1" applyFont="1" applyFill="1" applyAlignment="1">
      <alignment/>
      <protection/>
    </xf>
    <xf numFmtId="0" fontId="13" fillId="0" borderId="0" xfId="73" applyFont="1" applyFill="1" applyBorder="1" applyAlignment="1" applyProtection="1">
      <alignment horizontal="left"/>
      <protection/>
    </xf>
    <xf numFmtId="0" fontId="12" fillId="0" borderId="0" xfId="73" applyFont="1" applyFill="1" applyBorder="1" applyAlignment="1">
      <alignment horizontal="center"/>
      <protection/>
    </xf>
    <xf numFmtId="0" fontId="10" fillId="0" borderId="0" xfId="73" applyFont="1" applyFill="1" applyBorder="1" applyAlignment="1" applyProtection="1">
      <alignment horizontal="centerContinuous" vertical="center" wrapText="1"/>
      <protection/>
    </xf>
    <xf numFmtId="174" fontId="10" fillId="0" borderId="0" xfId="67" applyNumberFormat="1" applyFont="1" applyFill="1" applyBorder="1" applyAlignment="1" applyProtection="1">
      <alignment horizontal="centerContinuous" vertical="center" wrapText="1"/>
      <protection/>
    </xf>
    <xf numFmtId="37" fontId="13" fillId="0" borderId="0" xfId="68" applyFont="1" applyBorder="1" applyAlignment="1" applyProtection="1">
      <alignment horizontal="centerContinuous" vertical="center" wrapText="1"/>
      <protection/>
    </xf>
    <xf numFmtId="174" fontId="13" fillId="0" borderId="0" xfId="67" applyNumberFormat="1" applyFont="1" applyFill="1" applyBorder="1" applyAlignment="1" applyProtection="1">
      <alignment horizontal="centerContinuous" vertical="center" wrapText="1"/>
      <protection/>
    </xf>
    <xf numFmtId="0" fontId="34" fillId="0" borderId="0" xfId="63" applyFont="1" applyBorder="1" applyAlignment="1">
      <alignment horizontal="center"/>
      <protection/>
    </xf>
    <xf numFmtId="0" fontId="14" fillId="0" borderId="0" xfId="63" applyFont="1" applyBorder="1" applyAlignment="1">
      <alignment horizontal="left" indent="1"/>
      <protection/>
    </xf>
    <xf numFmtId="5" fontId="22" fillId="0" borderId="11" xfId="63" applyNumberFormat="1" applyFont="1" applyBorder="1" applyProtection="1">
      <alignment/>
      <protection/>
    </xf>
    <xf numFmtId="37" fontId="10" fillId="0" borderId="0" xfId="0" applyFont="1" applyAlignment="1">
      <alignment horizontal="left"/>
    </xf>
    <xf numFmtId="37" fontId="0" fillId="0" borderId="0" xfId="0" applyAlignment="1">
      <alignment horizontal="center"/>
    </xf>
    <xf numFmtId="5" fontId="13" fillId="0" borderId="0" xfId="0" applyNumberFormat="1" applyFont="1" applyFill="1" applyBorder="1" applyAlignment="1">
      <alignment/>
    </xf>
    <xf numFmtId="37" fontId="32" fillId="0" borderId="0" xfId="0" applyFont="1" applyFill="1" applyBorder="1" applyAlignment="1">
      <alignment/>
    </xf>
    <xf numFmtId="5" fontId="23" fillId="0" borderId="0" xfId="62" applyNumberFormat="1" applyFont="1" applyFill="1" applyBorder="1" applyProtection="1">
      <alignment/>
      <protection/>
    </xf>
    <xf numFmtId="37" fontId="22" fillId="0" borderId="0" xfId="62" applyNumberFormat="1" applyFont="1" applyFill="1" applyBorder="1" applyProtection="1">
      <alignment/>
      <protection/>
    </xf>
    <xf numFmtId="37" fontId="36" fillId="0" borderId="0" xfId="0" applyFont="1" applyFill="1" applyBorder="1" applyAlignment="1">
      <alignment horizontal="center"/>
    </xf>
    <xf numFmtId="37" fontId="37" fillId="0" borderId="0" xfId="62" applyNumberFormat="1" applyFont="1" applyFill="1" applyBorder="1" applyAlignment="1" applyProtection="1">
      <alignment horizontal="center"/>
      <protection/>
    </xf>
    <xf numFmtId="5" fontId="14" fillId="0" borderId="11" xfId="45" applyNumberFormat="1" applyFont="1" applyFill="1" applyBorder="1" applyAlignment="1">
      <alignment horizontal="right"/>
    </xf>
    <xf numFmtId="5" fontId="14" fillId="0" borderId="11" xfId="68" applyNumberFormat="1" applyFont="1" applyFill="1" applyBorder="1">
      <alignment/>
      <protection/>
    </xf>
    <xf numFmtId="10" fontId="38" fillId="0" borderId="0" xfId="72" applyFont="1">
      <alignment/>
      <protection/>
    </xf>
    <xf numFmtId="10" fontId="38" fillId="0" borderId="0" xfId="72" applyFont="1" quotePrefix="1">
      <alignment/>
      <protection/>
    </xf>
    <xf numFmtId="180" fontId="47" fillId="0" borderId="0" xfId="61" applyNumberFormat="1" applyFont="1">
      <alignment/>
      <protection/>
    </xf>
    <xf numFmtId="37" fontId="39" fillId="0" borderId="0" xfId="0" applyFont="1" applyAlignment="1">
      <alignment horizontal="left"/>
    </xf>
    <xf numFmtId="4" fontId="41" fillId="0" borderId="0" xfId="71" applyNumberFormat="1" applyFont="1" applyAlignment="1">
      <alignment horizontal="right"/>
      <protection/>
    </xf>
    <xf numFmtId="0" fontId="47" fillId="0" borderId="0" xfId="61" applyFont="1">
      <alignment/>
      <protection/>
    </xf>
    <xf numFmtId="0" fontId="1" fillId="0" borderId="0" xfId="61" applyFont="1">
      <alignment/>
      <protection/>
    </xf>
    <xf numFmtId="0" fontId="48" fillId="0" borderId="0" xfId="61" applyFont="1">
      <alignment/>
      <protection/>
    </xf>
    <xf numFmtId="0" fontId="16" fillId="0" borderId="0" xfId="61" applyFont="1">
      <alignment/>
      <protection/>
    </xf>
    <xf numFmtId="15" fontId="42" fillId="0" borderId="0" xfId="66" applyNumberFormat="1" applyFont="1" applyAlignment="1" applyProtection="1">
      <alignment horizontal="center"/>
      <protection/>
    </xf>
    <xf numFmtId="0" fontId="1" fillId="0" borderId="0" xfId="61">
      <alignment/>
      <protection/>
    </xf>
    <xf numFmtId="37" fontId="42" fillId="0" borderId="0" xfId="66" applyFont="1" applyAlignment="1">
      <alignment horizontal="center"/>
      <protection/>
    </xf>
    <xf numFmtId="0" fontId="43" fillId="0" borderId="0" xfId="61" applyFont="1">
      <alignment/>
      <protection/>
    </xf>
    <xf numFmtId="16" fontId="44" fillId="0" borderId="0" xfId="61" applyNumberFormat="1" applyFont="1" applyAlignment="1">
      <alignment horizontal="center"/>
      <protection/>
    </xf>
    <xf numFmtId="37" fontId="14" fillId="0" borderId="0" xfId="71" applyNumberFormat="1" applyFont="1" applyFill="1" applyAlignment="1">
      <alignment horizontal="center"/>
      <protection/>
    </xf>
    <xf numFmtId="15" fontId="45" fillId="0" borderId="0" xfId="74" applyNumberFormat="1" applyFont="1" applyAlignment="1" applyProtection="1">
      <alignment horizontal="center"/>
      <protection/>
    </xf>
    <xf numFmtId="0" fontId="1" fillId="0" borderId="0" xfId="61" applyAlignment="1">
      <alignment wrapText="1"/>
      <protection/>
    </xf>
    <xf numFmtId="180" fontId="46" fillId="0" borderId="0" xfId="45" applyNumberFormat="1" applyFont="1" applyAlignment="1">
      <alignment/>
    </xf>
    <xf numFmtId="37" fontId="14" fillId="0" borderId="0" xfId="64">
      <alignment/>
      <protection/>
    </xf>
    <xf numFmtId="175" fontId="14" fillId="0" borderId="0" xfId="64" applyNumberFormat="1" applyFont="1" applyAlignment="1">
      <alignment horizontal="right" wrapText="1"/>
      <protection/>
    </xf>
    <xf numFmtId="175" fontId="14" fillId="18" borderId="0" xfId="64" applyNumberFormat="1" applyFont="1" applyFill="1" applyAlignment="1">
      <alignment horizontal="right" wrapText="1"/>
      <protection/>
    </xf>
    <xf numFmtId="170" fontId="14" fillId="0" borderId="0" xfId="42" applyNumberFormat="1" applyFont="1" applyAlignment="1">
      <alignment/>
    </xf>
    <xf numFmtId="41" fontId="46" fillId="0" borderId="0" xfId="61" applyNumberFormat="1" applyFont="1" applyFill="1">
      <alignment/>
      <protection/>
    </xf>
    <xf numFmtId="0" fontId="1" fillId="0" borderId="0" xfId="61" applyFill="1">
      <alignment/>
      <protection/>
    </xf>
    <xf numFmtId="41" fontId="46" fillId="0" borderId="0" xfId="61" applyNumberFormat="1" applyFont="1">
      <alignment/>
      <protection/>
    </xf>
    <xf numFmtId="170" fontId="14" fillId="18" borderId="0" xfId="42" applyNumberFormat="1" applyFont="1" applyFill="1" applyAlignment="1">
      <alignment/>
    </xf>
    <xf numFmtId="41" fontId="46" fillId="0" borderId="10" xfId="61" applyNumberFormat="1" applyFont="1" applyBorder="1">
      <alignment/>
      <protection/>
    </xf>
    <xf numFmtId="180" fontId="50" fillId="0" borderId="0" xfId="45" applyNumberFormat="1" applyFont="1" applyAlignment="1">
      <alignment/>
    </xf>
    <xf numFmtId="180" fontId="1" fillId="0" borderId="0" xfId="61" applyNumberFormat="1">
      <alignment/>
      <protection/>
    </xf>
    <xf numFmtId="15" fontId="51" fillId="0" borderId="0" xfId="74" applyNumberFormat="1" applyFont="1" applyAlignment="1" applyProtection="1">
      <alignment/>
      <protection/>
    </xf>
    <xf numFmtId="180" fontId="52" fillId="0" borderId="0" xfId="45" applyNumberFormat="1" applyFont="1" applyAlignment="1">
      <alignment/>
    </xf>
    <xf numFmtId="15" fontId="49" fillId="0" borderId="0" xfId="74" applyNumberFormat="1" applyFont="1" applyAlignment="1" applyProtection="1">
      <alignment/>
      <protection/>
    </xf>
    <xf numFmtId="0" fontId="1" fillId="0" borderId="0" xfId="61" applyAlignment="1">
      <alignment/>
      <protection/>
    </xf>
    <xf numFmtId="37" fontId="53" fillId="0" borderId="0" xfId="64" applyFont="1">
      <alignment/>
      <protection/>
    </xf>
    <xf numFmtId="10" fontId="16" fillId="0" borderId="0" xfId="72" applyNumberFormat="1" applyFont="1" applyFill="1" applyAlignment="1" applyProtection="1">
      <alignment horizontal="center"/>
      <protection/>
    </xf>
    <xf numFmtId="0" fontId="1" fillId="0" borderId="0" xfId="61" applyFont="1">
      <alignment/>
      <protection/>
    </xf>
    <xf numFmtId="16" fontId="56" fillId="0" borderId="0" xfId="61" applyNumberFormat="1" applyFont="1" applyAlignment="1">
      <alignment horizontal="center"/>
      <protection/>
    </xf>
    <xf numFmtId="15" fontId="57" fillId="0" borderId="0" xfId="74" applyNumberFormat="1" applyFont="1" applyAlignment="1" applyProtection="1">
      <alignment horizontal="centerContinuous"/>
      <protection/>
    </xf>
    <xf numFmtId="0" fontId="56" fillId="0" borderId="0" xfId="61" applyFont="1">
      <alignment/>
      <protection/>
    </xf>
    <xf numFmtId="15" fontId="54" fillId="0" borderId="0" xfId="74" applyNumberFormat="1" applyFont="1" applyAlignment="1" applyProtection="1">
      <alignment horizontal="centerContinuous"/>
      <protection/>
    </xf>
    <xf numFmtId="180" fontId="47" fillId="0" borderId="0" xfId="45" applyNumberFormat="1" applyFont="1" applyAlignment="1">
      <alignment/>
    </xf>
    <xf numFmtId="15" fontId="54" fillId="0" borderId="0" xfId="74" applyNumberFormat="1" applyFont="1" applyAlignment="1" applyProtection="1">
      <alignment horizontal="left"/>
      <protection/>
    </xf>
    <xf numFmtId="15" fontId="47" fillId="0" borderId="0" xfId="74" applyNumberFormat="1" applyFont="1" applyFill="1" applyAlignment="1" applyProtection="1">
      <alignment horizontal="left"/>
      <protection/>
    </xf>
    <xf numFmtId="180" fontId="47" fillId="0" borderId="0" xfId="45" applyNumberFormat="1" applyFont="1" applyFill="1" applyAlignment="1">
      <alignment/>
    </xf>
    <xf numFmtId="15" fontId="47" fillId="0" borderId="0" xfId="74" applyNumberFormat="1" applyFont="1" applyAlignment="1" applyProtection="1">
      <alignment horizontal="left"/>
      <protection/>
    </xf>
    <xf numFmtId="41" fontId="47" fillId="0" borderId="0" xfId="61" applyNumberFormat="1" applyFont="1">
      <alignment/>
      <protection/>
    </xf>
    <xf numFmtId="41" fontId="47" fillId="0" borderId="10" xfId="61" applyNumberFormat="1" applyFont="1" applyBorder="1">
      <alignment/>
      <protection/>
    </xf>
    <xf numFmtId="15" fontId="54" fillId="0" borderId="0" xfId="74" applyNumberFormat="1" applyFont="1" applyAlignment="1" applyProtection="1">
      <alignment horizontal="center"/>
      <protection/>
    </xf>
    <xf numFmtId="180" fontId="58" fillId="0" borderId="0" xfId="45" applyNumberFormat="1" applyFont="1" applyAlignment="1">
      <alignment/>
    </xf>
    <xf numFmtId="15" fontId="1" fillId="0" borderId="0" xfId="74" applyNumberFormat="1" applyFont="1" applyAlignment="1" applyProtection="1">
      <alignment/>
      <protection/>
    </xf>
    <xf numFmtId="180" fontId="59" fillId="0" borderId="0" xfId="45" applyNumberFormat="1" applyFont="1" applyAlignment="1">
      <alignment/>
    </xf>
    <xf numFmtId="15" fontId="47" fillId="0" borderId="0" xfId="74" applyNumberFormat="1" applyFont="1" applyAlignment="1" applyProtection="1">
      <alignment/>
      <protection/>
    </xf>
    <xf numFmtId="0" fontId="1" fillId="0" borderId="0" xfId="61" applyFont="1" applyAlignment="1">
      <alignment horizontal="right"/>
      <protection/>
    </xf>
    <xf numFmtId="0" fontId="60" fillId="0" borderId="0" xfId="61" applyFont="1" applyAlignment="1">
      <alignment horizontal="right"/>
      <protection/>
    </xf>
    <xf numFmtId="170" fontId="1" fillId="0" borderId="0" xfId="61" applyNumberFormat="1">
      <alignment/>
      <protection/>
    </xf>
    <xf numFmtId="170" fontId="14" fillId="0" borderId="12" xfId="42" applyNumberFormat="1" applyFont="1" applyBorder="1" applyAlignment="1">
      <alignment/>
    </xf>
    <xf numFmtId="0" fontId="8" fillId="0" borderId="0" xfId="61" applyFont="1" applyAlignment="1">
      <alignment horizontal="right"/>
      <protection/>
    </xf>
    <xf numFmtId="0" fontId="15" fillId="0" borderId="0" xfId="61" applyFont="1" applyAlignment="1">
      <alignment horizontal="right"/>
      <protection/>
    </xf>
    <xf numFmtId="175" fontId="14" fillId="0" borderId="0" xfId="64" applyNumberFormat="1" applyFont="1" applyFill="1" applyAlignment="1">
      <alignment horizontal="right" wrapText="1"/>
      <protection/>
    </xf>
    <xf numFmtId="7" fontId="61" fillId="0" borderId="0" xfId="45" applyNumberFormat="1" applyFont="1" applyAlignment="1" applyProtection="1">
      <alignment/>
      <protection/>
    </xf>
    <xf numFmtId="170" fontId="14" fillId="18" borderId="12" xfId="42" applyNumberFormat="1" applyFont="1" applyFill="1" applyBorder="1" applyAlignment="1">
      <alignment/>
    </xf>
    <xf numFmtId="170" fontId="14" fillId="0" borderId="0" xfId="42" applyNumberFormat="1" applyFont="1" applyFill="1" applyAlignment="1">
      <alignment/>
    </xf>
    <xf numFmtId="170" fontId="34" fillId="0" borderId="0" xfId="42" applyNumberFormat="1" applyFont="1" applyAlignment="1">
      <alignment/>
    </xf>
    <xf numFmtId="170" fontId="34" fillId="18" borderId="0" xfId="42" applyNumberFormat="1" applyFont="1" applyFill="1" applyAlignment="1">
      <alignment/>
    </xf>
    <xf numFmtId="10" fontId="25" fillId="0" borderId="0" xfId="78" applyNumberFormat="1" applyFont="1" applyFill="1" applyAlignment="1">
      <alignment/>
    </xf>
    <xf numFmtId="167" fontId="25" fillId="0" borderId="0" xfId="78" applyNumberFormat="1" applyFont="1" applyFill="1" applyAlignment="1">
      <alignment/>
    </xf>
    <xf numFmtId="37" fontId="10" fillId="0" borderId="0" xfId="68" applyFont="1" applyBorder="1" applyAlignment="1" applyProtection="1">
      <alignment horizontal="centerContinuous" vertical="center" wrapText="1"/>
      <protection/>
    </xf>
    <xf numFmtId="5" fontId="10" fillId="0" borderId="11" xfId="73" applyNumberFormat="1" applyFont="1" applyFill="1" applyBorder="1" applyAlignment="1" applyProtection="1">
      <alignment/>
      <protection/>
    </xf>
    <xf numFmtId="5" fontId="18" fillId="0" borderId="0" xfId="65" applyNumberFormat="1" applyFont="1" applyFill="1" applyBorder="1" applyAlignment="1" applyProtection="1">
      <alignment horizontal="center"/>
      <protection/>
    </xf>
    <xf numFmtId="5" fontId="35" fillId="0" borderId="0" xfId="72" applyNumberFormat="1" applyFont="1" applyFill="1" applyBorder="1" applyAlignment="1" applyProtection="1">
      <alignment horizontal="center"/>
      <protection/>
    </xf>
    <xf numFmtId="5" fontId="1" fillId="0" borderId="0" xfId="45" applyNumberFormat="1" applyFont="1" applyFill="1" applyBorder="1" applyAlignment="1">
      <alignment horizontal="right"/>
    </xf>
    <xf numFmtId="5" fontId="1" fillId="0" borderId="0" xfId="72" applyNumberFormat="1" applyFont="1" applyFill="1" applyBorder="1" applyAlignment="1">
      <alignment horizontal="right"/>
      <protection/>
    </xf>
    <xf numFmtId="5" fontId="16" fillId="0" borderId="0" xfId="72" applyNumberFormat="1" applyFont="1" applyFill="1" applyBorder="1" applyAlignment="1" applyProtection="1">
      <alignment horizontal="right"/>
      <protection/>
    </xf>
    <xf numFmtId="10" fontId="1" fillId="0" borderId="0" xfId="72" applyFont="1" applyFill="1" applyBorder="1" applyAlignment="1" applyProtection="1">
      <alignment horizontal="right"/>
      <protection/>
    </xf>
    <xf numFmtId="5" fontId="24" fillId="0" borderId="0" xfId="72" applyNumberFormat="1" applyFont="1" applyFill="1" applyBorder="1" applyAlignment="1" applyProtection="1">
      <alignment horizontal="right"/>
      <protection/>
    </xf>
    <xf numFmtId="166" fontId="17" fillId="0" borderId="0" xfId="65" applyNumberFormat="1" applyFont="1" applyFill="1" applyBorder="1" applyAlignment="1" applyProtection="1">
      <alignment horizontal="center"/>
      <protection/>
    </xf>
    <xf numFmtId="10" fontId="17" fillId="0" borderId="0" xfId="65" applyNumberFormat="1" applyFont="1" applyFill="1" applyBorder="1" applyAlignment="1" applyProtection="1">
      <alignment horizontal="center"/>
      <protection/>
    </xf>
    <xf numFmtId="5" fontId="17" fillId="0" borderId="0" xfId="65" applyNumberFormat="1" applyFont="1" applyFill="1" applyBorder="1" applyAlignment="1">
      <alignment horizontal="center"/>
      <protection/>
    </xf>
    <xf numFmtId="5" fontId="16" fillId="0" borderId="0" xfId="65" applyNumberFormat="1" applyFont="1" applyFill="1" applyBorder="1" applyAlignment="1" applyProtection="1">
      <alignment horizontal="center"/>
      <protection/>
    </xf>
    <xf numFmtId="5" fontId="1" fillId="0" borderId="0" xfId="65" applyNumberFormat="1" applyFont="1" applyFill="1" applyBorder="1" applyProtection="1">
      <alignment/>
      <protection/>
    </xf>
    <xf numFmtId="5" fontId="17" fillId="0" borderId="0" xfId="65" applyNumberFormat="1" applyFont="1" applyFill="1" applyBorder="1" applyProtection="1">
      <alignment/>
      <protection/>
    </xf>
    <xf numFmtId="5" fontId="17" fillId="0" borderId="0" xfId="65" applyNumberFormat="1" applyFont="1" applyFill="1" applyBorder="1">
      <alignment/>
      <protection/>
    </xf>
    <xf numFmtId="170" fontId="17" fillId="0" borderId="0" xfId="42" applyNumberFormat="1" applyFont="1" applyFill="1" applyBorder="1" applyAlignment="1">
      <alignment/>
    </xf>
    <xf numFmtId="5" fontId="18" fillId="0" borderId="0" xfId="65" applyNumberFormat="1" applyFont="1" applyFill="1" applyBorder="1">
      <alignment/>
      <protection/>
    </xf>
    <xf numFmtId="5" fontId="16" fillId="0" borderId="0" xfId="65" applyNumberFormat="1" applyFont="1" applyFill="1" applyBorder="1">
      <alignment/>
      <protection/>
    </xf>
    <xf numFmtId="5" fontId="1" fillId="0" borderId="0" xfId="65" applyNumberFormat="1" applyFont="1" applyFill="1" applyBorder="1">
      <alignment/>
      <protection/>
    </xf>
    <xf numFmtId="5" fontId="8" fillId="0" borderId="0" xfId="65" applyNumberFormat="1" applyFont="1" applyFill="1" applyBorder="1">
      <alignment/>
      <protection/>
    </xf>
    <xf numFmtId="37" fontId="23" fillId="0" borderId="0" xfId="62" applyNumberFormat="1" applyFont="1" applyFill="1" applyBorder="1" applyProtection="1">
      <alignment/>
      <protection/>
    </xf>
    <xf numFmtId="37" fontId="35" fillId="0" borderId="0" xfId="0" applyFont="1" applyFill="1" applyBorder="1" applyAlignment="1">
      <alignment horizontal="right"/>
    </xf>
    <xf numFmtId="170" fontId="14" fillId="0" borderId="0" xfId="42" applyNumberFormat="1" applyFont="1" applyFill="1" applyBorder="1" applyAlignment="1">
      <alignment/>
    </xf>
    <xf numFmtId="38" fontId="14" fillId="0" borderId="0" xfId="45" applyNumberFormat="1" applyFont="1" applyFill="1" applyBorder="1" applyAlignment="1">
      <alignment/>
    </xf>
    <xf numFmtId="5" fontId="13" fillId="0" borderId="11" xfId="0" applyNumberFormat="1" applyFont="1" applyFill="1" applyBorder="1" applyAlignment="1">
      <alignment/>
    </xf>
    <xf numFmtId="5" fontId="22" fillId="0" borderId="11" xfId="62" applyNumberFormat="1" applyFont="1" applyFill="1" applyBorder="1" applyProtection="1">
      <alignment/>
      <protection/>
    </xf>
    <xf numFmtId="37" fontId="23" fillId="0" borderId="12" xfId="62" applyNumberFormat="1" applyFont="1" applyFill="1" applyBorder="1" applyProtection="1">
      <alignment/>
      <protection/>
    </xf>
    <xf numFmtId="5" fontId="23" fillId="0" borderId="11" xfId="62" applyNumberFormat="1" applyFont="1" applyFill="1" applyBorder="1" applyProtection="1">
      <alignment/>
      <protection/>
    </xf>
    <xf numFmtId="37" fontId="14" fillId="0" borderId="11" xfId="0" applyFont="1" applyFill="1" applyBorder="1" applyAlignment="1">
      <alignment/>
    </xf>
    <xf numFmtId="37" fontId="14" fillId="0" borderId="11" xfId="66" applyNumberFormat="1" applyFont="1" applyBorder="1" applyProtection="1">
      <alignment/>
      <protection/>
    </xf>
    <xf numFmtId="10" fontId="1" fillId="0" borderId="0" xfId="72" applyNumberFormat="1" applyFont="1" applyFill="1" applyBorder="1" applyAlignment="1" applyProtection="1">
      <alignment horizontal="center"/>
      <protection/>
    </xf>
    <xf numFmtId="10" fontId="15" fillId="0" borderId="0" xfId="72" applyFont="1" applyAlignment="1" applyProtection="1">
      <alignment horizontal="right"/>
      <protection/>
    </xf>
    <xf numFmtId="10" fontId="62" fillId="0" borderId="0" xfId="72" applyFont="1" applyAlignment="1" applyProtection="1">
      <alignment horizontal="right"/>
      <protection/>
    </xf>
    <xf numFmtId="37" fontId="63" fillId="0" borderId="0" xfId="0" applyFont="1" applyFill="1" applyAlignment="1">
      <alignment/>
    </xf>
    <xf numFmtId="37" fontId="63" fillId="7" borderId="0" xfId="0" applyFont="1" applyFill="1" applyAlignment="1">
      <alignment/>
    </xf>
    <xf numFmtId="37" fontId="0" fillId="7" borderId="0" xfId="0" applyFill="1" applyAlignment="1">
      <alignment/>
    </xf>
    <xf numFmtId="37" fontId="0" fillId="7" borderId="0" xfId="0" applyFill="1" applyAlignment="1" quotePrefix="1">
      <alignment/>
    </xf>
    <xf numFmtId="168" fontId="34" fillId="7" borderId="0" xfId="0" applyNumberFormat="1" applyFont="1" applyFill="1" applyBorder="1" applyAlignment="1">
      <alignment/>
    </xf>
    <xf numFmtId="185" fontId="22" fillId="0" borderId="0" xfId="62" applyNumberFormat="1" applyFont="1" applyFill="1" applyBorder="1" applyProtection="1">
      <alignment/>
      <protection/>
    </xf>
    <xf numFmtId="10" fontId="22" fillId="0" borderId="13" xfId="62" applyNumberFormat="1" applyFont="1" applyFill="1" applyBorder="1" applyProtection="1">
      <alignment/>
      <protection/>
    </xf>
    <xf numFmtId="5" fontId="23" fillId="0" borderId="12" xfId="62" applyNumberFormat="1" applyFont="1" applyFill="1" applyBorder="1" applyProtection="1">
      <alignment/>
      <protection/>
    </xf>
    <xf numFmtId="172" fontId="0" fillId="0" borderId="0" xfId="0" applyNumberFormat="1" applyFill="1" applyAlignment="1">
      <alignment/>
    </xf>
    <xf numFmtId="14" fontId="13" fillId="0" borderId="0" xfId="0" applyNumberFormat="1" applyFont="1" applyFill="1" applyBorder="1" applyAlignment="1">
      <alignment horizontal="left" indent="1"/>
    </xf>
    <xf numFmtId="5" fontId="34" fillId="19" borderId="0" xfId="0" applyNumberFormat="1" applyFont="1" applyFill="1" applyBorder="1" applyAlignment="1">
      <alignment/>
    </xf>
    <xf numFmtId="14" fontId="34" fillId="0" borderId="0" xfId="0" applyNumberFormat="1" applyFont="1" applyFill="1" applyBorder="1" applyAlignment="1">
      <alignment horizontal="center"/>
    </xf>
    <xf numFmtId="168" fontId="34" fillId="0" borderId="0" xfId="0" applyNumberFormat="1" applyFont="1" applyFill="1" applyBorder="1" applyAlignment="1">
      <alignment/>
    </xf>
    <xf numFmtId="37" fontId="14" fillId="0" borderId="0" xfId="0" applyFont="1" applyAlignment="1">
      <alignment horizontal="center"/>
    </xf>
    <xf numFmtId="37" fontId="32" fillId="0" borderId="0" xfId="0" applyFont="1" applyFill="1" applyBorder="1" applyAlignment="1">
      <alignment horizontal="center"/>
    </xf>
    <xf numFmtId="37" fontId="13" fillId="0" borderId="0" xfId="0" applyFont="1" applyAlignment="1">
      <alignment horizontal="center"/>
    </xf>
    <xf numFmtId="37" fontId="12" fillId="0" borderId="0" xfId="0" applyFont="1" applyFill="1" applyBorder="1" applyAlignment="1">
      <alignment horizontal="center"/>
    </xf>
    <xf numFmtId="38" fontId="14" fillId="0" borderId="0" xfId="0" applyNumberFormat="1" applyFont="1" applyFill="1" applyBorder="1" applyAlignment="1">
      <alignment/>
    </xf>
    <xf numFmtId="168" fontId="14" fillId="0" borderId="12" xfId="0" applyNumberFormat="1" applyFont="1" applyFill="1" applyBorder="1" applyAlignment="1">
      <alignment/>
    </xf>
    <xf numFmtId="14" fontId="34" fillId="0" borderId="0" xfId="0" applyNumberFormat="1" applyFont="1" applyFill="1" applyBorder="1" applyAlignment="1">
      <alignment/>
    </xf>
    <xf numFmtId="1" fontId="14" fillId="0" borderId="0" xfId="0" applyNumberFormat="1" applyFont="1" applyFill="1" applyBorder="1" applyAlignment="1">
      <alignment horizontal="center"/>
    </xf>
    <xf numFmtId="3" fontId="14" fillId="0" borderId="0" xfId="0" applyNumberFormat="1" applyFont="1" applyFill="1" applyBorder="1" applyAlignment="1">
      <alignment horizontal="center"/>
    </xf>
    <xf numFmtId="167" fontId="34" fillId="0" borderId="0" xfId="0" applyNumberFormat="1" applyFont="1" applyFill="1" applyBorder="1" applyAlignment="1">
      <alignment horizontal="center"/>
    </xf>
    <xf numFmtId="37" fontId="14" fillId="0" borderId="0" xfId="0" applyFont="1" applyFill="1" applyBorder="1" applyAlignment="1">
      <alignment horizontal="right"/>
    </xf>
    <xf numFmtId="5" fontId="14" fillId="0" borderId="0" xfId="0" applyNumberFormat="1" applyFont="1" applyFill="1" applyBorder="1" applyAlignment="1">
      <alignment/>
    </xf>
    <xf numFmtId="5" fontId="34" fillId="0" borderId="0" xfId="0" applyNumberFormat="1" applyFont="1" applyFill="1" applyBorder="1" applyAlignment="1">
      <alignment/>
    </xf>
    <xf numFmtId="37" fontId="14" fillId="7" borderId="0" xfId="0" applyFont="1" applyFill="1" applyBorder="1" applyAlignment="1">
      <alignment horizontal="left"/>
    </xf>
    <xf numFmtId="37" fontId="10" fillId="0" borderId="14" xfId="65" applyFont="1" applyBorder="1" applyAlignment="1" applyProtection="1">
      <alignment horizontal="left"/>
      <protection/>
    </xf>
    <xf numFmtId="37" fontId="13" fillId="0" borderId="13" xfId="65" applyFont="1" applyBorder="1" applyAlignment="1" applyProtection="1">
      <alignment horizontal="center"/>
      <protection/>
    </xf>
    <xf numFmtId="37" fontId="13" fillId="0" borderId="15" xfId="65" applyFont="1" applyBorder="1" applyAlignment="1" applyProtection="1">
      <alignment horizontal="center"/>
      <protection/>
    </xf>
    <xf numFmtId="37" fontId="0" fillId="0" borderId="13" xfId="0" applyBorder="1" applyAlignment="1">
      <alignment/>
    </xf>
    <xf numFmtId="37" fontId="0" fillId="0" borderId="15" xfId="0" applyBorder="1" applyAlignment="1">
      <alignment/>
    </xf>
    <xf numFmtId="5" fontId="34" fillId="0" borderId="12" xfId="0" applyNumberFormat="1" applyFont="1" applyFill="1" applyBorder="1" applyAlignment="1">
      <alignment horizontal="right"/>
    </xf>
    <xf numFmtId="14" fontId="13" fillId="0" borderId="0" xfId="0" applyNumberFormat="1" applyFont="1" applyFill="1" applyBorder="1" applyAlignment="1">
      <alignment horizontal="left" indent="2"/>
    </xf>
    <xf numFmtId="37" fontId="36" fillId="0" borderId="0" xfId="0" applyFont="1" applyAlignment="1">
      <alignment/>
    </xf>
    <xf numFmtId="168" fontId="34" fillId="19" borderId="0" xfId="0" applyNumberFormat="1" applyFont="1" applyFill="1" applyBorder="1" applyAlignment="1">
      <alignment/>
    </xf>
    <xf numFmtId="37" fontId="13" fillId="0" borderId="0" xfId="0" applyFont="1" applyFill="1" applyBorder="1" applyAlignment="1">
      <alignment horizontal="left" indent="1"/>
    </xf>
    <xf numFmtId="10" fontId="34" fillId="7" borderId="0" xfId="0" applyNumberFormat="1" applyFont="1" applyFill="1" applyBorder="1" applyAlignment="1">
      <alignment horizontal="center"/>
    </xf>
    <xf numFmtId="10" fontId="34" fillId="19" borderId="0" xfId="0" applyNumberFormat="1" applyFont="1" applyFill="1" applyBorder="1" applyAlignment="1">
      <alignment horizontal="center"/>
    </xf>
    <xf numFmtId="164" fontId="22" fillId="0" borderId="0" xfId="78" applyNumberFormat="1" applyFont="1" applyFill="1" applyBorder="1" applyAlignment="1" applyProtection="1">
      <alignment/>
      <protection/>
    </xf>
    <xf numFmtId="5" fontId="66" fillId="0" borderId="0" xfId="73" applyNumberFormat="1" applyFont="1" applyFill="1">
      <alignment/>
      <protection/>
    </xf>
    <xf numFmtId="5" fontId="0" fillId="0" borderId="0" xfId="73" applyNumberFormat="1" applyFont="1" applyFill="1">
      <alignment/>
      <protection/>
    </xf>
    <xf numFmtId="5" fontId="0" fillId="0" borderId="11" xfId="73" applyNumberFormat="1" applyFont="1" applyFill="1" applyBorder="1" applyAlignment="1" applyProtection="1">
      <alignment horizontal="right"/>
      <protection/>
    </xf>
    <xf numFmtId="5" fontId="22" fillId="0" borderId="13" xfId="62" applyNumberFormat="1" applyFont="1" applyFill="1" applyBorder="1" applyProtection="1">
      <alignment/>
      <protection/>
    </xf>
    <xf numFmtId="5" fontId="14" fillId="0" borderId="11" xfId="0" applyNumberFormat="1" applyFont="1" applyFill="1" applyBorder="1" applyAlignment="1">
      <alignment/>
    </xf>
    <xf numFmtId="178" fontId="22" fillId="0" borderId="0" xfId="62" applyNumberFormat="1" applyFont="1" applyFill="1" applyBorder="1" applyProtection="1">
      <alignment/>
      <protection/>
    </xf>
    <xf numFmtId="178" fontId="23" fillId="0" borderId="11" xfId="62" applyNumberFormat="1" applyFont="1" applyBorder="1" applyProtection="1">
      <alignment/>
      <protection/>
    </xf>
    <xf numFmtId="37" fontId="1" fillId="0" borderId="0" xfId="65" applyFont="1" applyFill="1" applyAlignment="1" applyProtection="1">
      <alignment horizontal="left"/>
      <protection/>
    </xf>
    <xf numFmtId="37" fontId="1" fillId="0" borderId="0" xfId="65" applyFont="1" applyFill="1">
      <alignment/>
      <protection/>
    </xf>
    <xf numFmtId="37" fontId="1" fillId="0" borderId="0" xfId="65" applyFont="1" applyAlignment="1" applyProtection="1">
      <alignment horizontal="center"/>
      <protection/>
    </xf>
    <xf numFmtId="5" fontId="8" fillId="0" borderId="11" xfId="65" applyNumberFormat="1" applyFont="1" applyFill="1" applyBorder="1" applyProtection="1">
      <alignment/>
      <protection/>
    </xf>
    <xf numFmtId="10" fontId="8" fillId="0" borderId="11" xfId="65" applyNumberFormat="1" applyFont="1" applyBorder="1" applyProtection="1">
      <alignment/>
      <protection/>
    </xf>
    <xf numFmtId="37" fontId="64" fillId="0" borderId="0" xfId="0" applyFont="1" applyFill="1" applyAlignment="1">
      <alignment/>
    </xf>
    <xf numFmtId="37" fontId="8" fillId="0" borderId="0" xfId="65" applyFont="1" applyFill="1">
      <alignment/>
      <protection/>
    </xf>
    <xf numFmtId="17" fontId="32" fillId="0" borderId="0" xfId="0" applyNumberFormat="1" applyFont="1" applyFill="1" applyBorder="1" applyAlignment="1">
      <alignment horizontal="center"/>
    </xf>
    <xf numFmtId="37" fontId="32" fillId="0" borderId="0" xfId="0" applyFont="1" applyFill="1" applyBorder="1" applyAlignment="1">
      <alignment horizontal="center" wrapText="1"/>
    </xf>
    <xf numFmtId="178" fontId="35" fillId="0" borderId="0" xfId="62" applyNumberFormat="1" applyFont="1" applyFill="1" applyBorder="1" applyProtection="1">
      <alignment/>
      <protection/>
    </xf>
    <xf numFmtId="166" fontId="1" fillId="0" borderId="0" xfId="72" applyNumberFormat="1" applyFont="1" applyBorder="1" applyAlignment="1" applyProtection="1">
      <alignment horizontal="center"/>
      <protection/>
    </xf>
    <xf numFmtId="186" fontId="1" fillId="0" borderId="0" xfId="72" applyNumberFormat="1" applyFont="1" applyBorder="1" applyAlignment="1" applyProtection="1">
      <alignment horizontal="center"/>
      <protection/>
    </xf>
    <xf numFmtId="5" fontId="14" fillId="0" borderId="0" xfId="62" applyNumberFormat="1" applyFont="1" applyFill="1" applyBorder="1" applyProtection="1">
      <alignment/>
      <protection/>
    </xf>
    <xf numFmtId="1" fontId="14" fillId="0" borderId="0" xfId="71" applyNumberFormat="1" applyFont="1" applyAlignment="1">
      <alignment horizontal="center"/>
      <protection/>
    </xf>
    <xf numFmtId="1" fontId="14" fillId="0" borderId="0" xfId="71" applyNumberFormat="1" applyFont="1" applyAlignment="1">
      <alignment horizontal="left"/>
      <protection/>
    </xf>
    <xf numFmtId="5" fontId="14" fillId="0" borderId="0" xfId="62" applyNumberFormat="1" applyFont="1" applyBorder="1" applyProtection="1">
      <alignment/>
      <protection/>
    </xf>
    <xf numFmtId="167" fontId="14" fillId="0" borderId="0" xfId="42" applyNumberFormat="1" applyFont="1" applyAlignment="1">
      <alignment/>
    </xf>
    <xf numFmtId="17" fontId="14" fillId="0" borderId="0" xfId="48" applyNumberFormat="1" applyFont="1" applyAlignment="1">
      <alignment horizontal="center"/>
    </xf>
    <xf numFmtId="39" fontId="14" fillId="0" borderId="0" xfId="0" applyNumberFormat="1" applyFont="1" applyFill="1" applyAlignment="1">
      <alignment/>
    </xf>
    <xf numFmtId="177" fontId="14" fillId="0" borderId="0" xfId="62" applyNumberFormat="1" applyFont="1" applyBorder="1" applyProtection="1">
      <alignment/>
      <protection/>
    </xf>
    <xf numFmtId="177" fontId="14" fillId="0" borderId="0" xfId="62" applyNumberFormat="1" applyFont="1" applyFill="1" applyBorder="1" applyProtection="1">
      <alignment/>
      <protection/>
    </xf>
    <xf numFmtId="167" fontId="14" fillId="0" borderId="0" xfId="71" applyNumberFormat="1" applyFont="1">
      <alignment/>
      <protection/>
    </xf>
    <xf numFmtId="167" fontId="14" fillId="0" borderId="0" xfId="42" applyNumberFormat="1" applyFont="1" applyFill="1" applyAlignment="1">
      <alignment/>
    </xf>
    <xf numFmtId="17" fontId="14" fillId="0" borderId="0" xfId="48" applyNumberFormat="1" applyFont="1" applyFill="1" applyAlignment="1">
      <alignment horizontal="center"/>
    </xf>
    <xf numFmtId="17" fontId="14" fillId="0" borderId="0" xfId="71" applyNumberFormat="1" applyFont="1" applyFill="1" applyAlignment="1" applyProtection="1">
      <alignment horizontal="center"/>
      <protection/>
    </xf>
    <xf numFmtId="167" fontId="14" fillId="0" borderId="0" xfId="42" applyNumberFormat="1" applyFont="1" applyFill="1" applyBorder="1" applyAlignment="1">
      <alignment/>
    </xf>
    <xf numFmtId="17" fontId="14" fillId="0" borderId="0" xfId="48" applyNumberFormat="1" applyFont="1" applyFill="1" applyBorder="1" applyAlignment="1">
      <alignment horizontal="center"/>
    </xf>
    <xf numFmtId="39" fontId="14" fillId="0" borderId="0" xfId="0" applyNumberFormat="1" applyFont="1" applyFill="1" applyBorder="1" applyAlignment="1">
      <alignment/>
    </xf>
    <xf numFmtId="0" fontId="14" fillId="0" borderId="0" xfId="62" applyFont="1" applyBorder="1" applyProtection="1">
      <alignment/>
      <protection/>
    </xf>
    <xf numFmtId="37" fontId="14" fillId="0" borderId="0" xfId="66" applyNumberFormat="1" applyFont="1" applyFill="1" applyProtection="1">
      <alignment/>
      <protection/>
    </xf>
    <xf numFmtId="3" fontId="1" fillId="0" borderId="0" xfId="71" applyFont="1" applyFill="1" applyBorder="1">
      <alignment/>
      <protection/>
    </xf>
    <xf numFmtId="3" fontId="67" fillId="0" borderId="0" xfId="71" applyFont="1" applyFill="1" applyBorder="1">
      <alignment/>
      <protection/>
    </xf>
    <xf numFmtId="177" fontId="14" fillId="0" borderId="11" xfId="62" applyNumberFormat="1" applyFont="1" applyFill="1" applyBorder="1" applyProtection="1">
      <alignment/>
      <protection/>
    </xf>
    <xf numFmtId="177" fontId="14" fillId="0" borderId="11" xfId="62" applyNumberFormat="1" applyFont="1" applyBorder="1" applyProtection="1">
      <alignment/>
      <protection/>
    </xf>
    <xf numFmtId="3" fontId="68" fillId="0" borderId="0" xfId="71" applyFont="1" applyFill="1" applyBorder="1">
      <alignment/>
      <protection/>
    </xf>
    <xf numFmtId="17" fontId="14" fillId="0" borderId="0" xfId="0" applyNumberFormat="1" applyFont="1" applyAlignment="1">
      <alignment horizontal="center"/>
    </xf>
    <xf numFmtId="37" fontId="14" fillId="0" borderId="0" xfId="0" applyFont="1" applyFill="1" applyBorder="1" applyAlignment="1">
      <alignment horizontal="left" indent="2"/>
    </xf>
    <xf numFmtId="37" fontId="69" fillId="0" borderId="0" xfId="0" applyFont="1" applyFill="1" applyAlignment="1">
      <alignment/>
    </xf>
    <xf numFmtId="37" fontId="12" fillId="0" borderId="0" xfId="0" applyFont="1" applyFill="1" applyBorder="1" applyAlignment="1">
      <alignment horizontal="center" wrapText="1"/>
    </xf>
    <xf numFmtId="187" fontId="14" fillId="0" borderId="0" xfId="71" applyNumberFormat="1" applyFont="1" applyFill="1" applyAlignment="1">
      <alignment horizontal="left"/>
      <protection/>
    </xf>
    <xf numFmtId="3" fontId="14" fillId="0" borderId="0" xfId="71" applyFont="1" applyFill="1" applyAlignment="1">
      <alignment horizontal="left"/>
      <protection/>
    </xf>
    <xf numFmtId="179" fontId="14" fillId="0" borderId="10" xfId="71" applyNumberFormat="1" applyFont="1" applyBorder="1" applyAlignment="1">
      <alignment horizontal="right"/>
      <protection/>
    </xf>
    <xf numFmtId="37" fontId="1" fillId="0" borderId="0" xfId="71" applyNumberFormat="1" applyFont="1" applyAlignment="1">
      <alignment horizontal="center"/>
      <protection/>
    </xf>
    <xf numFmtId="37" fontId="14" fillId="0" borderId="0" xfId="75" applyNumberFormat="1" applyFont="1">
      <alignment/>
      <protection/>
    </xf>
    <xf numFmtId="167" fontId="14" fillId="0" borderId="0" xfId="75" applyNumberFormat="1" applyFont="1">
      <alignment/>
      <protection/>
    </xf>
    <xf numFmtId="17" fontId="14" fillId="0" borderId="0" xfId="75" applyNumberFormat="1" applyFont="1" applyFill="1" applyAlignment="1">
      <alignment horizontal="center"/>
      <protection/>
    </xf>
    <xf numFmtId="17" fontId="14" fillId="0" borderId="0" xfId="75" applyNumberFormat="1" applyFont="1" applyAlignment="1">
      <alignment horizontal="center"/>
      <protection/>
    </xf>
    <xf numFmtId="10" fontId="1" fillId="0" borderId="13" xfId="72" applyFont="1" applyFill="1" applyBorder="1" applyAlignment="1">
      <alignment horizontal="centerContinuous" wrapText="1"/>
      <protection/>
    </xf>
    <xf numFmtId="10" fontId="1" fillId="0" borderId="15" xfId="72" applyFont="1" applyFill="1" applyBorder="1" applyAlignment="1">
      <alignment horizontal="centerContinuous" wrapText="1"/>
      <protection/>
    </xf>
    <xf numFmtId="10" fontId="1" fillId="0" borderId="0" xfId="72" applyNumberFormat="1" applyFont="1" applyFill="1" applyAlignment="1">
      <alignment horizontal="center"/>
      <protection/>
    </xf>
    <xf numFmtId="170" fontId="14" fillId="0" borderId="0" xfId="42" applyNumberFormat="1" applyFont="1" applyFill="1" applyBorder="1" applyAlignment="1" applyProtection="1">
      <alignment/>
      <protection/>
    </xf>
    <xf numFmtId="167" fontId="14" fillId="0" borderId="0" xfId="78" applyNumberFormat="1" applyFont="1" applyFill="1" applyAlignment="1">
      <alignment horizontal="center"/>
    </xf>
    <xf numFmtId="167" fontId="29" fillId="0" borderId="0" xfId="78" applyNumberFormat="1" applyFont="1" applyFill="1" applyAlignment="1">
      <alignment horizontal="center"/>
    </xf>
    <xf numFmtId="10" fontId="29" fillId="0" borderId="0" xfId="78" applyNumberFormat="1" applyFont="1" applyFill="1" applyAlignment="1">
      <alignment horizontal="center"/>
    </xf>
    <xf numFmtId="167" fontId="0" fillId="0" borderId="0" xfId="78" applyNumberFormat="1" applyFont="1" applyFill="1" applyAlignment="1">
      <alignment/>
    </xf>
    <xf numFmtId="4" fontId="71" fillId="0" borderId="0" xfId="71" applyNumberFormat="1" applyFont="1" applyFill="1" applyBorder="1">
      <alignment/>
      <protection/>
    </xf>
    <xf numFmtId="10" fontId="10" fillId="0" borderId="0" xfId="72" applyFont="1" applyAlignment="1" applyProtection="1">
      <alignment horizontal="left"/>
      <protection/>
    </xf>
    <xf numFmtId="10" fontId="1" fillId="0" borderId="0" xfId="72" applyFont="1" applyAlignment="1">
      <alignment horizontal="left"/>
      <protection/>
    </xf>
    <xf numFmtId="10" fontId="70" fillId="0" borderId="0" xfId="72" applyFont="1" applyFill="1" applyBorder="1" applyAlignment="1" applyProtection="1">
      <alignment horizontal="centerContinuous" wrapText="1"/>
      <protection/>
    </xf>
    <xf numFmtId="10" fontId="1" fillId="0" borderId="0" xfId="72" applyFont="1" applyFill="1" applyBorder="1" applyAlignment="1">
      <alignment horizontal="centerContinuous" wrapText="1"/>
      <protection/>
    </xf>
    <xf numFmtId="10" fontId="8" fillId="0" borderId="0" xfId="72" applyFont="1" applyFill="1" applyAlignment="1" applyProtection="1">
      <alignment horizontal="left"/>
      <protection/>
    </xf>
    <xf numFmtId="10" fontId="3" fillId="0" borderId="0" xfId="72" applyFont="1" applyFill="1">
      <alignment/>
      <protection/>
    </xf>
    <xf numFmtId="10" fontId="1" fillId="0" borderId="0" xfId="72" applyFont="1" applyFill="1" applyAlignment="1" applyProtection="1">
      <alignment horizontal="left"/>
      <protection/>
    </xf>
    <xf numFmtId="10" fontId="8" fillId="0" borderId="0" xfId="72" applyFont="1" applyFill="1">
      <alignment/>
      <protection/>
    </xf>
    <xf numFmtId="10" fontId="16" fillId="0" borderId="0" xfId="72" applyNumberFormat="1" applyFont="1" applyFill="1" applyBorder="1" applyAlignment="1" applyProtection="1">
      <alignment horizontal="center"/>
      <protection/>
    </xf>
    <xf numFmtId="10" fontId="1" fillId="0" borderId="0" xfId="72" applyNumberFormat="1" applyFont="1" applyFill="1" applyBorder="1" applyAlignment="1">
      <alignment horizontal="center"/>
      <protection/>
    </xf>
    <xf numFmtId="10" fontId="24" fillId="0" borderId="0" xfId="72" applyNumberFormat="1" applyFont="1" applyFill="1" applyBorder="1" applyAlignment="1" applyProtection="1">
      <alignment horizontal="center"/>
      <protection/>
    </xf>
    <xf numFmtId="10" fontId="24" fillId="0" borderId="0" xfId="72" applyFont="1" applyFill="1" applyBorder="1" applyAlignment="1">
      <alignment horizontal="center"/>
      <protection/>
    </xf>
    <xf numFmtId="10" fontId="8" fillId="0" borderId="0" xfId="72" applyFont="1" applyFill="1" applyAlignment="1" applyProtection="1">
      <alignment horizontal="left" indent="1"/>
      <protection/>
    </xf>
    <xf numFmtId="37" fontId="0" fillId="0" borderId="0" xfId="0" applyFont="1" applyFill="1" applyAlignment="1">
      <alignment/>
    </xf>
    <xf numFmtId="0" fontId="0" fillId="0" borderId="0" xfId="73" applyFont="1" applyFill="1">
      <alignment/>
      <protection/>
    </xf>
    <xf numFmtId="0" fontId="10" fillId="0" borderId="10" xfId="73" applyFont="1" applyFill="1" applyBorder="1" applyAlignment="1" applyProtection="1">
      <alignment horizontal="left"/>
      <protection/>
    </xf>
    <xf numFmtId="10" fontId="3" fillId="0" borderId="0" xfId="72" applyFont="1" applyBorder="1">
      <alignment/>
      <protection/>
    </xf>
    <xf numFmtId="10" fontId="3" fillId="0" borderId="0" xfId="72" applyFont="1" applyBorder="1" applyAlignment="1">
      <alignment horizontal="centerContinuous" wrapText="1"/>
      <protection/>
    </xf>
    <xf numFmtId="166" fontId="1" fillId="0" borderId="0" xfId="72" applyNumberFormat="1" applyFont="1" applyFill="1" applyBorder="1" applyAlignment="1" applyProtection="1">
      <alignment horizontal="center"/>
      <protection/>
    </xf>
    <xf numFmtId="3" fontId="26" fillId="0" borderId="0" xfId="71" applyNumberFormat="1" applyFont="1" applyFill="1">
      <alignment/>
      <protection/>
    </xf>
    <xf numFmtId="4" fontId="26" fillId="0" borderId="0" xfId="71" applyNumberFormat="1" applyFont="1" applyFill="1">
      <alignment/>
      <protection/>
    </xf>
    <xf numFmtId="3" fontId="37" fillId="0" borderId="0" xfId="71" applyFont="1">
      <alignment/>
      <protection/>
    </xf>
    <xf numFmtId="3" fontId="43" fillId="0" borderId="0" xfId="71" applyFont="1">
      <alignment/>
      <protection/>
    </xf>
    <xf numFmtId="178" fontId="26" fillId="0" borderId="0" xfId="62" applyNumberFormat="1" applyFont="1" applyBorder="1" applyProtection="1">
      <alignment/>
      <protection/>
    </xf>
    <xf numFmtId="10" fontId="8" fillId="0" borderId="14" xfId="72" applyFont="1" applyFill="1" applyBorder="1" applyAlignment="1" applyProtection="1">
      <alignment horizontal="centerContinuous" wrapText="1"/>
      <protection/>
    </xf>
    <xf numFmtId="0" fontId="10" fillId="0" borderId="10" xfId="73" applyFont="1" applyFill="1" applyBorder="1" applyAlignment="1">
      <alignment horizontal="center"/>
      <protection/>
    </xf>
    <xf numFmtId="37" fontId="15" fillId="0" borderId="0" xfId="65" applyFont="1" applyAlignment="1" applyProtection="1">
      <alignment horizontal="left"/>
      <protection/>
    </xf>
    <xf numFmtId="10" fontId="15" fillId="0" borderId="0" xfId="72" applyFont="1" applyAlignment="1" applyProtection="1">
      <alignment horizontal="left"/>
      <protection/>
    </xf>
    <xf numFmtId="0" fontId="1" fillId="0" borderId="0" xfId="73" applyFont="1">
      <alignment/>
      <protection/>
    </xf>
    <xf numFmtId="37" fontId="13" fillId="0" borderId="0" xfId="0" applyNumberFormat="1" applyFont="1" applyFill="1" applyBorder="1" applyAlignment="1">
      <alignment/>
    </xf>
    <xf numFmtId="10" fontId="34" fillId="0" borderId="0" xfId="78" applyNumberFormat="1" applyFont="1" applyFill="1" applyAlignment="1">
      <alignment/>
    </xf>
    <xf numFmtId="10" fontId="0" fillId="0" borderId="0" xfId="78" applyNumberFormat="1" applyFont="1" applyFill="1" applyAlignment="1">
      <alignment/>
    </xf>
    <xf numFmtId="178" fontId="14" fillId="0" borderId="0" xfId="62" applyNumberFormat="1" applyFont="1" applyFill="1" applyBorder="1" applyProtection="1">
      <alignment/>
      <protection/>
    </xf>
    <xf numFmtId="37" fontId="14" fillId="0" borderId="0" xfId="0" applyNumberFormat="1" applyFont="1" applyFill="1" applyBorder="1" applyAlignment="1">
      <alignment/>
    </xf>
    <xf numFmtId="5" fontId="0" fillId="0" borderId="0" xfId="73" applyNumberFormat="1" applyFont="1" applyAlignment="1" applyProtection="1">
      <alignment horizontal="right"/>
      <protection/>
    </xf>
    <xf numFmtId="5" fontId="11" fillId="0" borderId="0" xfId="73" applyNumberFormat="1" applyFont="1" applyProtection="1">
      <alignment/>
      <protection/>
    </xf>
    <xf numFmtId="5" fontId="0" fillId="0" borderId="12" xfId="73" applyNumberFormat="1" applyFont="1" applyFill="1" applyBorder="1">
      <alignment/>
      <protection/>
    </xf>
    <xf numFmtId="37" fontId="0" fillId="0" borderId="0" xfId="73" applyNumberFormat="1" applyFont="1" applyFill="1">
      <alignment/>
      <protection/>
    </xf>
    <xf numFmtId="3" fontId="14" fillId="0" borderId="16" xfId="71" applyFont="1" applyBorder="1">
      <alignment/>
      <protection/>
    </xf>
    <xf numFmtId="3" fontId="14" fillId="0" borderId="12" xfId="71" applyFont="1" applyFill="1" applyBorder="1" applyAlignment="1" applyProtection="1">
      <alignment horizontal="left"/>
      <protection/>
    </xf>
    <xf numFmtId="5" fontId="14" fillId="0" borderId="12" xfId="62" applyNumberFormat="1" applyFont="1" applyBorder="1" applyProtection="1">
      <alignment/>
      <protection/>
    </xf>
    <xf numFmtId="167" fontId="14" fillId="0" borderId="12" xfId="71" applyNumberFormat="1" applyFont="1" applyBorder="1" applyProtection="1">
      <alignment/>
      <protection/>
    </xf>
    <xf numFmtId="17" fontId="14" fillId="0" borderId="12" xfId="48" applyNumberFormat="1" applyFont="1" applyBorder="1" applyAlignment="1">
      <alignment horizontal="center"/>
    </xf>
    <xf numFmtId="17" fontId="14" fillId="0" borderId="12" xfId="71" applyNumberFormat="1" applyFont="1" applyBorder="1" applyAlignment="1" applyProtection="1">
      <alignment horizontal="center"/>
      <protection/>
    </xf>
    <xf numFmtId="39" fontId="14" fillId="0" borderId="12" xfId="0" applyNumberFormat="1" applyFont="1" applyFill="1" applyBorder="1" applyAlignment="1">
      <alignment/>
    </xf>
    <xf numFmtId="10" fontId="14" fillId="0" borderId="12" xfId="0" applyNumberFormat="1" applyFont="1" applyFill="1" applyBorder="1" applyAlignment="1">
      <alignment/>
    </xf>
    <xf numFmtId="37" fontId="14" fillId="0" borderId="12" xfId="66" applyNumberFormat="1" applyFont="1" applyBorder="1" applyProtection="1">
      <alignment/>
      <protection/>
    </xf>
    <xf numFmtId="177" fontId="14" fillId="0" borderId="12" xfId="62" applyNumberFormat="1" applyFont="1" applyBorder="1" applyProtection="1">
      <alignment/>
      <protection/>
    </xf>
    <xf numFmtId="178" fontId="22" fillId="0" borderId="17" xfId="62" applyNumberFormat="1" applyFont="1" applyBorder="1" applyProtection="1">
      <alignment/>
      <protection/>
    </xf>
    <xf numFmtId="3" fontId="14" fillId="0" borderId="18" xfId="71" applyFont="1" applyBorder="1">
      <alignment/>
      <protection/>
    </xf>
    <xf numFmtId="3" fontId="14" fillId="0" borderId="10" xfId="71" applyFont="1" applyFill="1" applyBorder="1" applyAlignment="1" applyProtection="1">
      <alignment horizontal="left"/>
      <protection/>
    </xf>
    <xf numFmtId="5" fontId="14" fillId="0" borderId="10" xfId="62" applyNumberFormat="1" applyFont="1" applyBorder="1" applyProtection="1">
      <alignment/>
      <protection/>
    </xf>
    <xf numFmtId="167" fontId="14" fillId="0" borderId="10" xfId="71" applyNumberFormat="1" applyFont="1" applyBorder="1" applyProtection="1">
      <alignment/>
      <protection/>
    </xf>
    <xf numFmtId="17" fontId="14" fillId="0" borderId="10" xfId="48" applyNumberFormat="1" applyFont="1" applyBorder="1" applyAlignment="1">
      <alignment horizontal="center"/>
    </xf>
    <xf numFmtId="17" fontId="14" fillId="0" borderId="10" xfId="71" applyNumberFormat="1" applyFont="1" applyBorder="1" applyAlignment="1" applyProtection="1">
      <alignment horizontal="center"/>
      <protection/>
    </xf>
    <xf numFmtId="39" fontId="14" fillId="0" borderId="10" xfId="0" applyNumberFormat="1" applyFont="1" applyFill="1" applyBorder="1" applyAlignment="1">
      <alignment/>
    </xf>
    <xf numFmtId="10" fontId="14" fillId="0" borderId="10" xfId="0" applyNumberFormat="1" applyFont="1" applyFill="1" applyBorder="1" applyAlignment="1">
      <alignment/>
    </xf>
    <xf numFmtId="37" fontId="14" fillId="0" borderId="10" xfId="66" applyNumberFormat="1" applyFont="1" applyBorder="1" applyProtection="1">
      <alignment/>
      <protection/>
    </xf>
    <xf numFmtId="177" fontId="14" fillId="0" borderId="10" xfId="62" applyNumberFormat="1" applyFont="1" applyBorder="1" applyProtection="1">
      <alignment/>
      <protection/>
    </xf>
    <xf numFmtId="178" fontId="22" fillId="0" borderId="19" xfId="62" applyNumberFormat="1" applyFont="1" applyBorder="1" applyProtection="1">
      <alignment/>
      <protection/>
    </xf>
    <xf numFmtId="10" fontId="13" fillId="0" borderId="20" xfId="0" applyNumberFormat="1" applyFont="1" applyFill="1" applyBorder="1" applyAlignment="1">
      <alignment/>
    </xf>
    <xf numFmtId="187" fontId="14" fillId="0" borderId="0" xfId="71" applyNumberFormat="1" applyFont="1" applyFill="1" applyAlignment="1">
      <alignment horizontal="right"/>
      <protection/>
    </xf>
    <xf numFmtId="3" fontId="14" fillId="0" borderId="0" xfId="71" applyFont="1" applyFill="1" applyAlignment="1">
      <alignment horizontal="right"/>
      <protection/>
    </xf>
    <xf numFmtId="3" fontId="0" fillId="0" borderId="0" xfId="71" applyFont="1" applyBorder="1" applyAlignment="1">
      <alignment horizontal="center"/>
      <protection/>
    </xf>
    <xf numFmtId="37" fontId="10" fillId="0" borderId="0" xfId="0" applyFont="1" applyBorder="1" applyAlignment="1">
      <alignment horizontal="left"/>
    </xf>
    <xf numFmtId="37" fontId="39" fillId="0" borderId="0" xfId="0" applyFont="1" applyBorder="1" applyAlignment="1">
      <alignment horizontal="left"/>
    </xf>
    <xf numFmtId="174" fontId="8" fillId="0" borderId="0" xfId="72" applyNumberFormat="1" applyFont="1" applyBorder="1" applyAlignment="1" applyProtection="1">
      <alignment horizontal="center" vertical="center" wrapText="1"/>
      <protection/>
    </xf>
    <xf numFmtId="0" fontId="19" fillId="0" borderId="0" xfId="62" applyFont="1" applyAlignment="1" applyProtection="1">
      <alignment horizontal="center"/>
      <protection/>
    </xf>
    <xf numFmtId="10" fontId="19" fillId="0" borderId="0" xfId="72" applyFont="1" applyAlignment="1" applyProtection="1">
      <alignment horizontal="center"/>
      <protection/>
    </xf>
    <xf numFmtId="174" fontId="19" fillId="0" borderId="0" xfId="72" applyNumberFormat="1" applyFont="1" applyAlignment="1" applyProtection="1">
      <alignment horizontal="center"/>
      <protection/>
    </xf>
    <xf numFmtId="15" fontId="54" fillId="0" borderId="0" xfId="66" applyNumberFormat="1" applyFont="1" applyAlignment="1" applyProtection="1">
      <alignment horizontal="center"/>
      <protection/>
    </xf>
    <xf numFmtId="37" fontId="54" fillId="0" borderId="0" xfId="66" applyFont="1" applyAlignment="1">
      <alignment horizontal="center"/>
      <protection/>
    </xf>
    <xf numFmtId="15" fontId="55" fillId="0" borderId="0" xfId="74" applyNumberFormat="1" applyFont="1" applyAlignment="1" applyProtection="1">
      <alignment horizontal="center"/>
      <protection/>
    </xf>
    <xf numFmtId="0" fontId="8" fillId="0" borderId="0" xfId="73" applyFont="1" applyFill="1" applyBorder="1" applyAlignment="1" applyProtection="1" quotePrefix="1">
      <alignment horizontal="center" vertical="center" wrapText="1"/>
      <protection/>
    </xf>
    <xf numFmtId="37" fontId="8" fillId="0" borderId="0" xfId="0" applyFont="1" applyFill="1" applyAlignment="1">
      <alignment horizontal="center"/>
    </xf>
    <xf numFmtId="0" fontId="8" fillId="0" borderId="0" xfId="73" applyFont="1" applyFill="1" applyAlignment="1" applyProtection="1" quotePrefix="1">
      <alignment horizontal="center"/>
      <protection/>
    </xf>
    <xf numFmtId="5" fontId="28" fillId="0" borderId="0" xfId="62" applyNumberFormat="1" applyFont="1" applyFill="1" applyBorder="1" applyAlignment="1" applyProtection="1">
      <alignment horizontal="left"/>
      <protection/>
    </xf>
    <xf numFmtId="37" fontId="14" fillId="0" borderId="0" xfId="0" applyFont="1" applyFill="1" applyBorder="1" applyAlignment="1">
      <alignment horizontal="center" wrapText="1"/>
    </xf>
    <xf numFmtId="37" fontId="14" fillId="0" borderId="10" xfId="0" applyFont="1" applyFill="1" applyBorder="1" applyAlignment="1">
      <alignment horizontal="center" wrapText="1"/>
    </xf>
    <xf numFmtId="37" fontId="13" fillId="0" borderId="0" xfId="0" applyFont="1" applyFill="1" applyBorder="1" applyAlignment="1">
      <alignment horizontal="left" wrapText="1"/>
    </xf>
    <xf numFmtId="37" fontId="13" fillId="0" borderId="0" xfId="66" applyNumberFormat="1" applyFont="1" applyBorder="1" applyAlignment="1" applyProtection="1">
      <alignment horizontal="center" wrapText="1"/>
      <protection/>
    </xf>
    <xf numFmtId="37" fontId="13" fillId="0" borderId="10" xfId="66" applyNumberFormat="1" applyFont="1" applyBorder="1" applyAlignment="1" applyProtection="1">
      <alignment horizontal="center" wrapText="1"/>
      <protection/>
    </xf>
    <xf numFmtId="37" fontId="10" fillId="0" borderId="0" xfId="0" applyFont="1" applyBorder="1" applyAlignment="1">
      <alignment horizontal="center"/>
    </xf>
    <xf numFmtId="37" fontId="10" fillId="0" borderId="0" xfId="0" applyFont="1" applyAlignment="1">
      <alignment horizontal="center"/>
    </xf>
    <xf numFmtId="0" fontId="10" fillId="0" borderId="0" xfId="73" applyFont="1" applyFill="1" applyAlignment="1" applyProtection="1" quotePrefix="1">
      <alignment horizontal="center"/>
      <protection/>
    </xf>
    <xf numFmtId="0" fontId="10" fillId="0" borderId="0" xfId="73" applyFont="1" applyFill="1" applyBorder="1" applyAlignment="1" applyProtection="1">
      <alignment horizontal="center" wrapText="1"/>
      <protection/>
    </xf>
    <xf numFmtId="0" fontId="10" fillId="0" borderId="10" xfId="73" applyFont="1" applyFill="1" applyBorder="1" applyAlignment="1" applyProtection="1">
      <alignment horizontal="center" wrapText="1"/>
      <protection/>
    </xf>
    <xf numFmtId="37" fontId="13" fillId="0" borderId="0" xfId="68" applyFont="1" applyBorder="1" applyAlignment="1" applyProtection="1">
      <alignment horizontal="center" wrapText="1"/>
      <protection/>
    </xf>
    <xf numFmtId="37" fontId="13" fillId="0" borderId="10" xfId="68" applyFont="1" applyBorder="1" applyAlignment="1" applyProtection="1">
      <alignment horizontal="center" wrapText="1"/>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Lisa" xfId="59"/>
    <cellStyle name="Neutral" xfId="60"/>
    <cellStyle name="Normal_2004 Common Equity for Treasury" xfId="61"/>
    <cellStyle name="Normal_AMACAPST" xfId="62"/>
    <cellStyle name="Normal_AMORTONR" xfId="63"/>
    <cellStyle name="Normal_COC Sep 2007 Draft 11-19-07" xfId="64"/>
    <cellStyle name="Normal_COSTOF" xfId="65"/>
    <cellStyle name="Normal_COSTOFD" xfId="66"/>
    <cellStyle name="Normal_COSTOFNO" xfId="67"/>
    <cellStyle name="Normal_COSTOFPR" xfId="68"/>
    <cellStyle name="Normal_Draft COC Sept 2005" xfId="69"/>
    <cellStyle name="Normal_Final COC Sept 2005" xfId="70"/>
    <cellStyle name="Normal_Psebonds" xfId="71"/>
    <cellStyle name="Normal_RATEOFRE" xfId="72"/>
    <cellStyle name="Normal_SCHEDULE" xfId="73"/>
    <cellStyle name="Normal_Summary Sheet" xfId="74"/>
    <cellStyle name="Normal_WACC FERC Filing Period 2 - Projected 2011" xfId="75"/>
    <cellStyle name="Note" xfId="76"/>
    <cellStyle name="Output" xfId="77"/>
    <cellStyle name="Percent" xfId="78"/>
    <cellStyle name="Style 1" xfId="79"/>
    <cellStyle name="Title" xfId="80"/>
    <cellStyle name="Total" xfId="81"/>
    <cellStyle name="Warning Text"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st%20of%20Capital\Cost%20of%20Capital\COC%20Mar%2099\CocJun98\COC%20DEC%2097\AFUDC%20Dec%209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eith\COC%20DEC%2000%20Compan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NT\Temporary%20Internet%20Files\OLK412\Subsidiary%20Roll-up%20for%20Rate%20Perio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NDRATE"/>
      <sheetName val="CST Reaquired LTD!"/>
      <sheetName val="Cost of Notes"/>
      <sheetName val="Cst Prfd"/>
      <sheetName val="STD Co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bsidiary RE Rollfwrd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57"/>
  <sheetViews>
    <sheetView showGridLines="0" tabSelected="1" zoomScalePageLayoutView="0" workbookViewId="0" topLeftCell="A1">
      <selection activeCell="B5" sqref="B5"/>
    </sheetView>
  </sheetViews>
  <sheetFormatPr defaultColWidth="11.421875" defaultRowHeight="12"/>
  <cols>
    <col min="1" max="1" width="4.28125" style="12" customWidth="1"/>
    <col min="2" max="2" width="31.140625" style="12" customWidth="1"/>
    <col min="3" max="3" width="11.8515625" style="12" customWidth="1"/>
    <col min="4" max="4" width="12.57421875" style="12" customWidth="1"/>
    <col min="5" max="5" width="10.57421875" style="12" customWidth="1"/>
    <col min="6" max="6" width="11.8515625" style="12" customWidth="1"/>
    <col min="7" max="7" width="4.28125" style="12" customWidth="1"/>
    <col min="8" max="16384" width="11.421875" style="12" customWidth="1"/>
  </cols>
  <sheetData>
    <row r="1" spans="1:6" ht="15.75">
      <c r="A1" s="565" t="s">
        <v>20</v>
      </c>
      <c r="B1" s="565"/>
      <c r="C1" s="565"/>
      <c r="D1" s="565"/>
      <c r="E1" s="565"/>
      <c r="F1" s="565"/>
    </row>
    <row r="2" spans="1:19" ht="15.75">
      <c r="A2" s="566" t="s">
        <v>2</v>
      </c>
      <c r="B2" s="566"/>
      <c r="C2" s="566"/>
      <c r="D2" s="566"/>
      <c r="E2" s="566"/>
      <c r="F2" s="566"/>
      <c r="S2" s="13"/>
    </row>
    <row r="3" spans="1:19" ht="15.75">
      <c r="A3" s="567" t="s">
        <v>306</v>
      </c>
      <c r="B3" s="567"/>
      <c r="C3" s="567"/>
      <c r="D3" s="567"/>
      <c r="E3" s="567"/>
      <c r="F3" s="567"/>
      <c r="S3" s="13"/>
    </row>
    <row r="4" spans="1:8" ht="20.25" customHeight="1">
      <c r="A4" s="564" t="s">
        <v>307</v>
      </c>
      <c r="B4" s="564"/>
      <c r="C4" s="564"/>
      <c r="D4" s="564"/>
      <c r="E4" s="564"/>
      <c r="F4" s="564"/>
      <c r="H4" s="295"/>
    </row>
    <row r="5" spans="1:8" ht="12.75">
      <c r="A5" s="148"/>
      <c r="C5" s="14"/>
      <c r="H5" s="296"/>
    </row>
    <row r="6" spans="1:8" ht="12.75">
      <c r="A6" s="149">
        <v>1</v>
      </c>
      <c r="B6" s="74" t="s">
        <v>1</v>
      </c>
      <c r="C6" s="74" t="s">
        <v>22</v>
      </c>
      <c r="D6" s="74" t="s">
        <v>38</v>
      </c>
      <c r="E6" s="74" t="s">
        <v>50</v>
      </c>
      <c r="F6" s="74" t="s">
        <v>51</v>
      </c>
      <c r="H6" s="296"/>
    </row>
    <row r="7" spans="1:8" ht="12.75">
      <c r="A7" s="149">
        <f aca="true" t="shared" si="0" ref="A7:A37">+A6+1</f>
        <v>2</v>
      </c>
      <c r="B7" s="53"/>
      <c r="C7" s="47"/>
      <c r="D7" s="47"/>
      <c r="E7" s="47"/>
      <c r="F7" s="150"/>
      <c r="H7" s="296"/>
    </row>
    <row r="8" spans="1:8" ht="12.75">
      <c r="A8" s="149">
        <f t="shared" si="0"/>
        <v>3</v>
      </c>
      <c r="B8" s="522" t="s">
        <v>308</v>
      </c>
      <c r="C8" s="489"/>
      <c r="D8" s="489"/>
      <c r="E8" s="489"/>
      <c r="F8" s="490"/>
      <c r="H8" s="296"/>
    </row>
    <row r="9" spans="1:8" ht="12.75">
      <c r="A9" s="149">
        <f t="shared" si="0"/>
        <v>4</v>
      </c>
      <c r="H9" s="296"/>
    </row>
    <row r="10" spans="1:8" ht="12.75">
      <c r="A10" s="149">
        <f t="shared" si="0"/>
        <v>5</v>
      </c>
      <c r="B10" s="48"/>
      <c r="C10" s="394"/>
      <c r="D10" s="48"/>
      <c r="E10" s="49" t="s">
        <v>6</v>
      </c>
      <c r="F10" s="150" t="s">
        <v>3</v>
      </c>
      <c r="H10" s="295"/>
    </row>
    <row r="11" spans="1:8" ht="12.75">
      <c r="A11" s="149">
        <f t="shared" si="0"/>
        <v>6</v>
      </c>
      <c r="B11" s="525" t="s">
        <v>4</v>
      </c>
      <c r="C11" s="393"/>
      <c r="D11" s="50" t="s">
        <v>5</v>
      </c>
      <c r="E11" s="50" t="s">
        <v>104</v>
      </c>
      <c r="F11" s="50" t="s">
        <v>7</v>
      </c>
      <c r="H11" s="295"/>
    </row>
    <row r="12" spans="1:8" ht="12.75">
      <c r="A12" s="149">
        <f t="shared" si="0"/>
        <v>7</v>
      </c>
      <c r="B12" s="500"/>
      <c r="C12" s="501"/>
      <c r="D12" s="501"/>
      <c r="E12" s="501"/>
      <c r="F12" s="501"/>
      <c r="H12" s="295"/>
    </row>
    <row r="13" spans="1:8" ht="12.75">
      <c r="A13" s="149">
        <f t="shared" si="0"/>
        <v>8</v>
      </c>
      <c r="B13" s="502" t="s">
        <v>8</v>
      </c>
      <c r="C13" s="503"/>
      <c r="D13" s="195">
        <v>0.04</v>
      </c>
      <c r="E13" s="195">
        <f>ROUND('STD Cost Rate'!G20,4)</f>
        <v>0.0268</v>
      </c>
      <c r="F13" s="392">
        <f>ROUND(+D13*E13,4)</f>
        <v>0.0011</v>
      </c>
      <c r="H13" s="295"/>
    </row>
    <row r="14" spans="1:8" ht="12.75">
      <c r="A14" s="149">
        <f t="shared" si="0"/>
        <v>9</v>
      </c>
      <c r="B14" s="504"/>
      <c r="C14" s="364"/>
      <c r="D14" s="195"/>
      <c r="E14" s="195"/>
      <c r="F14" s="392"/>
      <c r="H14" s="295"/>
    </row>
    <row r="15" spans="1:8" ht="12.75">
      <c r="A15" s="149">
        <f t="shared" si="0"/>
        <v>10</v>
      </c>
      <c r="B15" s="502" t="s">
        <v>9</v>
      </c>
      <c r="C15" s="365"/>
      <c r="D15" s="195">
        <f>1-D17-D13</f>
        <v>0.48000000000000004</v>
      </c>
      <c r="E15" s="392">
        <f>ROUND('Cost of LTD'!H34,4)</f>
        <v>0.0622</v>
      </c>
      <c r="F15" s="392">
        <f>ROUND(+D15*E15,4)</f>
        <v>0.0299</v>
      </c>
      <c r="H15" s="295"/>
    </row>
    <row r="16" spans="1:8" ht="12.75">
      <c r="A16" s="149">
        <f t="shared" si="0"/>
        <v>11</v>
      </c>
      <c r="B16" s="505"/>
      <c r="C16" s="366"/>
      <c r="D16" s="195"/>
      <c r="E16" s="491"/>
      <c r="F16" s="392"/>
      <c r="H16" s="295"/>
    </row>
    <row r="17" spans="1:8" ht="12.75">
      <c r="A17" s="149">
        <f t="shared" si="0"/>
        <v>12</v>
      </c>
      <c r="B17" s="502" t="s">
        <v>11</v>
      </c>
      <c r="C17" s="367"/>
      <c r="D17" s="329">
        <v>0.48</v>
      </c>
      <c r="E17" s="392">
        <v>0.098</v>
      </c>
      <c r="F17" s="506">
        <f>ROUND(+D17*E17,4)</f>
        <v>0.047</v>
      </c>
      <c r="H17" s="295"/>
    </row>
    <row r="18" spans="1:8" ht="12.75">
      <c r="A18" s="149">
        <f t="shared" si="0"/>
        <v>13</v>
      </c>
      <c r="B18" s="505"/>
      <c r="C18" s="368"/>
      <c r="D18" s="392"/>
      <c r="E18" s="507"/>
      <c r="F18" s="392"/>
      <c r="H18" s="295"/>
    </row>
    <row r="19" spans="1:8" ht="12.75">
      <c r="A19" s="149">
        <f t="shared" si="0"/>
        <v>14</v>
      </c>
      <c r="B19" s="510" t="s">
        <v>290</v>
      </c>
      <c r="C19" s="369"/>
      <c r="D19" s="508">
        <f>SUM(D13:D17)</f>
        <v>1</v>
      </c>
      <c r="E19" s="509"/>
      <c r="F19" s="508">
        <f>SUM(F13:F17)</f>
        <v>0.078</v>
      </c>
      <c r="G19" s="51"/>
      <c r="H19" s="295"/>
    </row>
    <row r="20" spans="1:8" ht="12.75">
      <c r="A20" s="149">
        <f t="shared" si="0"/>
        <v>15</v>
      </c>
      <c r="B20" s="510"/>
      <c r="C20" s="369"/>
      <c r="D20" s="508"/>
      <c r="E20" s="509"/>
      <c r="F20" s="508"/>
      <c r="G20" s="51"/>
      <c r="H20" s="295"/>
    </row>
    <row r="21" spans="1:8" ht="12.75">
      <c r="A21" s="149">
        <f t="shared" si="0"/>
        <v>16</v>
      </c>
      <c r="B21" s="47"/>
      <c r="C21" s="47"/>
      <c r="D21" s="143"/>
      <c r="E21" s="47"/>
      <c r="F21" s="47"/>
      <c r="H21" s="295"/>
    </row>
    <row r="22" spans="1:8" ht="12.75">
      <c r="A22" s="149">
        <f t="shared" si="0"/>
        <v>17</v>
      </c>
      <c r="B22" s="47"/>
      <c r="D22" s="143"/>
      <c r="E22" s="47"/>
      <c r="F22" s="47"/>
      <c r="H22" s="295"/>
    </row>
    <row r="23" spans="1:8" ht="12.75">
      <c r="A23" s="149">
        <f t="shared" si="0"/>
        <v>18</v>
      </c>
      <c r="B23" s="499"/>
      <c r="C23" s="365"/>
      <c r="D23" s="143"/>
      <c r="E23" s="47"/>
      <c r="F23" s="47"/>
      <c r="H23" s="295"/>
    </row>
    <row r="24" spans="1:8" ht="12.75">
      <c r="A24" s="149">
        <f t="shared" si="0"/>
        <v>19</v>
      </c>
      <c r="B24" s="522" t="s">
        <v>317</v>
      </c>
      <c r="C24" s="489"/>
      <c r="D24" s="489"/>
      <c r="E24" s="489"/>
      <c r="F24" s="490"/>
      <c r="H24" s="295"/>
    </row>
    <row r="25" spans="1:8" ht="12.75">
      <c r="A25" s="149">
        <f t="shared" si="0"/>
        <v>20</v>
      </c>
      <c r="H25" s="295"/>
    </row>
    <row r="26" spans="1:8" ht="12.75">
      <c r="A26" s="149">
        <f>+A25+1</f>
        <v>21</v>
      </c>
      <c r="B26" s="48"/>
      <c r="C26" s="394"/>
      <c r="D26" s="48"/>
      <c r="E26" s="49" t="s">
        <v>6</v>
      </c>
      <c r="F26" s="49" t="s">
        <v>3</v>
      </c>
      <c r="H26" s="295"/>
    </row>
    <row r="27" spans="1:8" ht="12.75">
      <c r="A27" s="149">
        <f t="shared" si="0"/>
        <v>22</v>
      </c>
      <c r="B27" s="525" t="s">
        <v>4</v>
      </c>
      <c r="C27" s="393"/>
      <c r="D27" s="50" t="s">
        <v>5</v>
      </c>
      <c r="E27" s="50" t="s">
        <v>104</v>
      </c>
      <c r="F27" s="50" t="s">
        <v>7</v>
      </c>
      <c r="H27" s="295"/>
    </row>
    <row r="28" spans="1:6" ht="12.75">
      <c r="A28" s="149">
        <f t="shared" si="0"/>
        <v>23</v>
      </c>
      <c r="B28" s="51"/>
      <c r="C28" s="51"/>
      <c r="D28" s="136"/>
      <c r="E28" s="51"/>
      <c r="F28" s="151"/>
    </row>
    <row r="29" spans="1:7" ht="12.75">
      <c r="A29" s="149">
        <f t="shared" si="0"/>
        <v>24</v>
      </c>
      <c r="B29" s="502" t="s">
        <v>8</v>
      </c>
      <c r="C29" s="503"/>
      <c r="D29" s="195">
        <v>0.04</v>
      </c>
      <c r="E29" s="195">
        <f>ROUND('STD Cost Rate'!G20,4)</f>
        <v>0.0268</v>
      </c>
      <c r="F29" s="392">
        <f>ROUND(+D29*E29,4)</f>
        <v>0.0011</v>
      </c>
      <c r="G29" s="453"/>
    </row>
    <row r="30" spans="1:7" ht="12.75">
      <c r="A30" s="149">
        <f t="shared" si="0"/>
        <v>25</v>
      </c>
      <c r="B30" s="504"/>
      <c r="C30" s="364"/>
      <c r="D30" s="195"/>
      <c r="E30" s="195"/>
      <c r="F30" s="392"/>
      <c r="G30" s="137"/>
    </row>
    <row r="31" spans="1:7" ht="12.75">
      <c r="A31" s="149">
        <f t="shared" si="0"/>
        <v>26</v>
      </c>
      <c r="B31" s="502" t="s">
        <v>9</v>
      </c>
      <c r="C31" s="365"/>
      <c r="D31" s="195">
        <f>1-D33-D29</f>
        <v>0.48000000000000004</v>
      </c>
      <c r="E31" s="392">
        <f>'Cost of LTD - New PCBs'!H35</f>
        <v>0.06159910062811252</v>
      </c>
      <c r="F31" s="392">
        <f>ROUND(+D31*E31,4)</f>
        <v>0.0296</v>
      </c>
      <c r="G31" s="452"/>
    </row>
    <row r="32" spans="1:7" ht="12.75">
      <c r="A32" s="149">
        <f t="shared" si="0"/>
        <v>27</v>
      </c>
      <c r="B32" s="505"/>
      <c r="C32" s="366"/>
      <c r="D32" s="195"/>
      <c r="E32" s="491"/>
      <c r="F32" s="392"/>
      <c r="G32" s="137"/>
    </row>
    <row r="33" spans="1:7" ht="12.75">
      <c r="A33" s="149">
        <f t="shared" si="0"/>
        <v>28</v>
      </c>
      <c r="B33" s="502" t="s">
        <v>11</v>
      </c>
      <c r="C33" s="367"/>
      <c r="D33" s="329">
        <v>0.48</v>
      </c>
      <c r="E33" s="392">
        <v>0.098</v>
      </c>
      <c r="F33" s="506">
        <f>ROUND(+D33*E33,4)</f>
        <v>0.047</v>
      </c>
      <c r="G33" s="152"/>
    </row>
    <row r="34" spans="1:7" ht="12.75">
      <c r="A34" s="149">
        <f t="shared" si="0"/>
        <v>29</v>
      </c>
      <c r="B34" s="505"/>
      <c r="C34" s="368"/>
      <c r="D34" s="392"/>
      <c r="E34" s="507"/>
      <c r="F34" s="392"/>
      <c r="G34" s="137"/>
    </row>
    <row r="35" spans="1:7" ht="12.75">
      <c r="A35" s="149">
        <f t="shared" si="0"/>
        <v>30</v>
      </c>
      <c r="B35" s="510" t="s">
        <v>290</v>
      </c>
      <c r="C35" s="369"/>
      <c r="D35" s="508">
        <f>SUM(D29:D33)</f>
        <v>1</v>
      </c>
      <c r="E35" s="509"/>
      <c r="F35" s="508">
        <f>SUM(F29:F33)</f>
        <v>0.0777</v>
      </c>
      <c r="G35" s="138"/>
    </row>
    <row r="36" spans="1:7" ht="12.75">
      <c r="A36" s="149">
        <f t="shared" si="0"/>
        <v>31</v>
      </c>
      <c r="B36" s="47"/>
      <c r="C36" s="54"/>
      <c r="D36" s="139"/>
      <c r="E36" s="54"/>
      <c r="F36" s="139"/>
      <c r="G36" s="139"/>
    </row>
    <row r="37" spans="1:6" ht="12.75">
      <c r="A37" s="149">
        <f t="shared" si="0"/>
        <v>32</v>
      </c>
      <c r="B37" s="498" t="s">
        <v>299</v>
      </c>
      <c r="C37" s="52"/>
      <c r="D37" s="47"/>
      <c r="E37" s="113"/>
      <c r="F37" s="113"/>
    </row>
    <row r="38" spans="1:10" ht="12.75">
      <c r="A38" s="149"/>
      <c r="B38" s="498"/>
      <c r="G38" s="514"/>
      <c r="H38" s="500"/>
      <c r="I38" s="515"/>
      <c r="J38" s="515"/>
    </row>
    <row r="39" spans="1:10" ht="12.75" customHeight="1">
      <c r="A39" s="11"/>
      <c r="G39" s="514"/>
      <c r="H39" s="514"/>
      <c r="I39" s="514"/>
      <c r="J39" s="514"/>
    </row>
    <row r="40" spans="1:10" ht="12.75">
      <c r="A40" s="11"/>
      <c r="G40" s="514"/>
      <c r="H40" s="392"/>
      <c r="I40" s="392"/>
      <c r="J40" s="137"/>
    </row>
    <row r="41" spans="1:10" ht="12.75">
      <c r="A41" s="11"/>
      <c r="G41" s="514"/>
      <c r="H41" s="516"/>
      <c r="I41" s="392"/>
      <c r="J41" s="137"/>
    </row>
    <row r="42" spans="1:10" ht="13.5" customHeight="1">
      <c r="A42" s="203"/>
      <c r="G42" s="514"/>
      <c r="H42" s="392"/>
      <c r="I42" s="392"/>
      <c r="J42" s="137"/>
    </row>
    <row r="43" spans="1:10" ht="12.75">
      <c r="A43" s="11"/>
      <c r="G43" s="514"/>
      <c r="H43" s="392"/>
      <c r="I43" s="507"/>
      <c r="J43" s="137"/>
    </row>
    <row r="44" spans="1:10" ht="12.75">
      <c r="A44" s="11"/>
      <c r="G44" s="514"/>
      <c r="H44" s="506"/>
      <c r="I44" s="392"/>
      <c r="J44" s="152"/>
    </row>
    <row r="45" spans="7:10" ht="12.75">
      <c r="G45" s="514"/>
      <c r="H45" s="514"/>
      <c r="I45" s="514"/>
      <c r="J45" s="137"/>
    </row>
    <row r="46" spans="7:10" ht="12.75">
      <c r="G46" s="514"/>
      <c r="H46" s="138"/>
      <c r="I46" s="514"/>
      <c r="J46" s="138"/>
    </row>
    <row r="49" spans="3:4" ht="12.75">
      <c r="C49" s="15"/>
      <c r="D49" s="16"/>
    </row>
    <row r="50" ht="12.75">
      <c r="D50" s="16"/>
    </row>
    <row r="51" spans="3:4" ht="12.75">
      <c r="C51" s="15"/>
      <c r="D51" s="16"/>
    </row>
    <row r="52" spans="3:4" ht="12.75">
      <c r="C52" s="15"/>
      <c r="D52" s="16"/>
    </row>
    <row r="53" spans="3:4" ht="12.75">
      <c r="C53" s="15"/>
      <c r="D53" s="16"/>
    </row>
    <row r="54" spans="3:4" ht="12.75">
      <c r="C54" s="15"/>
      <c r="D54" s="16"/>
    </row>
    <row r="55" ht="12.75">
      <c r="D55" s="16"/>
    </row>
    <row r="56" spans="3:4" ht="12.75">
      <c r="C56" s="15"/>
      <c r="D56" s="16"/>
    </row>
    <row r="57" ht="12.75">
      <c r="D57" s="17"/>
    </row>
  </sheetData>
  <sheetProtection/>
  <mergeCells count="4">
    <mergeCell ref="A4:F4"/>
    <mergeCell ref="A1:F1"/>
    <mergeCell ref="A2:F2"/>
    <mergeCell ref="A3:F3"/>
  </mergeCells>
  <printOptions horizontalCentered="1" verticalCentered="1"/>
  <pageMargins left="0.5" right="0.53" top="0.61" bottom="0.77" header="0.27" footer="0.27"/>
  <pageSetup horizontalDpi="600" verticalDpi="600" orientation="landscape" scale="95" r:id="rId1"/>
</worksheet>
</file>

<file path=xl/worksheets/sheet10.xml><?xml version="1.0" encoding="utf-8"?>
<worksheet xmlns="http://schemas.openxmlformats.org/spreadsheetml/2006/main" xmlns:r="http://schemas.openxmlformats.org/officeDocument/2006/relationships">
  <dimension ref="A1:P45"/>
  <sheetViews>
    <sheetView zoomScalePageLayoutView="0" workbookViewId="0" topLeftCell="A1">
      <pane xSplit="1" ySplit="7" topLeftCell="B8" activePane="bottomRight" state="frozen"/>
      <selection pane="topLeft" activeCell="E18" sqref="E18"/>
      <selection pane="topRight" activeCell="E18" sqref="E18"/>
      <selection pane="bottomLeft" activeCell="E18" sqref="E18"/>
      <selection pane="bottomRight" activeCell="A1" sqref="A1:L1"/>
    </sheetView>
  </sheetViews>
  <sheetFormatPr defaultColWidth="7.57421875" defaultRowHeight="12"/>
  <cols>
    <col min="1" max="1" width="4.00390625" style="18" customWidth="1"/>
    <col min="2" max="2" width="26.00390625" style="18" customWidth="1"/>
    <col min="3" max="3" width="11.00390625" style="18" customWidth="1"/>
    <col min="4" max="4" width="10.7109375" style="18" customWidth="1"/>
    <col min="5" max="5" width="11.8515625" style="18" customWidth="1"/>
    <col min="6" max="6" width="14.28125" style="18" customWidth="1"/>
    <col min="7" max="7" width="10.8515625" style="18" customWidth="1"/>
    <col min="8" max="8" width="10.140625" style="18" customWidth="1"/>
    <col min="9" max="9" width="11.7109375" style="18" customWidth="1"/>
    <col min="10" max="10" width="9.421875" style="18" customWidth="1"/>
    <col min="11" max="11" width="12.7109375" style="18" customWidth="1"/>
    <col min="12" max="12" width="9.57421875" style="18" customWidth="1"/>
    <col min="13" max="16384" width="7.57421875" style="18" customWidth="1"/>
  </cols>
  <sheetData>
    <row r="1" spans="1:16" ht="12.75" customHeight="1">
      <c r="A1" s="582" t="s">
        <v>20</v>
      </c>
      <c r="B1" s="582"/>
      <c r="C1" s="582"/>
      <c r="D1" s="582"/>
      <c r="E1" s="582"/>
      <c r="F1" s="582"/>
      <c r="G1" s="582"/>
      <c r="H1" s="582"/>
      <c r="I1" s="582"/>
      <c r="J1" s="582"/>
      <c r="K1" s="582"/>
      <c r="L1" s="582"/>
      <c r="M1" s="34"/>
      <c r="N1" s="34"/>
      <c r="O1" s="34"/>
      <c r="P1" s="34"/>
    </row>
    <row r="2" spans="1:16" s="19" customFormat="1" ht="13.5" customHeight="1">
      <c r="A2" s="582" t="s">
        <v>21</v>
      </c>
      <c r="B2" s="582"/>
      <c r="C2" s="582"/>
      <c r="D2" s="582"/>
      <c r="E2" s="582"/>
      <c r="F2" s="582"/>
      <c r="G2" s="582"/>
      <c r="H2" s="582"/>
      <c r="I2" s="582"/>
      <c r="J2" s="582"/>
      <c r="K2" s="582"/>
      <c r="L2" s="582"/>
      <c r="M2" s="34"/>
      <c r="N2" s="34"/>
      <c r="O2" s="34"/>
      <c r="P2" s="34"/>
    </row>
    <row r="3" spans="1:16" s="19" customFormat="1" ht="14.25" customHeight="1">
      <c r="A3" s="582" t="str">
        <f>'STD Cost Rate'!A3</f>
        <v>For The 12 Months Ended April 30, 2013</v>
      </c>
      <c r="B3" s="582"/>
      <c r="C3" s="582"/>
      <c r="D3" s="582"/>
      <c r="E3" s="582"/>
      <c r="F3" s="582"/>
      <c r="G3" s="582"/>
      <c r="H3" s="582"/>
      <c r="I3" s="582"/>
      <c r="J3" s="582"/>
      <c r="K3" s="582"/>
      <c r="L3" s="582"/>
      <c r="M3" s="34"/>
      <c r="N3" s="34"/>
      <c r="O3" s="34"/>
      <c r="P3" s="34"/>
    </row>
    <row r="4" spans="2:16" s="19" customFormat="1" ht="17.25" customHeight="1">
      <c r="B4" s="64"/>
      <c r="C4" s="64"/>
      <c r="D4" s="64"/>
      <c r="E4" s="35"/>
      <c r="F4" s="35"/>
      <c r="G4" s="35"/>
      <c r="H4" s="35"/>
      <c r="I4" s="35"/>
      <c r="J4" s="35"/>
      <c r="K4" s="35"/>
      <c r="L4" s="160"/>
      <c r="M4" s="34"/>
      <c r="N4" s="34"/>
      <c r="O4" s="34"/>
      <c r="P4" s="34"/>
    </row>
    <row r="5" spans="1:16" s="19" customFormat="1" ht="15" customHeight="1">
      <c r="A5" s="37">
        <v>1</v>
      </c>
      <c r="B5" s="131" t="s">
        <v>1</v>
      </c>
      <c r="C5" s="131" t="s">
        <v>22</v>
      </c>
      <c r="D5" s="131" t="s">
        <v>38</v>
      </c>
      <c r="E5" s="131" t="s">
        <v>50</v>
      </c>
      <c r="F5" s="131" t="s">
        <v>51</v>
      </c>
      <c r="G5" s="131" t="s">
        <v>52</v>
      </c>
      <c r="H5" s="131" t="s">
        <v>53</v>
      </c>
      <c r="I5" s="131" t="s">
        <v>54</v>
      </c>
      <c r="J5" s="131" t="s">
        <v>55</v>
      </c>
      <c r="K5" s="131" t="s">
        <v>61</v>
      </c>
      <c r="L5" s="131" t="s">
        <v>62</v>
      </c>
      <c r="M5" s="34"/>
      <c r="N5" s="34"/>
      <c r="O5" s="34"/>
      <c r="P5" s="34"/>
    </row>
    <row r="6" spans="1:16" s="19" customFormat="1" ht="18" customHeight="1">
      <c r="A6" s="37">
        <f aca="true" t="shared" si="0" ref="A6:A30">A5+1</f>
        <v>2</v>
      </c>
      <c r="B6" s="36" t="s">
        <v>0</v>
      </c>
      <c r="C6" s="583" t="s">
        <v>298</v>
      </c>
      <c r="D6" s="583" t="s">
        <v>151</v>
      </c>
      <c r="E6" s="583" t="s">
        <v>41</v>
      </c>
      <c r="F6" s="583" t="s">
        <v>112</v>
      </c>
      <c r="G6" s="583" t="s">
        <v>113</v>
      </c>
      <c r="H6" s="583" t="s">
        <v>114</v>
      </c>
      <c r="I6" s="584" t="s">
        <v>132</v>
      </c>
      <c r="J6" s="584" t="s">
        <v>152</v>
      </c>
      <c r="K6" s="584" t="s">
        <v>126</v>
      </c>
      <c r="L6" s="160"/>
      <c r="M6" s="34"/>
      <c r="N6" s="34"/>
      <c r="O6" s="34"/>
      <c r="P6" s="34"/>
    </row>
    <row r="7" spans="1:16" s="19" customFormat="1" ht="18" customHeight="1">
      <c r="A7" s="37">
        <f t="shared" si="0"/>
        <v>3</v>
      </c>
      <c r="B7" s="513" t="s">
        <v>12</v>
      </c>
      <c r="C7" s="584" t="s">
        <v>40</v>
      </c>
      <c r="D7" s="584"/>
      <c r="E7" s="584"/>
      <c r="F7" s="584"/>
      <c r="G7" s="584"/>
      <c r="H7" s="584"/>
      <c r="I7" s="584"/>
      <c r="J7" s="584"/>
      <c r="K7" s="584"/>
      <c r="L7" s="523" t="s">
        <v>115</v>
      </c>
      <c r="M7" s="34"/>
      <c r="N7" s="34"/>
      <c r="O7" s="34"/>
      <c r="P7" s="34"/>
    </row>
    <row r="8" spans="1:16" s="19" customFormat="1" ht="14.25" customHeight="1">
      <c r="A8" s="37">
        <f t="shared" si="0"/>
        <v>4</v>
      </c>
      <c r="B8" s="276"/>
      <c r="C8" s="241"/>
      <c r="D8" s="241"/>
      <c r="E8" s="241"/>
      <c r="F8" s="241"/>
      <c r="G8" s="241"/>
      <c r="H8" s="241"/>
      <c r="I8" s="241"/>
      <c r="J8" s="241"/>
      <c r="K8" s="241"/>
      <c r="L8" s="277"/>
      <c r="M8" s="34"/>
      <c r="N8" s="34"/>
      <c r="O8" s="34"/>
      <c r="P8" s="34"/>
    </row>
    <row r="9" spans="1:12" s="19" customFormat="1" ht="12.75" customHeight="1">
      <c r="A9" s="37">
        <f t="shared" si="0"/>
        <v>5</v>
      </c>
      <c r="B9" s="59" t="s">
        <v>124</v>
      </c>
      <c r="C9" s="57">
        <v>33959</v>
      </c>
      <c r="D9" s="57">
        <v>41264</v>
      </c>
      <c r="E9" s="60">
        <v>37770</v>
      </c>
      <c r="F9" s="60"/>
      <c r="G9" s="60"/>
      <c r="H9" s="161">
        <v>41264</v>
      </c>
      <c r="I9" s="436">
        <v>8236.59</v>
      </c>
      <c r="J9" s="185">
        <v>8</v>
      </c>
      <c r="K9" s="275">
        <f aca="true" t="shared" si="1" ref="K9:K26">+J9*I9</f>
        <v>65892.72</v>
      </c>
      <c r="L9" s="162">
        <v>18900333</v>
      </c>
    </row>
    <row r="10" spans="1:12" s="19" customFormat="1" ht="12.75" customHeight="1">
      <c r="A10" s="37">
        <f t="shared" si="0"/>
        <v>6</v>
      </c>
      <c r="B10" s="56">
        <v>0.1025</v>
      </c>
      <c r="C10" s="57">
        <v>32140</v>
      </c>
      <c r="D10" s="57">
        <v>35779</v>
      </c>
      <c r="E10" s="57">
        <v>35048</v>
      </c>
      <c r="F10" s="57"/>
      <c r="G10" s="57"/>
      <c r="H10" s="161">
        <v>42684</v>
      </c>
      <c r="I10" s="436">
        <v>1528</v>
      </c>
      <c r="J10" s="185">
        <v>12</v>
      </c>
      <c r="K10" s="275">
        <f t="shared" si="1"/>
        <v>18336</v>
      </c>
      <c r="L10" s="162">
        <v>18900013</v>
      </c>
    </row>
    <row r="11" spans="1:12" s="19" customFormat="1" ht="12.75" customHeight="1">
      <c r="A11" s="37">
        <f t="shared" si="0"/>
        <v>7</v>
      </c>
      <c r="B11" s="56" t="s">
        <v>155</v>
      </c>
      <c r="C11" s="57">
        <v>35587</v>
      </c>
      <c r="D11" s="57">
        <v>46539</v>
      </c>
      <c r="E11" s="57">
        <v>39234</v>
      </c>
      <c r="F11" s="57" t="s">
        <v>232</v>
      </c>
      <c r="G11" s="57">
        <v>39237</v>
      </c>
      <c r="H11" s="161">
        <v>42887</v>
      </c>
      <c r="I11" s="436">
        <v>15912.9</v>
      </c>
      <c r="J11" s="185">
        <v>12</v>
      </c>
      <c r="K11" s="275">
        <f t="shared" si="1"/>
        <v>190954.8</v>
      </c>
      <c r="L11" s="162">
        <v>18900383</v>
      </c>
    </row>
    <row r="12" spans="1:12" s="19" customFormat="1" ht="12.75" customHeight="1">
      <c r="A12" s="37">
        <f t="shared" si="0"/>
        <v>8</v>
      </c>
      <c r="B12" s="56">
        <v>0.0914</v>
      </c>
      <c r="C12" s="57">
        <v>33410</v>
      </c>
      <c r="D12" s="57">
        <v>37063</v>
      </c>
      <c r="E12" s="57">
        <v>35961</v>
      </c>
      <c r="F12" s="57" t="s">
        <v>233</v>
      </c>
      <c r="G12" s="57">
        <v>35961</v>
      </c>
      <c r="H12" s="161">
        <v>43266</v>
      </c>
      <c r="I12" s="436">
        <v>291.57</v>
      </c>
      <c r="J12" s="185">
        <v>12</v>
      </c>
      <c r="K12" s="275">
        <f t="shared" si="1"/>
        <v>3498.84</v>
      </c>
      <c r="L12" s="162">
        <v>18900243</v>
      </c>
    </row>
    <row r="13" spans="1:12" s="19" customFormat="1" ht="12.75" customHeight="1">
      <c r="A13" s="37">
        <f t="shared" si="0"/>
        <v>9</v>
      </c>
      <c r="B13" s="59" t="s">
        <v>122</v>
      </c>
      <c r="C13" s="57">
        <v>33616</v>
      </c>
      <c r="D13" s="57">
        <f>DATE(2022,1,12)</f>
        <v>44573</v>
      </c>
      <c r="E13" s="60">
        <v>37701</v>
      </c>
      <c r="F13" s="60"/>
      <c r="G13" s="60"/>
      <c r="H13" s="161">
        <f>DATE(2022,1,12)</f>
        <v>44573</v>
      </c>
      <c r="I13" s="436">
        <v>95.09</v>
      </c>
      <c r="J13" s="185">
        <v>12</v>
      </c>
      <c r="K13" s="275">
        <f t="shared" si="1"/>
        <v>1141.08</v>
      </c>
      <c r="L13" s="162">
        <v>18900293</v>
      </c>
    </row>
    <row r="14" spans="1:12" s="19" customFormat="1" ht="12.75" customHeight="1">
      <c r="A14" s="37">
        <f t="shared" si="0"/>
        <v>10</v>
      </c>
      <c r="B14" s="59" t="s">
        <v>123</v>
      </c>
      <c r="C14" s="57">
        <v>33616</v>
      </c>
      <c r="D14" s="57">
        <f>DATE(2022,1,13)</f>
        <v>44574</v>
      </c>
      <c r="E14" s="60">
        <v>37701</v>
      </c>
      <c r="F14" s="60"/>
      <c r="G14" s="60"/>
      <c r="H14" s="161">
        <f>DATE(2022,1,13)</f>
        <v>44574</v>
      </c>
      <c r="I14" s="436">
        <v>221.88</v>
      </c>
      <c r="J14" s="185">
        <v>12</v>
      </c>
      <c r="K14" s="275">
        <f t="shared" si="1"/>
        <v>2662.56</v>
      </c>
      <c r="L14" s="162">
        <v>18900303</v>
      </c>
    </row>
    <row r="15" spans="1:12" s="19" customFormat="1" ht="12.75" customHeight="1">
      <c r="A15" s="37">
        <f t="shared" si="0"/>
        <v>11</v>
      </c>
      <c r="B15" s="59" t="s">
        <v>149</v>
      </c>
      <c r="C15" s="57">
        <v>33828</v>
      </c>
      <c r="D15" s="57">
        <v>44785</v>
      </c>
      <c r="E15" s="60">
        <v>37770</v>
      </c>
      <c r="F15" s="60"/>
      <c r="G15" s="60"/>
      <c r="H15" s="161">
        <v>44785</v>
      </c>
      <c r="I15" s="436">
        <v>5207.14</v>
      </c>
      <c r="J15" s="185">
        <v>12</v>
      </c>
      <c r="K15" s="275">
        <f t="shared" si="1"/>
        <v>62485.68000000001</v>
      </c>
      <c r="L15" s="162">
        <v>18900323</v>
      </c>
    </row>
    <row r="16" spans="1:12" s="19" customFormat="1" ht="12.75" customHeight="1">
      <c r="A16" s="37">
        <f t="shared" si="0"/>
        <v>12</v>
      </c>
      <c r="B16" s="59" t="s">
        <v>150</v>
      </c>
      <c r="C16" s="57">
        <v>34199</v>
      </c>
      <c r="D16" s="57">
        <v>45156</v>
      </c>
      <c r="E16" s="60">
        <v>37851</v>
      </c>
      <c r="H16" s="161">
        <v>45156</v>
      </c>
      <c r="I16" s="436">
        <v>887.99</v>
      </c>
      <c r="J16" s="185">
        <v>12</v>
      </c>
      <c r="K16" s="275">
        <f t="shared" si="1"/>
        <v>10655.880000000001</v>
      </c>
      <c r="L16" s="162">
        <v>18900353</v>
      </c>
    </row>
    <row r="17" spans="1:12" s="19" customFormat="1" ht="12.75" customHeight="1">
      <c r="A17" s="37">
        <f t="shared" si="0"/>
        <v>13</v>
      </c>
      <c r="B17" s="56">
        <v>0.09625</v>
      </c>
      <c r="C17" s="57">
        <v>33161</v>
      </c>
      <c r="D17" s="57">
        <v>35718</v>
      </c>
      <c r="E17" s="57">
        <v>34372</v>
      </c>
      <c r="F17" s="57" t="s">
        <v>235</v>
      </c>
      <c r="G17" s="57">
        <v>34366</v>
      </c>
      <c r="H17" s="161">
        <v>45323</v>
      </c>
      <c r="I17" s="436">
        <v>14073.35</v>
      </c>
      <c r="J17" s="185">
        <v>12</v>
      </c>
      <c r="K17" s="275">
        <f t="shared" si="1"/>
        <v>168880.2</v>
      </c>
      <c r="L17" s="162">
        <v>18900173</v>
      </c>
    </row>
    <row r="18" spans="1:12" s="19" customFormat="1" ht="12.75" customHeight="1">
      <c r="A18" s="37">
        <f t="shared" si="0"/>
        <v>14</v>
      </c>
      <c r="B18" s="56" t="s">
        <v>153</v>
      </c>
      <c r="C18" s="57">
        <v>35587</v>
      </c>
      <c r="D18" s="57">
        <v>46539</v>
      </c>
      <c r="E18" s="57">
        <v>38504</v>
      </c>
      <c r="F18" s="57"/>
      <c r="G18" s="57"/>
      <c r="H18" s="161">
        <v>46539</v>
      </c>
      <c r="I18" s="436">
        <f>229804.18/12</f>
        <v>19150.34833333333</v>
      </c>
      <c r="J18" s="185">
        <v>12</v>
      </c>
      <c r="K18" s="275">
        <f t="shared" si="1"/>
        <v>229804.18</v>
      </c>
      <c r="L18" s="162">
        <v>18900193</v>
      </c>
    </row>
    <row r="19" spans="1:12" s="19" customFormat="1" ht="12.75" customHeight="1">
      <c r="A19" s="37">
        <f t="shared" si="0"/>
        <v>15</v>
      </c>
      <c r="B19" s="59" t="s">
        <v>118</v>
      </c>
      <c r="C19" s="57">
        <v>33457</v>
      </c>
      <c r="D19" s="57">
        <f>DATE(2021,8,1)</f>
        <v>44409</v>
      </c>
      <c r="E19" s="60">
        <v>37691</v>
      </c>
      <c r="F19" s="60" t="s">
        <v>234</v>
      </c>
      <c r="G19" s="60">
        <v>37691</v>
      </c>
      <c r="H19" s="161">
        <v>47908</v>
      </c>
      <c r="I19" s="436">
        <v>3790.04</v>
      </c>
      <c r="J19" s="185">
        <v>12</v>
      </c>
      <c r="K19" s="275">
        <f t="shared" si="1"/>
        <v>45480.479999999996</v>
      </c>
      <c r="L19" s="162">
        <v>18900253</v>
      </c>
    </row>
    <row r="20" spans="1:12" s="19" customFormat="1" ht="12.75" customHeight="1">
      <c r="A20" s="37">
        <f t="shared" si="0"/>
        <v>16</v>
      </c>
      <c r="B20" s="59" t="s">
        <v>119</v>
      </c>
      <c r="C20" s="57">
        <v>33457</v>
      </c>
      <c r="D20" s="57">
        <f>DATE(2021,8,1)</f>
        <v>44409</v>
      </c>
      <c r="E20" s="60">
        <v>37691</v>
      </c>
      <c r="F20" s="60" t="s">
        <v>234</v>
      </c>
      <c r="G20" s="60">
        <v>37691</v>
      </c>
      <c r="H20" s="161">
        <v>47908</v>
      </c>
      <c r="I20" s="436">
        <v>2880.12</v>
      </c>
      <c r="J20" s="185">
        <v>12</v>
      </c>
      <c r="K20" s="275">
        <f t="shared" si="1"/>
        <v>34561.44</v>
      </c>
      <c r="L20" s="162">
        <v>18900263</v>
      </c>
    </row>
    <row r="21" spans="1:12" s="19" customFormat="1" ht="12" customHeight="1">
      <c r="A21" s="37">
        <f t="shared" si="0"/>
        <v>17</v>
      </c>
      <c r="B21" s="59" t="s">
        <v>120</v>
      </c>
      <c r="C21" s="57">
        <v>33664</v>
      </c>
      <c r="D21" s="57">
        <f>DATE(2022,3,1)</f>
        <v>44621</v>
      </c>
      <c r="E21" s="60">
        <v>37691</v>
      </c>
      <c r="F21" s="60" t="s">
        <v>234</v>
      </c>
      <c r="G21" s="60">
        <v>37691</v>
      </c>
      <c r="H21" s="161">
        <v>47908</v>
      </c>
      <c r="I21" s="436">
        <v>8818.79</v>
      </c>
      <c r="J21" s="185">
        <v>12</v>
      </c>
      <c r="K21" s="275">
        <f t="shared" si="1"/>
        <v>105825.48000000001</v>
      </c>
      <c r="L21" s="162">
        <v>18900273</v>
      </c>
    </row>
    <row r="22" spans="1:12" s="19" customFormat="1" ht="12" customHeight="1">
      <c r="A22" s="37">
        <f t="shared" si="0"/>
        <v>18</v>
      </c>
      <c r="B22" s="59" t="s">
        <v>121</v>
      </c>
      <c r="C22" s="57">
        <v>34088</v>
      </c>
      <c r="D22" s="57">
        <f>DATE(2020,4,1)</f>
        <v>43922</v>
      </c>
      <c r="E22" s="60">
        <v>37691</v>
      </c>
      <c r="F22" s="60" t="s">
        <v>234</v>
      </c>
      <c r="G22" s="60">
        <v>37691</v>
      </c>
      <c r="H22" s="161">
        <v>47908</v>
      </c>
      <c r="I22" s="436">
        <v>2691.48</v>
      </c>
      <c r="J22" s="185">
        <v>12</v>
      </c>
      <c r="K22" s="275">
        <f t="shared" si="1"/>
        <v>32297.760000000002</v>
      </c>
      <c r="L22" s="162">
        <v>18900283</v>
      </c>
    </row>
    <row r="23" spans="1:12" s="19" customFormat="1" ht="12" customHeight="1">
      <c r="A23" s="37">
        <f t="shared" si="0"/>
        <v>19</v>
      </c>
      <c r="B23" s="56" t="s">
        <v>116</v>
      </c>
      <c r="C23" s="57">
        <v>38183</v>
      </c>
      <c r="D23" s="57">
        <v>38913</v>
      </c>
      <c r="E23" s="57">
        <v>38499</v>
      </c>
      <c r="F23" s="57" t="s">
        <v>117</v>
      </c>
      <c r="G23" s="57">
        <v>38499</v>
      </c>
      <c r="H23" s="161">
        <v>49456</v>
      </c>
      <c r="I23" s="436">
        <v>1423.88</v>
      </c>
      <c r="J23" s="185">
        <v>12</v>
      </c>
      <c r="K23" s="275">
        <f t="shared" si="1"/>
        <v>17086.56</v>
      </c>
      <c r="L23" s="162">
        <v>18900183</v>
      </c>
    </row>
    <row r="24" spans="1:12" s="19" customFormat="1" ht="12" customHeight="1">
      <c r="A24" s="37">
        <f t="shared" si="0"/>
        <v>20</v>
      </c>
      <c r="B24" s="56" t="s">
        <v>154</v>
      </c>
      <c r="C24" s="57">
        <v>37035</v>
      </c>
      <c r="D24" s="57">
        <v>51682</v>
      </c>
      <c r="E24" s="57">
        <v>38898</v>
      </c>
      <c r="F24" s="57" t="s">
        <v>231</v>
      </c>
      <c r="G24" s="57">
        <v>38898</v>
      </c>
      <c r="H24" s="161">
        <v>49841</v>
      </c>
      <c r="I24" s="436">
        <v>16418.45</v>
      </c>
      <c r="J24" s="185">
        <v>12</v>
      </c>
      <c r="K24" s="275">
        <f t="shared" si="1"/>
        <v>197021.40000000002</v>
      </c>
      <c r="L24" s="162">
        <v>18900373</v>
      </c>
    </row>
    <row r="25" spans="1:12" s="19" customFormat="1" ht="12" customHeight="1">
      <c r="A25" s="37">
        <f t="shared" si="0"/>
        <v>21</v>
      </c>
      <c r="B25" s="56" t="s">
        <v>304</v>
      </c>
      <c r="C25" s="57">
        <v>33117</v>
      </c>
      <c r="D25" s="57">
        <v>44075</v>
      </c>
      <c r="E25" s="57">
        <v>40900</v>
      </c>
      <c r="F25" s="57" t="s">
        <v>305</v>
      </c>
      <c r="G25" s="57">
        <v>40869</v>
      </c>
      <c r="H25" s="161">
        <v>18947</v>
      </c>
      <c r="I25" s="436">
        <f>15979218/(40*12)</f>
        <v>33290.0375</v>
      </c>
      <c r="J25" s="185">
        <v>12</v>
      </c>
      <c r="K25" s="275">
        <f t="shared" si="1"/>
        <v>399480.44999999995</v>
      </c>
      <c r="L25" s="162"/>
    </row>
    <row r="26" spans="1:12" s="19" customFormat="1" ht="12" customHeight="1">
      <c r="A26" s="37">
        <f>A25+1</f>
        <v>22</v>
      </c>
      <c r="B26" s="56" t="s">
        <v>309</v>
      </c>
      <c r="C26" s="57">
        <v>37691</v>
      </c>
      <c r="D26" s="57">
        <v>47908</v>
      </c>
      <c r="E26" s="57">
        <v>41426</v>
      </c>
      <c r="F26" s="57" t="s">
        <v>310</v>
      </c>
      <c r="G26" s="57">
        <v>41417</v>
      </c>
      <c r="H26" s="161">
        <v>47908</v>
      </c>
      <c r="I26" s="436">
        <v>29214</v>
      </c>
      <c r="J26" s="185">
        <v>12</v>
      </c>
      <c r="K26" s="275">
        <f t="shared" si="1"/>
        <v>350568</v>
      </c>
      <c r="L26" s="162"/>
    </row>
    <row r="27" spans="1:12" s="19" customFormat="1" ht="12.75" customHeight="1" thickBot="1">
      <c r="A27" s="37">
        <f>A26+1</f>
        <v>23</v>
      </c>
      <c r="B27" s="55" t="s">
        <v>23</v>
      </c>
      <c r="C27" s="61"/>
      <c r="D27" s="61"/>
      <c r="E27" s="61"/>
      <c r="F27" s="61"/>
      <c r="G27" s="61"/>
      <c r="H27" s="61"/>
      <c r="I27" s="437">
        <f>SUM(I8:I26)</f>
        <v>164131.65583333332</v>
      </c>
      <c r="J27" s="61"/>
      <c r="K27" s="362">
        <f>SUM(K8:K26)</f>
        <v>1936633.51</v>
      </c>
      <c r="L27" s="163"/>
    </row>
    <row r="28" spans="1:12" s="19" customFormat="1" ht="12.75" customHeight="1" thickTop="1">
      <c r="A28" s="37">
        <f t="shared" si="0"/>
        <v>24</v>
      </c>
      <c r="B28" s="164"/>
      <c r="C28" s="165"/>
      <c r="D28" s="165"/>
      <c r="E28" s="165"/>
      <c r="F28" s="165"/>
      <c r="G28" s="165"/>
      <c r="H28" s="165"/>
      <c r="I28" s="165"/>
      <c r="J28" s="165"/>
      <c r="K28" s="165"/>
      <c r="L28" s="166"/>
    </row>
    <row r="29" spans="1:12" s="19" customFormat="1" ht="12.75" customHeight="1">
      <c r="A29" s="37">
        <f t="shared" si="0"/>
        <v>25</v>
      </c>
      <c r="C29" s="34"/>
      <c r="D29" s="34"/>
      <c r="E29" s="34"/>
      <c r="F29" s="34"/>
      <c r="G29" s="34"/>
      <c r="H29" s="129"/>
      <c r="I29" s="435"/>
      <c r="J29" s="129"/>
      <c r="K29" s="129"/>
      <c r="L29" s="167"/>
    </row>
    <row r="30" spans="1:12" s="19" customFormat="1" ht="12.75" customHeight="1">
      <c r="A30" s="37">
        <f t="shared" si="0"/>
        <v>26</v>
      </c>
      <c r="B30" s="82" t="s">
        <v>127</v>
      </c>
      <c r="C30" s="130"/>
      <c r="D30" s="34"/>
      <c r="E30" s="34"/>
      <c r="F30" s="34"/>
      <c r="G30" s="34"/>
      <c r="H30" s="129"/>
      <c r="I30" s="129"/>
      <c r="J30" s="129"/>
      <c r="K30" s="129"/>
      <c r="L30" s="167"/>
    </row>
    <row r="31" spans="1:12" s="19" customFormat="1" ht="12.75" customHeight="1">
      <c r="A31" s="37"/>
      <c r="C31" s="34"/>
      <c r="D31" s="34"/>
      <c r="E31" s="34"/>
      <c r="F31" s="34"/>
      <c r="G31" s="34"/>
      <c r="H31" s="129"/>
      <c r="I31" s="129"/>
      <c r="J31" s="129"/>
      <c r="K31" s="274"/>
      <c r="L31" s="166"/>
    </row>
    <row r="32" spans="1:11" s="19" customFormat="1" ht="12.75" customHeight="1">
      <c r="A32" s="37"/>
      <c r="H32" s="20"/>
      <c r="I32" s="20"/>
      <c r="J32" s="20"/>
      <c r="K32" s="20"/>
    </row>
    <row r="33" spans="1:12" s="19" customFormat="1" ht="12.75" customHeight="1">
      <c r="A33" s="37"/>
      <c r="B33" s="83"/>
      <c r="H33" s="20"/>
      <c r="I33" s="20"/>
      <c r="J33" s="532" t="s">
        <v>311</v>
      </c>
      <c r="K33" s="436">
        <v>3938343.78</v>
      </c>
      <c r="L33" s="162"/>
    </row>
    <row r="34" spans="1:11" s="19" customFormat="1" ht="12.75" customHeight="1">
      <c r="A34" s="37"/>
      <c r="B34" s="83"/>
      <c r="H34" s="20"/>
      <c r="I34" s="20"/>
      <c r="J34" s="532" t="s">
        <v>312</v>
      </c>
      <c r="K34" s="436">
        <v>665587.47</v>
      </c>
    </row>
    <row r="35" spans="2:11" s="19" customFormat="1" ht="12.75" customHeight="1">
      <c r="B35" s="526"/>
      <c r="H35" s="20"/>
      <c r="I35" s="20"/>
      <c r="J35" s="532" t="s">
        <v>313</v>
      </c>
      <c r="K35" s="436">
        <v>1618600</v>
      </c>
    </row>
    <row r="36" spans="8:11" s="19" customFormat="1" ht="12.75" customHeight="1">
      <c r="H36" s="20"/>
      <c r="I36" s="20"/>
      <c r="J36" s="533"/>
      <c r="K36" s="534">
        <f>SUM(K33:K35)</f>
        <v>6222531.25</v>
      </c>
    </row>
    <row r="37" spans="8:11" s="19" customFormat="1" ht="12.75" customHeight="1">
      <c r="H37" s="20"/>
      <c r="I37" s="20"/>
      <c r="J37" s="532" t="s">
        <v>314</v>
      </c>
      <c r="K37" s="535">
        <f>(18*12)-3</f>
        <v>213</v>
      </c>
    </row>
    <row r="38" spans="8:11" s="19" customFormat="1" ht="12.75" customHeight="1">
      <c r="H38" s="20"/>
      <c r="I38" s="20"/>
      <c r="J38" s="532" t="s">
        <v>315</v>
      </c>
      <c r="K38" s="436">
        <f>K36/K37</f>
        <v>29213.7617370892</v>
      </c>
    </row>
    <row r="39" spans="8:11" s="19" customFormat="1" ht="12.75" customHeight="1">
      <c r="H39" s="20"/>
      <c r="I39" s="20"/>
      <c r="J39" s="532" t="s">
        <v>316</v>
      </c>
      <c r="K39" s="436">
        <v>350565.1408450704</v>
      </c>
    </row>
    <row r="40" spans="8:11" s="19" customFormat="1" ht="12.75" customHeight="1">
      <c r="H40" s="20"/>
      <c r="I40" s="20"/>
      <c r="J40" s="20"/>
      <c r="K40" s="20"/>
    </row>
    <row r="41" spans="8:11" s="19" customFormat="1" ht="12.75" customHeight="1">
      <c r="H41" s="20"/>
      <c r="I41" s="20"/>
      <c r="J41" s="20"/>
      <c r="K41" s="20"/>
    </row>
    <row r="42" spans="8:11" s="19" customFormat="1" ht="12.75" customHeight="1">
      <c r="H42" s="20"/>
      <c r="I42" s="20"/>
      <c r="J42" s="20"/>
      <c r="K42" s="20"/>
    </row>
    <row r="43" spans="8:11" s="19" customFormat="1" ht="12.75" customHeight="1">
      <c r="H43" s="20"/>
      <c r="I43" s="20"/>
      <c r="J43" s="20"/>
      <c r="K43" s="20"/>
    </row>
    <row r="44" spans="8:11" s="19" customFormat="1" ht="12.75" customHeight="1">
      <c r="H44" s="20"/>
      <c r="I44" s="20"/>
      <c r="J44" s="20"/>
      <c r="K44" s="20"/>
    </row>
    <row r="45" spans="8:11" s="19" customFormat="1" ht="12.75" customHeight="1">
      <c r="H45" s="20"/>
      <c r="I45" s="20"/>
      <c r="J45" s="20"/>
      <c r="K45" s="20"/>
    </row>
    <row r="46" s="19" customFormat="1" ht="12.75" customHeight="1"/>
    <row r="47" s="19" customFormat="1" ht="12.75" customHeight="1"/>
    <row r="48" s="19" customFormat="1" ht="12.75" customHeight="1"/>
    <row r="49" s="19" customFormat="1" ht="12.75" customHeight="1"/>
    <row r="50" s="19" customFormat="1" ht="12.75" customHeight="1"/>
    <row r="51" s="19" customFormat="1" ht="12.75" customHeight="1"/>
    <row r="52" s="19" customFormat="1" ht="12.75" customHeight="1"/>
    <row r="53" s="19" customFormat="1" ht="15.75"/>
    <row r="54" s="19" customFormat="1" ht="15.75"/>
    <row r="55" s="19" customFormat="1" ht="15.75"/>
    <row r="56" s="19" customFormat="1" ht="15.75"/>
    <row r="57" s="19" customFormat="1" ht="15.75"/>
    <row r="58" s="19" customFormat="1" ht="15.75"/>
    <row r="59" s="19" customFormat="1" ht="15.75"/>
    <row r="60" s="19" customFormat="1" ht="15.75"/>
    <row r="61" s="19" customFormat="1" ht="15.75"/>
    <row r="62" s="19" customFormat="1" ht="15.75"/>
    <row r="63" s="19" customFormat="1" ht="15.75"/>
    <row r="64" s="19" customFormat="1" ht="15.75"/>
    <row r="65" s="19" customFormat="1" ht="15.75"/>
    <row r="66" s="19" customFormat="1" ht="15.75"/>
    <row r="67" s="19" customFormat="1" ht="15.75"/>
    <row r="68" s="19" customFormat="1" ht="15.75"/>
    <row r="69" s="19" customFormat="1" ht="15.75"/>
    <row r="70" s="19" customFormat="1" ht="15.75"/>
    <row r="71" s="19" customFormat="1" ht="15.75"/>
    <row r="72" s="19" customFormat="1" ht="15.75"/>
    <row r="73" s="19" customFormat="1" ht="15.75"/>
    <row r="74" s="19" customFormat="1" ht="15.75"/>
    <row r="75" s="19" customFormat="1" ht="15.75"/>
    <row r="76" s="19" customFormat="1" ht="15.75"/>
    <row r="77" s="19" customFormat="1" ht="15.75"/>
  </sheetData>
  <sheetProtection/>
  <mergeCells count="12">
    <mergeCell ref="I6:I7"/>
    <mergeCell ref="J6:J7"/>
    <mergeCell ref="A1:L1"/>
    <mergeCell ref="A2:L2"/>
    <mergeCell ref="A3:L3"/>
    <mergeCell ref="K6:K7"/>
    <mergeCell ref="E6:E7"/>
    <mergeCell ref="H6:H7"/>
    <mergeCell ref="F6:F7"/>
    <mergeCell ref="G6:G7"/>
    <mergeCell ref="C6:C7"/>
    <mergeCell ref="D6:D7"/>
  </mergeCells>
  <printOptions horizontalCentered="1" verticalCentered="1"/>
  <pageMargins left="0.5" right="0.53" top="0.61" bottom="0.77" header="0.27" footer="0.27"/>
  <pageSetup horizontalDpi="600" verticalDpi="600" orientation="landscape" scale="95" r:id="rId1"/>
</worksheet>
</file>

<file path=xl/worksheets/sheet11.xml><?xml version="1.0" encoding="utf-8"?>
<worksheet xmlns="http://schemas.openxmlformats.org/spreadsheetml/2006/main" xmlns:r="http://schemas.openxmlformats.org/officeDocument/2006/relationships">
  <sheetPr>
    <pageSetUpPr fitToPage="1"/>
  </sheetPr>
  <dimension ref="A1:BR132"/>
  <sheetViews>
    <sheetView zoomScalePageLayoutView="0" workbookViewId="0" topLeftCell="A1">
      <selection activeCell="J17" sqref="J17"/>
    </sheetView>
  </sheetViews>
  <sheetFormatPr defaultColWidth="8.7109375" defaultRowHeight="12"/>
  <cols>
    <col min="1" max="1" width="4.7109375" style="242" customWidth="1"/>
    <col min="2" max="2" width="19.57421875" style="21" customWidth="1"/>
    <col min="3" max="3" width="10.140625" style="21" customWidth="1"/>
    <col min="4" max="5" width="9.7109375" style="21" customWidth="1"/>
    <col min="6" max="6" width="7.7109375" style="21" customWidth="1"/>
    <col min="7" max="7" width="11.00390625" style="21" customWidth="1"/>
    <col min="8" max="8" width="11.57421875" style="21" customWidth="1"/>
    <col min="9" max="9" width="8.7109375" style="21" customWidth="1"/>
    <col min="10" max="10" width="10.57421875" style="21" customWidth="1"/>
    <col min="11" max="16384" width="8.7109375" style="21" customWidth="1"/>
  </cols>
  <sheetData>
    <row r="1" spans="2:43" ht="15.75">
      <c r="B1" s="263" t="s">
        <v>20</v>
      </c>
      <c r="C1" s="263"/>
      <c r="D1" s="263"/>
      <c r="E1" s="263"/>
      <c r="F1" s="263"/>
      <c r="G1" s="263"/>
      <c r="H1" s="263"/>
      <c r="I1" s="263"/>
      <c r="J1" s="263"/>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row>
    <row r="2" spans="2:43" ht="15.75">
      <c r="B2" s="278" t="s">
        <v>229</v>
      </c>
      <c r="C2" s="263"/>
      <c r="D2" s="263"/>
      <c r="E2" s="263"/>
      <c r="F2" s="263"/>
      <c r="G2" s="263"/>
      <c r="H2" s="263"/>
      <c r="I2" s="263"/>
      <c r="J2" s="263"/>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row>
    <row r="3" spans="1:43" ht="15.75">
      <c r="A3" s="21"/>
      <c r="B3" s="279" t="str">
        <f>'STD Cost Rate'!A3</f>
        <v>For The 12 Months Ended April 30, 2013</v>
      </c>
      <c r="C3" s="279"/>
      <c r="D3" s="279"/>
      <c r="E3" s="279"/>
      <c r="F3" s="279"/>
      <c r="G3" s="279"/>
      <c r="H3" s="279"/>
      <c r="I3" s="279"/>
      <c r="J3" s="279"/>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row>
    <row r="4" spans="1:43" ht="15.75">
      <c r="A4" s="243"/>
      <c r="B4" s="395"/>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row>
    <row r="5" spans="1:43" ht="15.75">
      <c r="A5" s="244"/>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row>
    <row r="6" spans="1:70" ht="15.75">
      <c r="A6" s="244">
        <v>1</v>
      </c>
      <c r="B6" s="226" t="s">
        <v>1</v>
      </c>
      <c r="C6" s="226" t="s">
        <v>22</v>
      </c>
      <c r="D6" s="226" t="s">
        <v>38</v>
      </c>
      <c r="E6" s="226" t="s">
        <v>50</v>
      </c>
      <c r="F6" s="226" t="s">
        <v>51</v>
      </c>
      <c r="G6" s="74" t="s">
        <v>52</v>
      </c>
      <c r="H6" s="226" t="s">
        <v>53</v>
      </c>
      <c r="I6" s="226" t="s">
        <v>54</v>
      </c>
      <c r="J6" s="226" t="s">
        <v>55</v>
      </c>
      <c r="K6" s="78"/>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6"/>
      <c r="AS6" s="246"/>
      <c r="AT6" s="246"/>
      <c r="AU6" s="246"/>
      <c r="AV6" s="246"/>
      <c r="AW6" s="246"/>
      <c r="AX6" s="246"/>
      <c r="AY6" s="246"/>
      <c r="AZ6" s="246"/>
      <c r="BA6" s="246"/>
      <c r="BB6" s="246"/>
      <c r="BC6" s="246"/>
      <c r="BD6" s="246"/>
      <c r="BE6" s="246"/>
      <c r="BF6" s="246"/>
      <c r="BG6" s="246"/>
      <c r="BH6" s="246"/>
      <c r="BI6" s="246"/>
      <c r="BJ6" s="246"/>
      <c r="BK6" s="246"/>
      <c r="BL6" s="246"/>
      <c r="BM6" s="246"/>
      <c r="BN6" s="246"/>
      <c r="BO6" s="246"/>
      <c r="BP6" s="246"/>
      <c r="BQ6" s="246"/>
      <c r="BR6" s="246"/>
    </row>
    <row r="7" spans="1:70" ht="15.75">
      <c r="A7" s="244">
        <f aca="true" t="shared" si="0" ref="A7:A18">+A6+1</f>
        <v>2</v>
      </c>
      <c r="B7" s="247"/>
      <c r="C7" s="247"/>
      <c r="D7" s="247"/>
      <c r="E7" s="247"/>
      <c r="F7" s="247"/>
      <c r="G7" s="248"/>
      <c r="H7" s="247"/>
      <c r="J7" s="240"/>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46"/>
      <c r="BR7" s="246"/>
    </row>
    <row r="8" spans="1:70" ht="34.5">
      <c r="A8" s="244">
        <f t="shared" si="0"/>
        <v>3</v>
      </c>
      <c r="B8" s="247"/>
      <c r="C8" s="206" t="s">
        <v>40</v>
      </c>
      <c r="D8" s="206" t="s">
        <v>58</v>
      </c>
      <c r="E8" s="206" t="s">
        <v>128</v>
      </c>
      <c r="F8" s="206" t="s">
        <v>44</v>
      </c>
      <c r="G8" s="206" t="s">
        <v>160</v>
      </c>
      <c r="H8" s="206" t="s">
        <v>88</v>
      </c>
      <c r="I8" s="206" t="s">
        <v>230</v>
      </c>
      <c r="J8" s="206" t="s">
        <v>42</v>
      </c>
      <c r="K8" s="245"/>
      <c r="L8" s="245"/>
      <c r="M8" s="245"/>
      <c r="N8" s="245"/>
      <c r="O8" s="245"/>
      <c r="P8" s="245"/>
      <c r="Q8" s="245"/>
      <c r="R8" s="245"/>
      <c r="S8" s="245"/>
      <c r="T8" s="245"/>
      <c r="U8" s="245"/>
      <c r="V8" s="245"/>
      <c r="W8" s="245"/>
      <c r="X8" s="245"/>
      <c r="Y8" s="245"/>
      <c r="Z8" s="245"/>
      <c r="AA8" s="245"/>
      <c r="AB8" s="245"/>
      <c r="AC8" s="245"/>
      <c r="AD8" s="245"/>
      <c r="AE8" s="245"/>
      <c r="AF8" s="246"/>
      <c r="AG8" s="245"/>
      <c r="AH8" s="245"/>
      <c r="AI8" s="245"/>
      <c r="AJ8" s="245"/>
      <c r="AK8" s="245"/>
      <c r="AL8" s="245"/>
      <c r="AM8" s="245"/>
      <c r="AN8" s="245"/>
      <c r="AO8" s="245"/>
      <c r="AP8" s="245"/>
      <c r="AQ8" s="245"/>
      <c r="AR8" s="246"/>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c r="BR8" s="246"/>
    </row>
    <row r="9" spans="1:70" ht="15.75">
      <c r="A9" s="244">
        <f t="shared" si="0"/>
        <v>4</v>
      </c>
      <c r="B9" s="207" t="s">
        <v>156</v>
      </c>
      <c r="C9" s="249"/>
      <c r="D9" s="249"/>
      <c r="E9" s="208"/>
      <c r="F9" s="208"/>
      <c r="G9" s="200"/>
      <c r="H9" s="250"/>
      <c r="J9" s="251"/>
      <c r="K9" s="202"/>
      <c r="L9" s="233"/>
      <c r="M9" s="245"/>
      <c r="N9" s="245"/>
      <c r="O9" s="245"/>
      <c r="P9" s="245"/>
      <c r="Q9" s="245"/>
      <c r="R9" s="245"/>
      <c r="S9" s="245"/>
      <c r="T9" s="245"/>
      <c r="U9" s="245"/>
      <c r="V9" s="245"/>
      <c r="W9" s="245"/>
      <c r="X9" s="245"/>
      <c r="Y9" s="245"/>
      <c r="Z9" s="245"/>
      <c r="AA9" s="245"/>
      <c r="AB9" s="245"/>
      <c r="AC9" s="245"/>
      <c r="AD9" s="245"/>
      <c r="AE9" s="245"/>
      <c r="AF9" s="246"/>
      <c r="AG9" s="245"/>
      <c r="AH9" s="245"/>
      <c r="AI9" s="245"/>
      <c r="AJ9" s="245"/>
      <c r="AK9" s="245"/>
      <c r="AL9" s="245"/>
      <c r="AM9" s="245"/>
      <c r="AN9" s="245"/>
      <c r="AO9" s="245"/>
      <c r="AP9" s="245"/>
      <c r="AQ9" s="245"/>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row>
    <row r="10" spans="1:70" ht="14.25" customHeight="1">
      <c r="A10" s="244">
        <f t="shared" si="0"/>
        <v>5</v>
      </c>
      <c r="C10" s="253"/>
      <c r="D10" s="254"/>
      <c r="E10" s="255"/>
      <c r="F10" s="247"/>
      <c r="G10" s="247"/>
      <c r="H10" s="247"/>
      <c r="J10" s="256"/>
      <c r="K10" s="202"/>
      <c r="L10" s="233"/>
      <c r="M10" s="257"/>
      <c r="N10" s="245"/>
      <c r="O10" s="245"/>
      <c r="P10" s="245"/>
      <c r="Q10" s="245"/>
      <c r="R10" s="245"/>
      <c r="S10" s="245"/>
      <c r="T10" s="245"/>
      <c r="U10" s="245"/>
      <c r="V10" s="245"/>
      <c r="W10" s="245"/>
      <c r="X10" s="245"/>
      <c r="Y10" s="245"/>
      <c r="Z10" s="245"/>
      <c r="AA10" s="245"/>
      <c r="AB10" s="245"/>
      <c r="AC10" s="245"/>
      <c r="AD10" s="245"/>
      <c r="AE10" s="245"/>
      <c r="AF10" s="246"/>
      <c r="AG10" s="245"/>
      <c r="AH10" s="245"/>
      <c r="AI10" s="245"/>
      <c r="AJ10" s="245"/>
      <c r="AK10" s="245"/>
      <c r="AL10" s="245"/>
      <c r="AM10" s="245"/>
      <c r="AN10" s="245"/>
      <c r="AO10" s="245"/>
      <c r="AP10" s="245"/>
      <c r="AQ10" s="245"/>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row>
    <row r="11" spans="1:70" ht="15.75">
      <c r="A11" s="244">
        <f t="shared" si="0"/>
        <v>6</v>
      </c>
      <c r="B11" s="197" t="s">
        <v>26</v>
      </c>
      <c r="C11" s="198">
        <v>22830</v>
      </c>
      <c r="D11" s="198" t="s">
        <v>59</v>
      </c>
      <c r="E11" s="199" t="s">
        <v>125</v>
      </c>
      <c r="F11" s="194">
        <v>0.0484</v>
      </c>
      <c r="G11" s="200">
        <v>1458300</v>
      </c>
      <c r="H11" s="193">
        <v>97.86666666666667</v>
      </c>
      <c r="I11" s="258">
        <v>0.0495</v>
      </c>
      <c r="J11" s="201">
        <f>+I11*G11</f>
        <v>72185.85</v>
      </c>
      <c r="K11" s="258"/>
      <c r="L11" s="245"/>
      <c r="M11" s="245"/>
      <c r="N11" s="245"/>
      <c r="O11" s="245"/>
      <c r="P11" s="245"/>
      <c r="Q11" s="245"/>
      <c r="R11" s="245"/>
      <c r="S11" s="245"/>
      <c r="T11" s="245"/>
      <c r="U11" s="245"/>
      <c r="V11" s="245"/>
      <c r="W11" s="245"/>
      <c r="X11" s="245"/>
      <c r="Y11" s="245"/>
      <c r="Z11" s="245"/>
      <c r="AA11" s="245"/>
      <c r="AB11" s="245"/>
      <c r="AC11" s="245"/>
      <c r="AD11" s="245"/>
      <c r="AE11" s="245"/>
      <c r="AF11" s="246"/>
      <c r="AG11" s="245"/>
      <c r="AH11" s="245"/>
      <c r="AI11" s="245"/>
      <c r="AJ11" s="245"/>
      <c r="AK11" s="245"/>
      <c r="AL11" s="245"/>
      <c r="AM11" s="245"/>
      <c r="AN11" s="245"/>
      <c r="AO11" s="245"/>
      <c r="AP11" s="245"/>
      <c r="AQ11" s="245"/>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row>
    <row r="12" spans="1:70" ht="15.75">
      <c r="A12" s="244">
        <f t="shared" si="0"/>
        <v>7</v>
      </c>
      <c r="B12" s="197" t="s">
        <v>25</v>
      </c>
      <c r="C12" s="198">
        <v>23516</v>
      </c>
      <c r="D12" s="198" t="s">
        <v>59</v>
      </c>
      <c r="E12" s="199" t="s">
        <v>125</v>
      </c>
      <c r="F12" s="194">
        <v>0.047</v>
      </c>
      <c r="G12" s="200">
        <v>431100</v>
      </c>
      <c r="H12" s="193">
        <v>98.516</v>
      </c>
      <c r="I12" s="258">
        <v>0.0477</v>
      </c>
      <c r="J12" s="201">
        <f>+I12*G12</f>
        <v>20563.47</v>
      </c>
      <c r="K12" s="258"/>
      <c r="L12" s="245"/>
      <c r="M12" s="245"/>
      <c r="N12" s="245"/>
      <c r="O12" s="245"/>
      <c r="P12" s="245"/>
      <c r="Q12" s="245"/>
      <c r="R12" s="245"/>
      <c r="S12" s="245"/>
      <c r="T12" s="245"/>
      <c r="U12" s="245"/>
      <c r="V12" s="245"/>
      <c r="W12" s="245"/>
      <c r="X12" s="245"/>
      <c r="Y12" s="245"/>
      <c r="Z12" s="245"/>
      <c r="AA12" s="245"/>
      <c r="AB12" s="245"/>
      <c r="AC12" s="245"/>
      <c r="AD12" s="245"/>
      <c r="AE12" s="245"/>
      <c r="AF12" s="246"/>
      <c r="AG12" s="245"/>
      <c r="AH12" s="245"/>
      <c r="AI12" s="245"/>
      <c r="AJ12" s="245"/>
      <c r="AK12" s="245"/>
      <c r="AL12" s="245"/>
      <c r="AM12" s="245"/>
      <c r="AN12" s="245"/>
      <c r="AO12" s="245"/>
      <c r="AP12" s="245"/>
      <c r="AQ12" s="245"/>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row>
    <row r="13" spans="1:70" ht="15.75">
      <c r="A13" s="244">
        <f t="shared" si="0"/>
        <v>8</v>
      </c>
      <c r="B13" s="197" t="s">
        <v>60</v>
      </c>
      <c r="C13" s="199"/>
      <c r="D13" s="199"/>
      <c r="E13" s="199"/>
      <c r="F13" s="194"/>
      <c r="H13" s="200"/>
      <c r="I13" s="248" t="s">
        <v>157</v>
      </c>
      <c r="J13" s="71">
        <f>'Reacquired PS '!G23</f>
        <v>69862.5</v>
      </c>
      <c r="K13" s="245"/>
      <c r="L13" s="245"/>
      <c r="M13" s="245"/>
      <c r="N13" s="245"/>
      <c r="O13" s="245"/>
      <c r="P13" s="245"/>
      <c r="Q13" s="245"/>
      <c r="R13" s="245"/>
      <c r="S13" s="245"/>
      <c r="T13" s="245"/>
      <c r="U13" s="245"/>
      <c r="V13" s="245"/>
      <c r="W13" s="245"/>
      <c r="X13" s="245"/>
      <c r="Y13" s="245"/>
      <c r="Z13" s="245"/>
      <c r="AA13" s="245"/>
      <c r="AB13" s="245"/>
      <c r="AC13" s="245"/>
      <c r="AD13" s="245"/>
      <c r="AE13" s="245"/>
      <c r="AF13" s="246"/>
      <c r="AG13" s="245"/>
      <c r="AH13" s="245"/>
      <c r="AI13" s="245"/>
      <c r="AJ13" s="245"/>
      <c r="AK13" s="245"/>
      <c r="AL13" s="245"/>
      <c r="AM13" s="245"/>
      <c r="AN13" s="245"/>
      <c r="AO13" s="245"/>
      <c r="AP13" s="245"/>
      <c r="AQ13" s="245"/>
      <c r="AR13" s="246"/>
      <c r="AS13" s="246"/>
      <c r="AT13" s="246"/>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246"/>
      <c r="BQ13" s="246"/>
      <c r="BR13" s="246"/>
    </row>
    <row r="14" spans="1:70" ht="16.5" thickBot="1">
      <c r="A14" s="244">
        <f t="shared" si="0"/>
        <v>9</v>
      </c>
      <c r="B14" s="247"/>
      <c r="C14" s="247"/>
      <c r="D14" s="247"/>
      <c r="E14" s="247"/>
      <c r="F14" s="194"/>
      <c r="G14" s="293">
        <f>SUM(G11:G12)</f>
        <v>1889400</v>
      </c>
      <c r="H14" s="259"/>
      <c r="I14" s="252">
        <f>+J14/G14</f>
        <v>0.08606532232454749</v>
      </c>
      <c r="J14" s="294">
        <f>SUM(J11:J13)</f>
        <v>162611.82</v>
      </c>
      <c r="K14" s="245"/>
      <c r="L14" s="245"/>
      <c r="M14" s="245"/>
      <c r="N14" s="245"/>
      <c r="O14" s="245"/>
      <c r="P14" s="245"/>
      <c r="Q14" s="245"/>
      <c r="R14" s="245"/>
      <c r="S14" s="245"/>
      <c r="T14" s="245"/>
      <c r="U14" s="245"/>
      <c r="V14" s="245"/>
      <c r="W14" s="245"/>
      <c r="X14" s="245"/>
      <c r="Y14" s="245"/>
      <c r="Z14" s="245"/>
      <c r="AA14" s="245"/>
      <c r="AB14" s="245"/>
      <c r="AC14" s="245"/>
      <c r="AD14" s="245"/>
      <c r="AE14" s="245"/>
      <c r="AF14" s="246"/>
      <c r="AG14" s="245"/>
      <c r="AH14" s="245"/>
      <c r="AI14" s="245"/>
      <c r="AJ14" s="245"/>
      <c r="AK14" s="245"/>
      <c r="AL14" s="245"/>
      <c r="AM14" s="245"/>
      <c r="AN14" s="245"/>
      <c r="AO14" s="245"/>
      <c r="AP14" s="245"/>
      <c r="AQ14" s="245"/>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6"/>
    </row>
    <row r="15" spans="1:70" ht="16.5" thickTop="1">
      <c r="A15" s="244">
        <f t="shared" si="0"/>
        <v>10</v>
      </c>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row>
    <row r="16" spans="1:70" ht="15.75">
      <c r="A16" s="244">
        <f t="shared" si="0"/>
        <v>11</v>
      </c>
      <c r="B16" s="260"/>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6"/>
      <c r="AS16" s="246"/>
      <c r="AT16" s="246"/>
      <c r="AU16" s="246"/>
      <c r="AV16" s="246"/>
      <c r="AW16" s="246"/>
      <c r="AX16" s="246"/>
      <c r="AY16" s="246"/>
      <c r="AZ16" s="246"/>
      <c r="BA16" s="246"/>
      <c r="BB16" s="246"/>
      <c r="BC16" s="246"/>
      <c r="BD16" s="246"/>
      <c r="BE16" s="246"/>
      <c r="BF16" s="246"/>
      <c r="BG16" s="246"/>
      <c r="BH16" s="246"/>
      <c r="BI16" s="246"/>
      <c r="BJ16" s="246"/>
      <c r="BK16" s="246"/>
      <c r="BL16" s="246"/>
      <c r="BM16" s="246"/>
      <c r="BN16" s="246"/>
      <c r="BO16" s="246"/>
      <c r="BP16" s="246"/>
      <c r="BQ16" s="246"/>
      <c r="BR16" s="246"/>
    </row>
    <row r="17" spans="1:70" ht="15.75">
      <c r="A17" s="244">
        <f t="shared" si="0"/>
        <v>12</v>
      </c>
      <c r="B17" s="260" t="s">
        <v>158</v>
      </c>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row>
    <row r="18" spans="1:8" ht="15.75">
      <c r="A18" s="244">
        <f t="shared" si="0"/>
        <v>13</v>
      </c>
      <c r="B18" s="261" t="s">
        <v>159</v>
      </c>
      <c r="C18" s="246"/>
      <c r="D18" s="246"/>
      <c r="E18" s="246"/>
      <c r="F18" s="246"/>
      <c r="G18" s="246"/>
      <c r="H18" s="246"/>
    </row>
    <row r="19" spans="1:8" ht="15.75" customHeight="1">
      <c r="A19" s="262"/>
      <c r="B19" s="238"/>
      <c r="C19" s="246"/>
      <c r="D19" s="246"/>
      <c r="E19" s="246"/>
      <c r="F19" s="246"/>
      <c r="G19" s="246"/>
      <c r="H19" s="246"/>
    </row>
    <row r="20" spans="1:8" ht="15.75">
      <c r="A20" s="262"/>
      <c r="B20" s="246"/>
      <c r="C20" s="246"/>
      <c r="D20" s="246"/>
      <c r="E20" s="246"/>
      <c r="F20" s="246"/>
      <c r="G20" s="246"/>
      <c r="H20" s="171"/>
    </row>
    <row r="21" spans="1:8" ht="15.75">
      <c r="A21" s="262"/>
      <c r="B21" s="246"/>
      <c r="C21" s="246"/>
      <c r="D21" s="246"/>
      <c r="E21" s="246"/>
      <c r="F21" s="246"/>
      <c r="G21" s="246"/>
      <c r="H21" s="246"/>
    </row>
    <row r="22" spans="1:8" ht="15.75">
      <c r="A22" s="262"/>
      <c r="B22" s="246"/>
      <c r="C22" s="246"/>
      <c r="D22" s="246"/>
      <c r="E22" s="246"/>
      <c r="F22" s="246"/>
      <c r="G22" s="246"/>
      <c r="H22" s="246"/>
    </row>
    <row r="23" spans="1:8" ht="15.75">
      <c r="A23" s="262"/>
      <c r="B23" s="246"/>
      <c r="C23" s="246"/>
      <c r="D23" s="246"/>
      <c r="E23" s="246"/>
      <c r="F23" s="246"/>
      <c r="G23" s="246"/>
      <c r="H23" s="359"/>
    </row>
    <row r="24" spans="1:8" ht="15.75">
      <c r="A24" s="262"/>
      <c r="B24" s="246"/>
      <c r="C24" s="246"/>
      <c r="D24" s="246"/>
      <c r="E24" s="246"/>
      <c r="F24" s="246"/>
      <c r="G24" s="246"/>
      <c r="H24" s="360"/>
    </row>
    <row r="25" spans="1:8" ht="15.75">
      <c r="A25" s="262"/>
      <c r="B25" s="246"/>
      <c r="C25" s="246"/>
      <c r="D25" s="246"/>
      <c r="E25" s="246"/>
      <c r="F25" s="246"/>
      <c r="G25" s="246"/>
      <c r="H25" s="246"/>
    </row>
    <row r="26" spans="1:8" ht="15.75">
      <c r="A26" s="262"/>
      <c r="B26" s="246"/>
      <c r="C26" s="246"/>
      <c r="D26" s="246"/>
      <c r="E26" s="246"/>
      <c r="F26" s="246"/>
      <c r="G26" s="246"/>
      <c r="H26" s="246"/>
    </row>
    <row r="27" spans="1:8" ht="15.75">
      <c r="A27" s="262"/>
      <c r="B27" s="246"/>
      <c r="C27" s="246"/>
      <c r="D27" s="246"/>
      <c r="E27" s="246"/>
      <c r="F27" s="246"/>
      <c r="G27" s="246"/>
      <c r="H27" s="246"/>
    </row>
    <row r="28" spans="1:8" ht="15.75">
      <c r="A28" s="262"/>
      <c r="B28" s="246"/>
      <c r="C28" s="246"/>
      <c r="D28" s="246"/>
      <c r="E28" s="246"/>
      <c r="F28" s="246"/>
      <c r="G28" s="246"/>
      <c r="H28" s="246"/>
    </row>
    <row r="29" spans="1:8" ht="15.75">
      <c r="A29" s="262"/>
      <c r="B29" s="246"/>
      <c r="C29" s="246"/>
      <c r="D29" s="246"/>
      <c r="E29" s="246"/>
      <c r="F29" s="246"/>
      <c r="G29" s="246"/>
      <c r="H29" s="246"/>
    </row>
    <row r="30" spans="1:8" ht="15.75">
      <c r="A30" s="262"/>
      <c r="B30" s="246"/>
      <c r="C30" s="246"/>
      <c r="D30" s="246"/>
      <c r="E30" s="246"/>
      <c r="F30" s="246"/>
      <c r="G30" s="246"/>
      <c r="H30" s="246"/>
    </row>
    <row r="31" spans="1:8" ht="15.75">
      <c r="A31" s="262"/>
      <c r="B31" s="246"/>
      <c r="C31" s="246"/>
      <c r="D31" s="246"/>
      <c r="E31" s="246"/>
      <c r="F31" s="246"/>
      <c r="G31" s="246"/>
      <c r="H31" s="246"/>
    </row>
    <row r="32" spans="1:8" ht="15.75">
      <c r="A32" s="262"/>
      <c r="B32" s="246"/>
      <c r="C32" s="246"/>
      <c r="D32" s="246"/>
      <c r="E32" s="246"/>
      <c r="F32" s="246"/>
      <c r="G32" s="246"/>
      <c r="H32" s="246"/>
    </row>
    <row r="33" spans="1:8" ht="15.75">
      <c r="A33" s="262"/>
      <c r="B33" s="246"/>
      <c r="C33" s="246"/>
      <c r="D33" s="246"/>
      <c r="E33" s="246"/>
      <c r="F33" s="246"/>
      <c r="G33" s="246"/>
      <c r="H33" s="246"/>
    </row>
    <row r="34" spans="1:8" ht="15.75">
      <c r="A34" s="262"/>
      <c r="B34" s="246"/>
      <c r="C34" s="246"/>
      <c r="D34" s="246"/>
      <c r="E34" s="246"/>
      <c r="F34" s="246"/>
      <c r="G34" s="246"/>
      <c r="H34" s="246"/>
    </row>
    <row r="35" spans="1:8" ht="15.75">
      <c r="A35" s="262"/>
      <c r="B35" s="246"/>
      <c r="C35" s="246"/>
      <c r="D35" s="246"/>
      <c r="E35" s="246"/>
      <c r="F35" s="246"/>
      <c r="G35" s="246"/>
      <c r="H35" s="246"/>
    </row>
    <row r="36" spans="1:8" ht="15.75">
      <c r="A36" s="262"/>
      <c r="B36" s="246"/>
      <c r="C36" s="246"/>
      <c r="D36" s="246"/>
      <c r="E36" s="246"/>
      <c r="F36" s="246"/>
      <c r="G36" s="246"/>
      <c r="H36" s="246"/>
    </row>
    <row r="37" spans="1:8" ht="15.75">
      <c r="A37" s="262"/>
      <c r="B37" s="246"/>
      <c r="C37" s="246"/>
      <c r="D37" s="246"/>
      <c r="E37" s="246"/>
      <c r="F37" s="246"/>
      <c r="G37" s="246"/>
      <c r="H37" s="246"/>
    </row>
    <row r="38" spans="1:8" ht="15.75">
      <c r="A38" s="262"/>
      <c r="B38" s="246"/>
      <c r="C38" s="246"/>
      <c r="D38" s="246"/>
      <c r="E38" s="246"/>
      <c r="F38" s="246"/>
      <c r="G38" s="246"/>
      <c r="H38" s="246"/>
    </row>
    <row r="39" spans="1:8" ht="15.75">
      <c r="A39" s="262"/>
      <c r="B39" s="246"/>
      <c r="C39" s="246"/>
      <c r="D39" s="246"/>
      <c r="E39" s="246"/>
      <c r="F39" s="246"/>
      <c r="G39" s="246"/>
      <c r="H39" s="246"/>
    </row>
    <row r="40" spans="1:8" ht="15.75">
      <c r="A40" s="262"/>
      <c r="B40" s="246"/>
      <c r="C40" s="246"/>
      <c r="D40" s="246"/>
      <c r="E40" s="246"/>
      <c r="F40" s="246"/>
      <c r="G40" s="246"/>
      <c r="H40" s="246"/>
    </row>
    <row r="41" spans="1:8" ht="15.75">
      <c r="A41" s="262"/>
      <c r="B41" s="246"/>
      <c r="C41" s="246"/>
      <c r="D41" s="246"/>
      <c r="E41" s="246"/>
      <c r="F41" s="246"/>
      <c r="G41" s="246"/>
      <c r="H41" s="246"/>
    </row>
    <row r="42" spans="1:8" ht="15.75">
      <c r="A42" s="262"/>
      <c r="B42" s="246"/>
      <c r="C42" s="246"/>
      <c r="D42" s="246"/>
      <c r="E42" s="246"/>
      <c r="F42" s="246"/>
      <c r="G42" s="246"/>
      <c r="H42" s="246"/>
    </row>
    <row r="43" spans="1:8" ht="15.75">
      <c r="A43" s="262"/>
      <c r="B43" s="246"/>
      <c r="C43" s="246"/>
      <c r="D43" s="246"/>
      <c r="E43" s="246"/>
      <c r="F43" s="246"/>
      <c r="G43" s="246"/>
      <c r="H43" s="246"/>
    </row>
    <row r="44" spans="1:8" ht="15.75">
      <c r="A44" s="262"/>
      <c r="B44" s="246"/>
      <c r="C44" s="246"/>
      <c r="D44" s="246"/>
      <c r="E44" s="246"/>
      <c r="F44" s="246"/>
      <c r="G44" s="246"/>
      <c r="H44" s="246"/>
    </row>
    <row r="45" spans="1:8" ht="15.75">
      <c r="A45" s="262"/>
      <c r="B45" s="246"/>
      <c r="C45" s="246"/>
      <c r="D45" s="246"/>
      <c r="E45" s="246"/>
      <c r="F45" s="246"/>
      <c r="G45" s="246"/>
      <c r="H45" s="246"/>
    </row>
    <row r="46" spans="1:8" ht="15.75">
      <c r="A46" s="262"/>
      <c r="B46" s="246"/>
      <c r="C46" s="246"/>
      <c r="D46" s="246"/>
      <c r="E46" s="246"/>
      <c r="F46" s="246"/>
      <c r="G46" s="246"/>
      <c r="H46" s="246"/>
    </row>
    <row r="47" spans="1:8" ht="15.75">
      <c r="A47" s="262"/>
      <c r="B47" s="246"/>
      <c r="C47" s="246"/>
      <c r="D47" s="246"/>
      <c r="E47" s="246"/>
      <c r="F47" s="246"/>
      <c r="G47" s="246"/>
      <c r="H47" s="246"/>
    </row>
    <row r="48" spans="1:8" ht="15.75">
      <c r="A48" s="262"/>
      <c r="B48" s="246"/>
      <c r="C48" s="246"/>
      <c r="D48" s="246"/>
      <c r="E48" s="246"/>
      <c r="F48" s="246"/>
      <c r="G48" s="246"/>
      <c r="H48" s="246"/>
    </row>
    <row r="49" spans="1:8" ht="15.75">
      <c r="A49" s="262"/>
      <c r="B49" s="246"/>
      <c r="C49" s="246"/>
      <c r="D49" s="246"/>
      <c r="E49" s="246"/>
      <c r="F49" s="246"/>
      <c r="G49" s="246"/>
      <c r="H49" s="246"/>
    </row>
    <row r="50" spans="1:8" ht="15.75">
      <c r="A50" s="262"/>
      <c r="B50" s="246"/>
      <c r="C50" s="246"/>
      <c r="D50" s="246"/>
      <c r="E50" s="246"/>
      <c r="F50" s="246"/>
      <c r="G50" s="246"/>
      <c r="H50" s="246"/>
    </row>
    <row r="51" spans="1:8" ht="15.75">
      <c r="A51" s="262"/>
      <c r="B51" s="246"/>
      <c r="C51" s="246"/>
      <c r="D51" s="246"/>
      <c r="E51" s="246"/>
      <c r="F51" s="246"/>
      <c r="G51" s="246"/>
      <c r="H51" s="246"/>
    </row>
    <row r="52" spans="1:8" ht="15.75">
      <c r="A52" s="262"/>
      <c r="B52" s="246"/>
      <c r="C52" s="246"/>
      <c r="D52" s="246"/>
      <c r="E52" s="246"/>
      <c r="F52" s="246"/>
      <c r="G52" s="246"/>
      <c r="H52" s="246"/>
    </row>
    <row r="53" spans="1:8" ht="15.75">
      <c r="A53" s="262"/>
      <c r="B53" s="246"/>
      <c r="C53" s="246"/>
      <c r="D53" s="246"/>
      <c r="E53" s="246"/>
      <c r="F53" s="246"/>
      <c r="G53" s="246"/>
      <c r="H53" s="246"/>
    </row>
    <row r="54" spans="1:8" ht="15.75">
      <c r="A54" s="262"/>
      <c r="B54" s="246"/>
      <c r="C54" s="246"/>
      <c r="D54" s="246"/>
      <c r="E54" s="246"/>
      <c r="F54" s="246"/>
      <c r="G54" s="246"/>
      <c r="H54" s="246"/>
    </row>
    <row r="55" spans="1:8" ht="15.75">
      <c r="A55" s="262"/>
      <c r="B55" s="246"/>
      <c r="C55" s="246"/>
      <c r="D55" s="246"/>
      <c r="E55" s="246"/>
      <c r="F55" s="246"/>
      <c r="G55" s="246"/>
      <c r="H55" s="246"/>
    </row>
    <row r="56" spans="1:8" ht="15.75">
      <c r="A56" s="262"/>
      <c r="B56" s="246"/>
      <c r="C56" s="246"/>
      <c r="D56" s="246"/>
      <c r="E56" s="246"/>
      <c r="F56" s="246"/>
      <c r="G56" s="246"/>
      <c r="H56" s="246"/>
    </row>
    <row r="57" spans="1:8" ht="15.75">
      <c r="A57" s="262"/>
      <c r="B57" s="246"/>
      <c r="C57" s="246"/>
      <c r="D57" s="246"/>
      <c r="E57" s="246"/>
      <c r="F57" s="246"/>
      <c r="G57" s="246"/>
      <c r="H57" s="246"/>
    </row>
    <row r="58" spans="1:8" ht="15.75">
      <c r="A58" s="262"/>
      <c r="B58" s="246"/>
      <c r="C58" s="246"/>
      <c r="D58" s="246"/>
      <c r="E58" s="246"/>
      <c r="F58" s="246"/>
      <c r="G58" s="246"/>
      <c r="H58" s="246"/>
    </row>
    <row r="59" spans="1:8" ht="15.75">
      <c r="A59" s="262"/>
      <c r="B59" s="246"/>
      <c r="C59" s="246"/>
      <c r="D59" s="246"/>
      <c r="E59" s="246"/>
      <c r="F59" s="246"/>
      <c r="G59" s="246"/>
      <c r="H59" s="246"/>
    </row>
    <row r="60" spans="1:8" ht="15.75">
      <c r="A60" s="262"/>
      <c r="B60" s="246"/>
      <c r="C60" s="246"/>
      <c r="D60" s="246"/>
      <c r="E60" s="246"/>
      <c r="F60" s="246"/>
      <c r="G60" s="246"/>
      <c r="H60" s="246"/>
    </row>
    <row r="61" spans="1:8" ht="15.75">
      <c r="A61" s="262"/>
      <c r="B61" s="246"/>
      <c r="C61" s="246"/>
      <c r="D61" s="246"/>
      <c r="E61" s="246"/>
      <c r="F61" s="246"/>
      <c r="G61" s="246"/>
      <c r="H61" s="246"/>
    </row>
    <row r="62" spans="1:8" ht="15.75">
      <c r="A62" s="262"/>
      <c r="B62" s="246"/>
      <c r="C62" s="246"/>
      <c r="D62" s="246"/>
      <c r="E62" s="246"/>
      <c r="F62" s="246"/>
      <c r="G62" s="246"/>
      <c r="H62" s="246"/>
    </row>
    <row r="63" spans="1:8" ht="15.75">
      <c r="A63" s="262"/>
      <c r="B63" s="246"/>
      <c r="C63" s="246"/>
      <c r="D63" s="246"/>
      <c r="E63" s="246"/>
      <c r="F63" s="246"/>
      <c r="G63" s="246"/>
      <c r="H63" s="246"/>
    </row>
    <row r="64" spans="1:8" ht="15.75">
      <c r="A64" s="262"/>
      <c r="B64" s="246"/>
      <c r="C64" s="246"/>
      <c r="D64" s="246"/>
      <c r="E64" s="246"/>
      <c r="F64" s="246"/>
      <c r="G64" s="246"/>
      <c r="H64" s="246"/>
    </row>
    <row r="65" spans="1:8" ht="15.75">
      <c r="A65" s="262"/>
      <c r="B65" s="246"/>
      <c r="C65" s="246"/>
      <c r="D65" s="246"/>
      <c r="E65" s="246"/>
      <c r="F65" s="246"/>
      <c r="G65" s="246"/>
      <c r="H65" s="246"/>
    </row>
    <row r="66" spans="1:8" ht="15.75">
      <c r="A66" s="262"/>
      <c r="B66" s="246"/>
      <c r="C66" s="246"/>
      <c r="D66" s="246"/>
      <c r="E66" s="246"/>
      <c r="F66" s="246"/>
      <c r="G66" s="246"/>
      <c r="H66" s="246"/>
    </row>
    <row r="67" spans="1:8" ht="15.75">
      <c r="A67" s="262"/>
      <c r="B67" s="246"/>
      <c r="C67" s="246"/>
      <c r="D67" s="246"/>
      <c r="E67" s="246"/>
      <c r="F67" s="246"/>
      <c r="G67" s="246"/>
      <c r="H67" s="246"/>
    </row>
    <row r="68" spans="1:8" ht="15.75">
      <c r="A68" s="262"/>
      <c r="B68" s="246"/>
      <c r="C68" s="246"/>
      <c r="D68" s="246"/>
      <c r="E68" s="246"/>
      <c r="F68" s="246"/>
      <c r="G68" s="246"/>
      <c r="H68" s="246"/>
    </row>
    <row r="69" spans="1:8" ht="15.75">
      <c r="A69" s="262"/>
      <c r="B69" s="246"/>
      <c r="C69" s="246"/>
      <c r="D69" s="246"/>
      <c r="E69" s="246"/>
      <c r="F69" s="246"/>
      <c r="G69" s="246"/>
      <c r="H69" s="246"/>
    </row>
    <row r="70" spans="1:8" ht="15.75">
      <c r="A70" s="262"/>
      <c r="B70" s="246"/>
      <c r="C70" s="246"/>
      <c r="D70" s="246"/>
      <c r="E70" s="246"/>
      <c r="F70" s="246"/>
      <c r="G70" s="246"/>
      <c r="H70" s="246"/>
    </row>
    <row r="71" spans="1:8" ht="15.75">
      <c r="A71" s="262"/>
      <c r="B71" s="246"/>
      <c r="C71" s="246"/>
      <c r="D71" s="246"/>
      <c r="E71" s="246"/>
      <c r="F71" s="246"/>
      <c r="G71" s="246"/>
      <c r="H71" s="246"/>
    </row>
    <row r="72" spans="1:8" ht="15.75">
      <c r="A72" s="262"/>
      <c r="B72" s="246"/>
      <c r="C72" s="246"/>
      <c r="D72" s="246"/>
      <c r="E72" s="246"/>
      <c r="F72" s="246"/>
      <c r="G72" s="246"/>
      <c r="H72" s="246"/>
    </row>
    <row r="73" spans="1:8" ht="15.75">
      <c r="A73" s="262"/>
      <c r="B73" s="246"/>
      <c r="C73" s="246"/>
      <c r="D73" s="246"/>
      <c r="E73" s="246"/>
      <c r="F73" s="246"/>
      <c r="G73" s="246"/>
      <c r="H73" s="246"/>
    </row>
    <row r="74" spans="1:8" ht="15.75">
      <c r="A74" s="262"/>
      <c r="B74" s="246"/>
      <c r="C74" s="246"/>
      <c r="D74" s="246"/>
      <c r="E74" s="246"/>
      <c r="F74" s="246"/>
      <c r="G74" s="246"/>
      <c r="H74" s="246"/>
    </row>
    <row r="75" spans="1:8" ht="15.75">
      <c r="A75" s="262"/>
      <c r="B75" s="246"/>
      <c r="C75" s="246"/>
      <c r="D75" s="246"/>
      <c r="E75" s="246"/>
      <c r="F75" s="246"/>
      <c r="G75" s="246"/>
      <c r="H75" s="246"/>
    </row>
    <row r="76" spans="1:8" ht="15.75">
      <c r="A76" s="262"/>
      <c r="B76" s="246"/>
      <c r="C76" s="246"/>
      <c r="D76" s="246"/>
      <c r="E76" s="246"/>
      <c r="F76" s="246"/>
      <c r="G76" s="246"/>
      <c r="H76" s="246"/>
    </row>
    <row r="77" spans="1:8" ht="15.75">
      <c r="A77" s="262"/>
      <c r="B77" s="246"/>
      <c r="C77" s="246"/>
      <c r="D77" s="246"/>
      <c r="E77" s="246"/>
      <c r="F77" s="246"/>
      <c r="G77" s="246"/>
      <c r="H77" s="246"/>
    </row>
    <row r="78" spans="1:8" ht="15.75">
      <c r="A78" s="262"/>
      <c r="B78" s="246"/>
      <c r="C78" s="246"/>
      <c r="D78" s="246"/>
      <c r="E78" s="246"/>
      <c r="F78" s="246"/>
      <c r="G78" s="246"/>
      <c r="H78" s="246"/>
    </row>
    <row r="79" spans="1:8" ht="15.75">
      <c r="A79" s="262"/>
      <c r="B79" s="246"/>
      <c r="C79" s="246"/>
      <c r="D79" s="246"/>
      <c r="E79" s="246"/>
      <c r="F79" s="246"/>
      <c r="G79" s="246"/>
      <c r="H79" s="246"/>
    </row>
    <row r="80" spans="1:8" ht="15.75">
      <c r="A80" s="262"/>
      <c r="B80" s="246"/>
      <c r="C80" s="246"/>
      <c r="D80" s="246"/>
      <c r="E80" s="246"/>
      <c r="F80" s="246"/>
      <c r="G80" s="246"/>
      <c r="H80" s="246"/>
    </row>
    <row r="81" spans="1:8" ht="15.75">
      <c r="A81" s="262"/>
      <c r="B81" s="246"/>
      <c r="C81" s="246"/>
      <c r="D81" s="246"/>
      <c r="E81" s="246"/>
      <c r="F81" s="246"/>
      <c r="G81" s="246"/>
      <c r="H81" s="246"/>
    </row>
    <row r="82" spans="1:8" ht="15.75">
      <c r="A82" s="262"/>
      <c r="B82" s="246"/>
      <c r="C82" s="246"/>
      <c r="D82" s="246"/>
      <c r="E82" s="246"/>
      <c r="F82" s="246"/>
      <c r="G82" s="246"/>
      <c r="H82" s="246"/>
    </row>
    <row r="83" spans="1:8" ht="15.75">
      <c r="A83" s="262"/>
      <c r="B83" s="246"/>
      <c r="C83" s="246"/>
      <c r="D83" s="246"/>
      <c r="E83" s="246"/>
      <c r="F83" s="246"/>
      <c r="G83" s="246"/>
      <c r="H83" s="246"/>
    </row>
    <row r="84" spans="1:8" ht="15.75">
      <c r="A84" s="262"/>
      <c r="B84" s="246"/>
      <c r="C84" s="246"/>
      <c r="D84" s="246"/>
      <c r="E84" s="246"/>
      <c r="F84" s="246"/>
      <c r="G84" s="246"/>
      <c r="H84" s="246"/>
    </row>
    <row r="85" spans="1:8" ht="15.75">
      <c r="A85" s="262"/>
      <c r="B85" s="246"/>
      <c r="C85" s="246"/>
      <c r="D85" s="246"/>
      <c r="E85" s="246"/>
      <c r="F85" s="246"/>
      <c r="G85" s="246"/>
      <c r="H85" s="246"/>
    </row>
    <row r="86" spans="1:8" ht="15.75">
      <c r="A86" s="262"/>
      <c r="B86" s="246"/>
      <c r="C86" s="246"/>
      <c r="D86" s="246"/>
      <c r="E86" s="246"/>
      <c r="F86" s="246"/>
      <c r="G86" s="246"/>
      <c r="H86" s="246"/>
    </row>
    <row r="87" spans="1:8" ht="15.75">
      <c r="A87" s="262"/>
      <c r="B87" s="246"/>
      <c r="C87" s="246"/>
      <c r="D87" s="246"/>
      <c r="E87" s="246"/>
      <c r="F87" s="246"/>
      <c r="G87" s="246"/>
      <c r="H87" s="246"/>
    </row>
    <row r="88" spans="1:8" ht="15.75">
      <c r="A88" s="262"/>
      <c r="B88" s="246"/>
      <c r="C88" s="246"/>
      <c r="D88" s="246"/>
      <c r="E88" s="246"/>
      <c r="F88" s="246"/>
      <c r="G88" s="246"/>
      <c r="H88" s="246"/>
    </row>
    <row r="89" spans="1:8" ht="15.75">
      <c r="A89" s="262"/>
      <c r="B89" s="246"/>
      <c r="C89" s="246"/>
      <c r="D89" s="246"/>
      <c r="E89" s="246"/>
      <c r="F89" s="246"/>
      <c r="G89" s="246"/>
      <c r="H89" s="246"/>
    </row>
    <row r="90" spans="1:8" ht="15.75">
      <c r="A90" s="262"/>
      <c r="B90" s="246"/>
      <c r="C90" s="246"/>
      <c r="D90" s="246"/>
      <c r="E90" s="246"/>
      <c r="F90" s="246"/>
      <c r="G90" s="246"/>
      <c r="H90" s="246"/>
    </row>
    <row r="91" spans="1:8" ht="15.75">
      <c r="A91" s="262"/>
      <c r="B91" s="246"/>
      <c r="C91" s="246"/>
      <c r="D91" s="246"/>
      <c r="E91" s="246"/>
      <c r="F91" s="246"/>
      <c r="G91" s="246"/>
      <c r="H91" s="246"/>
    </row>
    <row r="92" spans="1:8" ht="15.75">
      <c r="A92" s="262"/>
      <c r="B92" s="246"/>
      <c r="C92" s="246"/>
      <c r="D92" s="246"/>
      <c r="E92" s="246"/>
      <c r="F92" s="246"/>
      <c r="G92" s="246"/>
      <c r="H92" s="246"/>
    </row>
    <row r="93" spans="1:8" ht="15.75">
      <c r="A93" s="262"/>
      <c r="B93" s="246"/>
      <c r="C93" s="246"/>
      <c r="D93" s="246"/>
      <c r="E93" s="246"/>
      <c r="F93" s="246"/>
      <c r="G93" s="246"/>
      <c r="H93" s="246"/>
    </row>
    <row r="94" spans="1:8" ht="15.75">
      <c r="A94" s="262"/>
      <c r="B94" s="246"/>
      <c r="C94" s="246"/>
      <c r="D94" s="246"/>
      <c r="E94" s="246"/>
      <c r="F94" s="246"/>
      <c r="G94" s="246"/>
      <c r="H94" s="246"/>
    </row>
    <row r="95" spans="1:8" ht="15.75">
      <c r="A95" s="262"/>
      <c r="B95" s="246"/>
      <c r="C95" s="246"/>
      <c r="D95" s="246"/>
      <c r="E95" s="246"/>
      <c r="F95" s="246"/>
      <c r="G95" s="246"/>
      <c r="H95" s="246"/>
    </row>
    <row r="96" spans="1:8" ht="15.75">
      <c r="A96" s="262"/>
      <c r="B96" s="246"/>
      <c r="C96" s="246"/>
      <c r="D96" s="246"/>
      <c r="E96" s="246"/>
      <c r="F96" s="246"/>
      <c r="G96" s="246"/>
      <c r="H96" s="246"/>
    </row>
    <row r="97" spans="1:8" ht="15.75">
      <c r="A97" s="262"/>
      <c r="B97" s="246"/>
      <c r="C97" s="246"/>
      <c r="D97" s="246"/>
      <c r="E97" s="246"/>
      <c r="F97" s="246"/>
      <c r="G97" s="246"/>
      <c r="H97" s="246"/>
    </row>
    <row r="98" spans="1:8" ht="15.75">
      <c r="A98" s="262"/>
      <c r="B98" s="246"/>
      <c r="C98" s="246"/>
      <c r="D98" s="246"/>
      <c r="E98" s="246"/>
      <c r="F98" s="246"/>
      <c r="G98" s="246"/>
      <c r="H98" s="246"/>
    </row>
    <row r="99" spans="1:8" ht="15.75">
      <c r="A99" s="262"/>
      <c r="B99" s="246"/>
      <c r="C99" s="246"/>
      <c r="D99" s="246"/>
      <c r="E99" s="246"/>
      <c r="F99" s="246"/>
      <c r="G99" s="246"/>
      <c r="H99" s="246"/>
    </row>
    <row r="100" spans="1:8" ht="15.75">
      <c r="A100" s="262"/>
      <c r="B100" s="246"/>
      <c r="C100" s="246"/>
      <c r="D100" s="246"/>
      <c r="E100" s="246"/>
      <c r="F100" s="246"/>
      <c r="G100" s="246"/>
      <c r="H100" s="246"/>
    </row>
    <row r="101" spans="1:8" ht="15.75">
      <c r="A101" s="262"/>
      <c r="B101" s="246"/>
      <c r="C101" s="246"/>
      <c r="D101" s="246"/>
      <c r="E101" s="246"/>
      <c r="F101" s="246"/>
      <c r="G101" s="246"/>
      <c r="H101" s="246"/>
    </row>
    <row r="102" spans="1:8" ht="15.75">
      <c r="A102" s="262"/>
      <c r="B102" s="246"/>
      <c r="C102" s="246"/>
      <c r="D102" s="246"/>
      <c r="E102" s="246"/>
      <c r="F102" s="246"/>
      <c r="G102" s="246"/>
      <c r="H102" s="246"/>
    </row>
    <row r="103" spans="1:8" ht="15.75">
      <c r="A103" s="262"/>
      <c r="B103" s="246"/>
      <c r="C103" s="246"/>
      <c r="D103" s="246"/>
      <c r="E103" s="246"/>
      <c r="F103" s="246"/>
      <c r="G103" s="246"/>
      <c r="H103" s="246"/>
    </row>
    <row r="104" spans="1:8" ht="15.75">
      <c r="A104" s="262"/>
      <c r="B104" s="246"/>
      <c r="C104" s="246"/>
      <c r="D104" s="246"/>
      <c r="E104" s="246"/>
      <c r="F104" s="246"/>
      <c r="G104" s="246"/>
      <c r="H104" s="246"/>
    </row>
    <row r="105" spans="1:8" ht="15.75">
      <c r="A105" s="262"/>
      <c r="B105" s="246"/>
      <c r="C105" s="246"/>
      <c r="D105" s="246"/>
      <c r="E105" s="246"/>
      <c r="F105" s="246"/>
      <c r="G105" s="246"/>
      <c r="H105" s="246"/>
    </row>
    <row r="106" spans="1:8" ht="15.75">
      <c r="A106" s="262"/>
      <c r="B106" s="246"/>
      <c r="C106" s="246"/>
      <c r="D106" s="246"/>
      <c r="E106" s="246"/>
      <c r="F106" s="246"/>
      <c r="G106" s="246"/>
      <c r="H106" s="246"/>
    </row>
    <row r="107" spans="1:8" ht="15.75">
      <c r="A107" s="262"/>
      <c r="B107" s="246"/>
      <c r="C107" s="246"/>
      <c r="D107" s="246"/>
      <c r="E107" s="246"/>
      <c r="F107" s="246"/>
      <c r="G107" s="246"/>
      <c r="H107" s="246"/>
    </row>
    <row r="108" spans="1:8" ht="15.75">
      <c r="A108" s="262"/>
      <c r="B108" s="246"/>
      <c r="C108" s="246"/>
      <c r="D108" s="246"/>
      <c r="E108" s="246"/>
      <c r="F108" s="246"/>
      <c r="G108" s="246"/>
      <c r="H108" s="246"/>
    </row>
    <row r="109" spans="1:8" ht="15.75">
      <c r="A109" s="262"/>
      <c r="B109" s="246"/>
      <c r="C109" s="246"/>
      <c r="D109" s="246"/>
      <c r="E109" s="246"/>
      <c r="F109" s="246"/>
      <c r="G109" s="246"/>
      <c r="H109" s="246"/>
    </row>
    <row r="110" spans="1:8" ht="15.75">
      <c r="A110" s="262"/>
      <c r="B110" s="246"/>
      <c r="C110" s="246"/>
      <c r="D110" s="246"/>
      <c r="E110" s="246"/>
      <c r="F110" s="246"/>
      <c r="G110" s="246"/>
      <c r="H110" s="246"/>
    </row>
    <row r="111" spans="1:8" ht="15.75">
      <c r="A111" s="262"/>
      <c r="B111" s="246"/>
      <c r="C111" s="246"/>
      <c r="D111" s="246"/>
      <c r="E111" s="246"/>
      <c r="F111" s="246"/>
      <c r="G111" s="246"/>
      <c r="H111" s="246"/>
    </row>
    <row r="112" spans="1:8" ht="15.75">
      <c r="A112" s="262"/>
      <c r="B112" s="246"/>
      <c r="C112" s="246"/>
      <c r="D112" s="246"/>
      <c r="E112" s="246"/>
      <c r="F112" s="246"/>
      <c r="G112" s="246"/>
      <c r="H112" s="246"/>
    </row>
    <row r="113" spans="1:8" ht="15.75">
      <c r="A113" s="262"/>
      <c r="B113" s="246"/>
      <c r="C113" s="246"/>
      <c r="D113" s="246"/>
      <c r="E113" s="246"/>
      <c r="F113" s="246"/>
      <c r="G113" s="246"/>
      <c r="H113" s="246"/>
    </row>
    <row r="114" spans="1:8" ht="15.75">
      <c r="A114" s="262"/>
      <c r="B114" s="246"/>
      <c r="C114" s="246"/>
      <c r="D114" s="246"/>
      <c r="E114" s="246"/>
      <c r="F114" s="246"/>
      <c r="G114" s="246"/>
      <c r="H114" s="246"/>
    </row>
    <row r="115" spans="1:8" ht="15.75">
      <c r="A115" s="262"/>
      <c r="B115" s="246"/>
      <c r="C115" s="246"/>
      <c r="D115" s="246"/>
      <c r="E115" s="246"/>
      <c r="F115" s="246"/>
      <c r="G115" s="246"/>
      <c r="H115" s="246"/>
    </row>
    <row r="116" spans="1:8" ht="15.75">
      <c r="A116" s="262"/>
      <c r="B116" s="246"/>
      <c r="C116" s="246"/>
      <c r="D116" s="246"/>
      <c r="E116" s="246"/>
      <c r="F116" s="246"/>
      <c r="G116" s="246"/>
      <c r="H116" s="246"/>
    </row>
    <row r="117" spans="1:8" ht="15.75">
      <c r="A117" s="262"/>
      <c r="B117" s="246"/>
      <c r="C117" s="246"/>
      <c r="D117" s="246"/>
      <c r="E117" s="246"/>
      <c r="F117" s="246"/>
      <c r="G117" s="246"/>
      <c r="H117" s="246"/>
    </row>
    <row r="118" spans="1:8" ht="15.75">
      <c r="A118" s="262"/>
      <c r="B118" s="246"/>
      <c r="C118" s="246"/>
      <c r="D118" s="246"/>
      <c r="E118" s="246"/>
      <c r="F118" s="246"/>
      <c r="G118" s="246"/>
      <c r="H118" s="246"/>
    </row>
    <row r="119" spans="1:8" ht="15.75">
      <c r="A119" s="262"/>
      <c r="B119" s="246"/>
      <c r="C119" s="246"/>
      <c r="D119" s="246"/>
      <c r="E119" s="246"/>
      <c r="F119" s="246"/>
      <c r="G119" s="246"/>
      <c r="H119" s="246"/>
    </row>
    <row r="120" spans="1:8" ht="15.75">
      <c r="A120" s="262"/>
      <c r="B120" s="246"/>
      <c r="C120" s="246"/>
      <c r="D120" s="246"/>
      <c r="E120" s="246"/>
      <c r="F120" s="246"/>
      <c r="G120" s="246"/>
      <c r="H120" s="246"/>
    </row>
    <row r="121" spans="1:8" ht="15.75">
      <c r="A121" s="262"/>
      <c r="B121" s="246"/>
      <c r="C121" s="246"/>
      <c r="D121" s="246"/>
      <c r="E121" s="246"/>
      <c r="F121" s="246"/>
      <c r="G121" s="246"/>
      <c r="H121" s="246"/>
    </row>
    <row r="122" spans="1:8" ht="15.75">
      <c r="A122" s="262"/>
      <c r="B122" s="246"/>
      <c r="C122" s="246"/>
      <c r="D122" s="246"/>
      <c r="E122" s="246"/>
      <c r="F122" s="246"/>
      <c r="G122" s="246"/>
      <c r="H122" s="246"/>
    </row>
    <row r="123" spans="1:8" ht="15.75">
      <c r="A123" s="262"/>
      <c r="B123" s="246"/>
      <c r="C123" s="246"/>
      <c r="D123" s="246"/>
      <c r="E123" s="246"/>
      <c r="F123" s="246"/>
      <c r="G123" s="246"/>
      <c r="H123" s="246"/>
    </row>
    <row r="124" spans="1:8" ht="15.75">
      <c r="A124" s="262"/>
      <c r="B124" s="246"/>
      <c r="C124" s="246"/>
      <c r="D124" s="246"/>
      <c r="E124" s="246"/>
      <c r="F124" s="246"/>
      <c r="G124" s="246"/>
      <c r="H124" s="246"/>
    </row>
    <row r="125" spans="1:8" ht="15.75">
      <c r="A125" s="262"/>
      <c r="B125" s="246"/>
      <c r="C125" s="246"/>
      <c r="D125" s="246"/>
      <c r="E125" s="246"/>
      <c r="F125" s="246"/>
      <c r="G125" s="246"/>
      <c r="H125" s="246"/>
    </row>
    <row r="126" spans="1:8" ht="15.75">
      <c r="A126" s="262"/>
      <c r="B126" s="246"/>
      <c r="C126" s="246"/>
      <c r="D126" s="246"/>
      <c r="E126" s="246"/>
      <c r="F126" s="246"/>
      <c r="G126" s="246"/>
      <c r="H126" s="246"/>
    </row>
    <row r="127" spans="1:8" ht="15.75">
      <c r="A127" s="262"/>
      <c r="B127" s="246"/>
      <c r="C127" s="246"/>
      <c r="D127" s="246"/>
      <c r="E127" s="246"/>
      <c r="F127" s="246"/>
      <c r="G127" s="246"/>
      <c r="H127" s="246"/>
    </row>
    <row r="128" spans="1:8" ht="15.75">
      <c r="A128" s="262"/>
      <c r="B128" s="246"/>
      <c r="C128" s="246"/>
      <c r="D128" s="246"/>
      <c r="E128" s="246"/>
      <c r="F128" s="246"/>
      <c r="G128" s="246"/>
      <c r="H128" s="246"/>
    </row>
    <row r="129" spans="1:8" ht="15.75">
      <c r="A129" s="262"/>
      <c r="B129" s="246"/>
      <c r="C129" s="246"/>
      <c r="D129" s="246"/>
      <c r="E129" s="246"/>
      <c r="F129" s="246"/>
      <c r="G129" s="246"/>
      <c r="H129" s="246"/>
    </row>
    <row r="130" spans="1:8" ht="15.75">
      <c r="A130" s="262"/>
      <c r="B130" s="246"/>
      <c r="C130" s="246"/>
      <c r="D130" s="246"/>
      <c r="E130" s="246"/>
      <c r="F130" s="246"/>
      <c r="G130" s="246"/>
      <c r="H130" s="246"/>
    </row>
    <row r="131" spans="1:8" ht="15.75">
      <c r="A131" s="262"/>
      <c r="B131" s="246"/>
      <c r="C131" s="246"/>
      <c r="D131" s="246"/>
      <c r="E131" s="246"/>
      <c r="F131" s="246"/>
      <c r="G131" s="246"/>
      <c r="H131" s="246"/>
    </row>
    <row r="132" spans="1:8" ht="15.75">
      <c r="A132" s="262"/>
      <c r="B132" s="246"/>
      <c r="C132" s="246"/>
      <c r="D132" s="246"/>
      <c r="E132" s="246"/>
      <c r="F132" s="246"/>
      <c r="G132" s="246"/>
      <c r="H132" s="246"/>
    </row>
  </sheetData>
  <sheetProtection/>
  <printOptions horizontalCentered="1"/>
  <pageMargins left="0.5" right="0.53" top="0.78" bottom="0.94" header="0.27" footer="0.34"/>
  <pageSetup fitToHeight="1" fitToWidth="1" horizontalDpi="600" verticalDpi="600" orientation="landscape" r:id="rId1"/>
  <headerFooter alignWithMargins="0">
    <oddFooter>&amp;L&amp;"Times New Roman,Regular"&amp;11_____ Exhibit (Confidential) to the
Prefiled Direct Testimony of Donald E. Gaines&amp;R&amp;"Times New Roman,Regular"&amp;11Exhibit No. ___(DEG-  C)
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X34"/>
  <sheetViews>
    <sheetView zoomScalePageLayoutView="0" workbookViewId="0" topLeftCell="A1">
      <selection activeCell="J17" sqref="J17"/>
    </sheetView>
  </sheetViews>
  <sheetFormatPr defaultColWidth="7.57421875" defaultRowHeight="12"/>
  <cols>
    <col min="1" max="1" width="3.421875" style="24" customWidth="1"/>
    <col min="2" max="2" width="31.421875" style="22" customWidth="1"/>
    <col min="3" max="3" width="9.57421875" style="22" customWidth="1"/>
    <col min="4" max="4" width="10.7109375" style="22" customWidth="1"/>
    <col min="5" max="6" width="9.28125" style="22" customWidth="1"/>
    <col min="7" max="7" width="10.140625" style="22" customWidth="1"/>
    <col min="8" max="8" width="11.00390625" style="22" customWidth="1"/>
    <col min="9" max="10" width="9.28125" style="22" customWidth="1"/>
    <col min="11" max="12" width="11.00390625" style="22" customWidth="1"/>
    <col min="13" max="13" width="3.421875" style="22" customWidth="1"/>
    <col min="14" max="14" width="11.57421875" style="22" customWidth="1"/>
    <col min="15" max="16384" width="7.57421875" style="22" customWidth="1"/>
  </cols>
  <sheetData>
    <row r="1" spans="1:38" ht="14.25" customHeight="1">
      <c r="A1" s="85"/>
      <c r="B1" s="361" t="s">
        <v>27</v>
      </c>
      <c r="C1" s="280"/>
      <c r="D1" s="280"/>
      <c r="E1" s="280"/>
      <c r="F1" s="280"/>
      <c r="G1" s="280"/>
      <c r="H1" s="280"/>
      <c r="I1" s="280"/>
      <c r="J1" s="280"/>
      <c r="K1" s="280"/>
      <c r="L1" s="280"/>
      <c r="M1" s="280"/>
      <c r="N1" s="86"/>
      <c r="O1" s="86"/>
      <c r="P1" s="86"/>
      <c r="Q1" s="86"/>
      <c r="R1" s="86"/>
      <c r="S1" s="86"/>
      <c r="T1" s="86"/>
      <c r="U1" s="86"/>
      <c r="V1" s="86"/>
      <c r="W1" s="86"/>
      <c r="X1" s="86"/>
      <c r="Y1" s="86"/>
      <c r="Z1" s="86"/>
      <c r="AA1" s="86"/>
      <c r="AB1" s="86"/>
      <c r="AC1" s="86"/>
      <c r="AD1" s="86"/>
      <c r="AE1" s="86"/>
      <c r="AF1" s="86"/>
      <c r="AG1" s="86"/>
      <c r="AH1" s="86"/>
      <c r="AI1" s="86"/>
      <c r="AJ1" s="86"/>
      <c r="AK1" s="86"/>
      <c r="AL1" s="86"/>
    </row>
    <row r="2" spans="1:38" ht="14.25" customHeight="1">
      <c r="A2" s="85"/>
      <c r="B2" s="361" t="s">
        <v>28</v>
      </c>
      <c r="C2" s="280"/>
      <c r="D2" s="280"/>
      <c r="E2" s="280"/>
      <c r="F2" s="280"/>
      <c r="G2" s="280"/>
      <c r="H2" s="280"/>
      <c r="I2" s="280"/>
      <c r="J2" s="280"/>
      <c r="K2" s="280"/>
      <c r="L2" s="280"/>
      <c r="M2" s="280"/>
      <c r="N2" s="86"/>
      <c r="O2" s="86"/>
      <c r="P2" s="86"/>
      <c r="Q2" s="86"/>
      <c r="R2" s="86"/>
      <c r="S2" s="86"/>
      <c r="T2" s="86"/>
      <c r="U2" s="86"/>
      <c r="V2" s="86"/>
      <c r="W2" s="86"/>
      <c r="X2" s="86"/>
      <c r="Y2" s="86"/>
      <c r="Z2" s="86"/>
      <c r="AA2" s="86"/>
      <c r="AB2" s="86"/>
      <c r="AC2" s="86"/>
      <c r="AD2" s="86"/>
      <c r="AE2" s="86"/>
      <c r="AF2" s="86"/>
      <c r="AG2" s="86"/>
      <c r="AH2" s="86"/>
      <c r="AI2" s="86"/>
      <c r="AJ2" s="86"/>
      <c r="AK2" s="86"/>
      <c r="AL2" s="86"/>
    </row>
    <row r="3" spans="1:38" ht="14.25" customHeight="1">
      <c r="A3" s="85"/>
      <c r="B3" s="361" t="s">
        <v>29</v>
      </c>
      <c r="C3" s="280"/>
      <c r="D3" s="280"/>
      <c r="E3" s="280"/>
      <c r="F3" s="280"/>
      <c r="G3" s="280"/>
      <c r="H3" s="280"/>
      <c r="I3" s="280"/>
      <c r="J3" s="280"/>
      <c r="K3" s="280"/>
      <c r="L3" s="280"/>
      <c r="M3" s="280"/>
      <c r="N3" s="86"/>
      <c r="O3" s="86"/>
      <c r="P3" s="86"/>
      <c r="Q3" s="86"/>
      <c r="R3" s="86"/>
      <c r="S3" s="86"/>
      <c r="T3" s="86"/>
      <c r="U3" s="86"/>
      <c r="V3" s="86"/>
      <c r="W3" s="86"/>
      <c r="X3" s="86"/>
      <c r="Y3" s="86"/>
      <c r="Z3" s="86"/>
      <c r="AA3" s="86"/>
      <c r="AB3" s="86"/>
      <c r="AC3" s="86"/>
      <c r="AD3" s="86"/>
      <c r="AE3" s="86"/>
      <c r="AF3" s="86"/>
      <c r="AG3" s="86"/>
      <c r="AH3" s="86"/>
      <c r="AI3" s="86"/>
      <c r="AJ3" s="86"/>
      <c r="AK3" s="86"/>
      <c r="AL3" s="86"/>
    </row>
    <row r="4" spans="1:38" s="23" customFormat="1" ht="14.25" customHeight="1">
      <c r="A4" s="87"/>
      <c r="B4" s="279" t="str">
        <f>'STD Cost Rate'!A3</f>
        <v>For The 12 Months Ended April 30, 2013</v>
      </c>
      <c r="C4" s="281"/>
      <c r="D4" s="281"/>
      <c r="E4" s="281"/>
      <c r="F4" s="281"/>
      <c r="G4" s="281"/>
      <c r="H4" s="281"/>
      <c r="I4" s="281"/>
      <c r="J4" s="281"/>
      <c r="K4" s="281"/>
      <c r="L4" s="281"/>
      <c r="M4" s="281"/>
      <c r="N4" s="87"/>
      <c r="O4" s="87"/>
      <c r="P4" s="87"/>
      <c r="Q4" s="87"/>
      <c r="R4" s="87"/>
      <c r="S4" s="87"/>
      <c r="T4" s="87"/>
      <c r="U4" s="87"/>
      <c r="V4" s="87"/>
      <c r="W4" s="87"/>
      <c r="X4" s="87"/>
      <c r="Y4" s="87"/>
      <c r="Z4" s="87"/>
      <c r="AA4" s="87"/>
      <c r="AB4" s="87"/>
      <c r="AC4" s="87"/>
      <c r="AD4" s="87"/>
      <c r="AE4" s="87"/>
      <c r="AF4" s="87"/>
      <c r="AG4" s="87"/>
      <c r="AH4" s="87"/>
      <c r="AI4" s="87"/>
      <c r="AJ4" s="87"/>
      <c r="AK4" s="87"/>
      <c r="AL4" s="87"/>
    </row>
    <row r="5" spans="1:38" s="23" customFormat="1" ht="15">
      <c r="A5" s="87"/>
      <c r="B5" s="395"/>
      <c r="C5" s="88"/>
      <c r="D5" s="88"/>
      <c r="E5" s="88"/>
      <c r="F5" s="88"/>
      <c r="G5" s="88"/>
      <c r="H5" s="88"/>
      <c r="I5" s="88"/>
      <c r="J5" s="88"/>
      <c r="K5" s="88"/>
      <c r="L5" s="88"/>
      <c r="M5" s="88"/>
      <c r="N5" s="87"/>
      <c r="O5" s="87"/>
      <c r="P5" s="87"/>
      <c r="Q5" s="87"/>
      <c r="R5" s="87"/>
      <c r="S5" s="87"/>
      <c r="T5" s="87"/>
      <c r="U5" s="87"/>
      <c r="V5" s="87"/>
      <c r="W5" s="87"/>
      <c r="X5" s="87"/>
      <c r="Y5" s="87"/>
      <c r="Z5" s="87"/>
      <c r="AA5" s="87"/>
      <c r="AB5" s="87"/>
      <c r="AC5" s="87"/>
      <c r="AD5" s="87"/>
      <c r="AE5" s="87"/>
      <c r="AF5" s="87"/>
      <c r="AG5" s="87"/>
      <c r="AH5" s="87"/>
      <c r="AI5" s="87"/>
      <c r="AJ5" s="87"/>
      <c r="AK5" s="87"/>
      <c r="AL5" s="87"/>
    </row>
    <row r="6" spans="1:38" ht="13.5" customHeight="1">
      <c r="A6" s="73">
        <v>1</v>
      </c>
      <c r="B6" s="74" t="s">
        <v>1</v>
      </c>
      <c r="C6" s="74" t="s">
        <v>22</v>
      </c>
      <c r="D6" s="74" t="s">
        <v>38</v>
      </c>
      <c r="E6" s="74" t="s">
        <v>50</v>
      </c>
      <c r="F6" s="74" t="s">
        <v>51</v>
      </c>
      <c r="G6" s="74" t="s">
        <v>52</v>
      </c>
      <c r="H6" s="74" t="s">
        <v>53</v>
      </c>
      <c r="I6" s="74" t="s">
        <v>54</v>
      </c>
      <c r="J6" s="74" t="s">
        <v>55</v>
      </c>
      <c r="K6" s="74" t="s">
        <v>61</v>
      </c>
      <c r="L6" s="74" t="s">
        <v>62</v>
      </c>
      <c r="N6" s="86"/>
      <c r="O6" s="86"/>
      <c r="P6" s="86"/>
      <c r="Q6" s="86"/>
      <c r="R6" s="86"/>
      <c r="S6" s="86"/>
      <c r="T6" s="86"/>
      <c r="U6" s="86"/>
      <c r="V6" s="86"/>
      <c r="W6" s="86"/>
      <c r="X6" s="86"/>
      <c r="Y6" s="86"/>
      <c r="Z6" s="86"/>
      <c r="AA6" s="86"/>
      <c r="AB6" s="86"/>
      <c r="AC6" s="86"/>
      <c r="AD6" s="86"/>
      <c r="AE6" s="86"/>
      <c r="AF6" s="86"/>
      <c r="AG6" s="86"/>
      <c r="AH6" s="86"/>
      <c r="AI6" s="86"/>
      <c r="AJ6" s="86"/>
      <c r="AK6" s="86"/>
      <c r="AL6" s="86"/>
    </row>
    <row r="7" spans="1:38" ht="13.5" customHeight="1">
      <c r="A7" s="73">
        <f aca="true" t="shared" si="0" ref="A7:A23">+A6+1</f>
        <v>2</v>
      </c>
      <c r="B7" s="74"/>
      <c r="C7" s="74"/>
      <c r="D7" s="74"/>
      <c r="E7" s="74"/>
      <c r="F7" s="74"/>
      <c r="G7" s="74"/>
      <c r="H7" s="74"/>
      <c r="I7" s="74"/>
      <c r="J7" s="74"/>
      <c r="K7" s="74"/>
      <c r="L7" s="89"/>
      <c r="N7" s="86"/>
      <c r="O7" s="86"/>
      <c r="P7" s="86"/>
      <c r="Q7" s="86"/>
      <c r="R7" s="86"/>
      <c r="S7" s="86"/>
      <c r="T7" s="86"/>
      <c r="U7" s="86"/>
      <c r="V7" s="86"/>
      <c r="W7" s="86"/>
      <c r="X7" s="86"/>
      <c r="Y7" s="86"/>
      <c r="Z7" s="86"/>
      <c r="AA7" s="86"/>
      <c r="AB7" s="86"/>
      <c r="AC7" s="86"/>
      <c r="AD7" s="86"/>
      <c r="AE7" s="86"/>
      <c r="AF7" s="86"/>
      <c r="AG7" s="86"/>
      <c r="AH7" s="86"/>
      <c r="AI7" s="86"/>
      <c r="AJ7" s="86"/>
      <c r="AK7" s="86"/>
      <c r="AL7" s="86"/>
    </row>
    <row r="8" spans="1:38" ht="15" customHeight="1">
      <c r="A8" s="73">
        <f t="shared" si="0"/>
        <v>3</v>
      </c>
      <c r="B8" s="212" t="s">
        <v>30</v>
      </c>
      <c r="C8" s="91"/>
      <c r="D8" s="92"/>
      <c r="E8" s="92"/>
      <c r="F8" s="91"/>
      <c r="G8" s="91"/>
      <c r="H8" s="91"/>
      <c r="I8" s="91"/>
      <c r="J8" s="91"/>
      <c r="K8" s="585" t="s">
        <v>133</v>
      </c>
      <c r="L8" s="585" t="s">
        <v>56</v>
      </c>
      <c r="N8" s="86"/>
      <c r="O8" s="86"/>
      <c r="P8" s="86"/>
      <c r="Q8" s="86"/>
      <c r="R8" s="86"/>
      <c r="S8" s="86"/>
      <c r="T8" s="86"/>
      <c r="U8" s="86"/>
      <c r="V8" s="86"/>
      <c r="W8" s="86"/>
      <c r="X8" s="86"/>
      <c r="Y8" s="86"/>
      <c r="Z8" s="86"/>
      <c r="AA8" s="86"/>
      <c r="AB8" s="86"/>
      <c r="AC8" s="86"/>
      <c r="AD8" s="86"/>
      <c r="AE8" s="86"/>
      <c r="AF8" s="86"/>
      <c r="AG8" s="86"/>
      <c r="AH8" s="86"/>
      <c r="AI8" s="86"/>
      <c r="AJ8" s="86"/>
      <c r="AK8" s="86"/>
      <c r="AL8" s="86"/>
    </row>
    <row r="9" spans="1:38" ht="15" customHeight="1">
      <c r="A9" s="73">
        <f t="shared" si="0"/>
        <v>4</v>
      </c>
      <c r="B9" s="212"/>
      <c r="C9" s="91"/>
      <c r="D9" s="92"/>
      <c r="E9" s="92"/>
      <c r="F9" s="91"/>
      <c r="G9" s="585" t="s">
        <v>47</v>
      </c>
      <c r="H9" s="91"/>
      <c r="I9" s="91"/>
      <c r="J9" s="91"/>
      <c r="K9" s="585"/>
      <c r="L9" s="585"/>
      <c r="N9" s="86"/>
      <c r="O9" s="86"/>
      <c r="P9" s="86"/>
      <c r="Q9" s="86"/>
      <c r="R9" s="86"/>
      <c r="S9" s="86"/>
      <c r="T9" s="86"/>
      <c r="U9" s="86"/>
      <c r="V9" s="86"/>
      <c r="W9" s="86"/>
      <c r="X9" s="86"/>
      <c r="Y9" s="86"/>
      <c r="Z9" s="86"/>
      <c r="AA9" s="86"/>
      <c r="AB9" s="86"/>
      <c r="AC9" s="86"/>
      <c r="AD9" s="86"/>
      <c r="AE9" s="86"/>
      <c r="AF9" s="86"/>
      <c r="AG9" s="86"/>
      <c r="AH9" s="86"/>
      <c r="AI9" s="86"/>
      <c r="AJ9" s="86"/>
      <c r="AK9" s="86"/>
      <c r="AL9" s="86"/>
    </row>
    <row r="10" spans="1:38" ht="15" customHeight="1">
      <c r="A10" s="73">
        <f t="shared" si="0"/>
        <v>5</v>
      </c>
      <c r="B10" s="91"/>
      <c r="C10" s="93"/>
      <c r="D10" s="585" t="s">
        <v>43</v>
      </c>
      <c r="E10" s="90"/>
      <c r="F10" s="585" t="s">
        <v>109</v>
      </c>
      <c r="G10" s="585"/>
      <c r="H10" s="585" t="s">
        <v>46</v>
      </c>
      <c r="I10" s="585" t="s">
        <v>68</v>
      </c>
      <c r="J10" s="158"/>
      <c r="K10" s="585"/>
      <c r="L10" s="585"/>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row>
    <row r="11" spans="1:38" s="25" customFormat="1" ht="15" customHeight="1">
      <c r="A11" s="73">
        <f t="shared" si="0"/>
        <v>6</v>
      </c>
      <c r="B11" s="213" t="s">
        <v>12</v>
      </c>
      <c r="C11" s="66" t="s">
        <v>24</v>
      </c>
      <c r="D11" s="586"/>
      <c r="E11" s="66" t="s">
        <v>40</v>
      </c>
      <c r="F11" s="586"/>
      <c r="G11" s="586"/>
      <c r="H11" s="586"/>
      <c r="I11" s="586"/>
      <c r="J11" s="66" t="s">
        <v>45</v>
      </c>
      <c r="K11" s="586"/>
      <c r="L11" s="586"/>
      <c r="N11" s="174"/>
      <c r="O11" s="94"/>
      <c r="P11" s="94"/>
      <c r="Q11" s="94"/>
      <c r="R11" s="94"/>
      <c r="S11" s="94"/>
      <c r="T11" s="94"/>
      <c r="U11" s="94"/>
      <c r="V11" s="94"/>
      <c r="W11" s="94"/>
      <c r="X11" s="94"/>
      <c r="Y11" s="94"/>
      <c r="Z11" s="94"/>
      <c r="AA11" s="94"/>
      <c r="AB11" s="94"/>
      <c r="AC11" s="94"/>
      <c r="AD11" s="94"/>
      <c r="AE11" s="94"/>
      <c r="AF11" s="94"/>
      <c r="AG11" s="94"/>
      <c r="AH11" s="94"/>
      <c r="AI11" s="94"/>
      <c r="AJ11" s="94"/>
      <c r="AK11" s="94"/>
      <c r="AL11" s="94"/>
    </row>
    <row r="12" spans="1:38" ht="13.5" customHeight="1">
      <c r="A12" s="73">
        <f t="shared" si="0"/>
        <v>7</v>
      </c>
      <c r="B12" s="214" t="s">
        <v>110</v>
      </c>
      <c r="C12" s="70">
        <v>25</v>
      </c>
      <c r="D12" s="76">
        <v>2400000</v>
      </c>
      <c r="E12" s="75">
        <v>34297</v>
      </c>
      <c r="F12" s="95">
        <v>37926</v>
      </c>
      <c r="G12" s="97">
        <f>D12*C12</f>
        <v>60000000</v>
      </c>
      <c r="H12" s="76">
        <v>2400000</v>
      </c>
      <c r="I12" s="76"/>
      <c r="J12" s="96">
        <v>25</v>
      </c>
      <c r="K12" s="97">
        <f>ROUND((J12-C12)*H12,0)</f>
        <v>0</v>
      </c>
      <c r="L12" s="92" t="s">
        <v>87</v>
      </c>
      <c r="N12" s="175"/>
      <c r="O12" s="86"/>
      <c r="P12" s="86"/>
      <c r="Q12" s="86"/>
      <c r="R12" s="86"/>
      <c r="S12" s="86"/>
      <c r="T12" s="86"/>
      <c r="U12" s="86"/>
      <c r="V12" s="86"/>
      <c r="W12" s="86"/>
      <c r="X12" s="86"/>
      <c r="Y12" s="86"/>
      <c r="Z12" s="86"/>
      <c r="AA12" s="86"/>
      <c r="AB12" s="86"/>
      <c r="AC12" s="86"/>
      <c r="AD12" s="86"/>
      <c r="AE12" s="86"/>
      <c r="AF12" s="86"/>
      <c r="AG12" s="86"/>
      <c r="AH12" s="86"/>
      <c r="AI12" s="86"/>
      <c r="AJ12" s="86"/>
      <c r="AK12" s="86"/>
      <c r="AL12" s="86"/>
    </row>
    <row r="13" spans="1:38" ht="13.5" customHeight="1">
      <c r="A13" s="73">
        <f t="shared" si="0"/>
        <v>8</v>
      </c>
      <c r="B13" s="77" t="s">
        <v>163</v>
      </c>
      <c r="C13" s="70">
        <v>100</v>
      </c>
      <c r="D13" s="76">
        <v>750000</v>
      </c>
      <c r="E13" s="75">
        <v>33688</v>
      </c>
      <c r="F13" s="95">
        <v>37848</v>
      </c>
      <c r="G13" s="97">
        <f>D13*C13</f>
        <v>75000000</v>
      </c>
      <c r="H13" s="76">
        <v>337500</v>
      </c>
      <c r="I13" s="76"/>
      <c r="J13" s="96">
        <v>102.07</v>
      </c>
      <c r="K13" s="108">
        <f>ROUND((J13-C13)*H13,0)</f>
        <v>698625</v>
      </c>
      <c r="L13" s="104">
        <f>+F13+(365*10)+2</f>
        <v>41500</v>
      </c>
      <c r="N13" s="176"/>
      <c r="O13" s="176"/>
      <c r="P13" s="67"/>
      <c r="Q13" s="68"/>
      <c r="R13" s="86"/>
      <c r="S13" s="86"/>
      <c r="T13" s="86"/>
      <c r="U13" s="86"/>
      <c r="V13" s="86"/>
      <c r="W13" s="86"/>
      <c r="X13" s="86"/>
      <c r="Y13" s="86"/>
      <c r="Z13" s="86"/>
      <c r="AA13" s="86"/>
      <c r="AB13" s="86"/>
      <c r="AC13" s="86"/>
      <c r="AD13" s="86"/>
      <c r="AE13" s="86"/>
      <c r="AF13" s="86"/>
      <c r="AG13" s="86"/>
      <c r="AH13" s="86"/>
      <c r="AI13" s="86"/>
      <c r="AJ13" s="86"/>
      <c r="AK13" s="86"/>
      <c r="AL13" s="86"/>
    </row>
    <row r="14" spans="1:38" s="26" customFormat="1" ht="13.5" customHeight="1">
      <c r="A14" s="73">
        <f t="shared" si="0"/>
        <v>9</v>
      </c>
      <c r="B14" s="77"/>
      <c r="C14" s="91"/>
      <c r="D14" s="215"/>
      <c r="E14" s="215"/>
      <c r="F14" s="216"/>
      <c r="G14" s="217"/>
      <c r="H14" s="218"/>
      <c r="I14" s="218"/>
      <c r="J14" s="217"/>
      <c r="K14" s="99"/>
      <c r="L14" s="104"/>
      <c r="N14" s="177"/>
      <c r="O14" s="98"/>
      <c r="P14" s="98"/>
      <c r="Q14" s="98"/>
      <c r="R14" s="98"/>
      <c r="S14" s="98"/>
      <c r="T14" s="98"/>
      <c r="U14" s="98"/>
      <c r="V14" s="98"/>
      <c r="W14" s="98"/>
      <c r="X14" s="98"/>
      <c r="Y14" s="98"/>
      <c r="Z14" s="98"/>
      <c r="AA14" s="98"/>
      <c r="AB14" s="98"/>
      <c r="AC14" s="98"/>
      <c r="AD14" s="98"/>
      <c r="AE14" s="98"/>
      <c r="AF14" s="98"/>
      <c r="AG14" s="98"/>
      <c r="AH14" s="98"/>
      <c r="AI14" s="98"/>
      <c r="AJ14" s="98"/>
      <c r="AK14" s="98"/>
      <c r="AL14" s="98"/>
    </row>
    <row r="15" spans="1:38" s="26" customFormat="1" ht="13.5" customHeight="1">
      <c r="A15" s="73">
        <f t="shared" si="0"/>
        <v>10</v>
      </c>
      <c r="B15" s="77"/>
      <c r="C15" s="91"/>
      <c r="D15" s="215"/>
      <c r="E15" s="215"/>
      <c r="F15" s="216"/>
      <c r="G15" s="217"/>
      <c r="H15" s="218"/>
      <c r="I15" s="218"/>
      <c r="J15" s="217"/>
      <c r="K15" s="99"/>
      <c r="L15" s="104"/>
      <c r="N15" s="177"/>
      <c r="O15" s="98"/>
      <c r="P15" s="98"/>
      <c r="Q15" s="98"/>
      <c r="R15" s="98"/>
      <c r="S15" s="98"/>
      <c r="T15" s="98"/>
      <c r="U15" s="98"/>
      <c r="V15" s="98"/>
      <c r="W15" s="98"/>
      <c r="X15" s="98"/>
      <c r="Y15" s="98"/>
      <c r="Z15" s="98"/>
      <c r="AA15" s="98"/>
      <c r="AB15" s="98"/>
      <c r="AC15" s="98"/>
      <c r="AD15" s="98"/>
      <c r="AE15" s="98"/>
      <c r="AF15" s="98"/>
      <c r="AG15" s="98"/>
      <c r="AH15" s="98"/>
      <c r="AI15" s="98"/>
      <c r="AJ15" s="98"/>
      <c r="AK15" s="98"/>
      <c r="AL15" s="98"/>
    </row>
    <row r="16" spans="1:38" s="26" customFormat="1" ht="13.5" customHeight="1">
      <c r="A16" s="73">
        <f t="shared" si="0"/>
        <v>11</v>
      </c>
      <c r="B16" s="77"/>
      <c r="C16" s="89"/>
      <c r="D16" s="89"/>
      <c r="E16" s="100"/>
      <c r="F16" s="100"/>
      <c r="G16" s="101"/>
      <c r="H16" s="102"/>
      <c r="I16" s="103"/>
      <c r="J16" s="103"/>
      <c r="K16" s="102"/>
      <c r="L16" s="99"/>
      <c r="M16" s="104"/>
      <c r="N16" s="177"/>
      <c r="O16" s="98"/>
      <c r="P16" s="98"/>
      <c r="Q16" s="98"/>
      <c r="R16" s="98"/>
      <c r="S16" s="98"/>
      <c r="T16" s="98"/>
      <c r="U16" s="98"/>
      <c r="V16" s="98"/>
      <c r="W16" s="98"/>
      <c r="X16" s="98"/>
      <c r="Y16" s="98"/>
      <c r="Z16" s="98"/>
      <c r="AA16" s="98"/>
      <c r="AB16" s="98"/>
      <c r="AC16" s="98"/>
      <c r="AD16" s="98"/>
      <c r="AE16" s="98"/>
      <c r="AF16" s="98"/>
      <c r="AG16" s="98"/>
      <c r="AH16" s="98"/>
      <c r="AI16" s="98"/>
      <c r="AJ16" s="98"/>
      <c r="AK16" s="98"/>
      <c r="AL16" s="98"/>
    </row>
    <row r="17" spans="1:50" ht="13.5" customHeight="1">
      <c r="A17" s="73">
        <f t="shared" si="0"/>
        <v>12</v>
      </c>
      <c r="B17" s="212" t="s">
        <v>57</v>
      </c>
      <c r="C17" s="91"/>
      <c r="D17" s="91"/>
      <c r="E17" s="91"/>
      <c r="F17" s="91"/>
      <c r="G17" s="91"/>
      <c r="H17" s="158"/>
      <c r="I17" s="105"/>
      <c r="J17" s="105"/>
      <c r="K17" s="105"/>
      <c r="L17" s="105" t="s">
        <v>0</v>
      </c>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row>
    <row r="18" spans="1:50" ht="12" customHeight="1">
      <c r="A18" s="73">
        <f t="shared" si="0"/>
        <v>13</v>
      </c>
      <c r="B18" s="212"/>
      <c r="C18" s="91"/>
      <c r="D18" s="91"/>
      <c r="E18" s="91"/>
      <c r="F18" s="91"/>
      <c r="G18" s="91"/>
      <c r="H18" s="158"/>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row>
    <row r="19" spans="1:50" ht="47.25" customHeight="1">
      <c r="A19" s="73">
        <f t="shared" si="0"/>
        <v>14</v>
      </c>
      <c r="B19" s="213" t="s">
        <v>12</v>
      </c>
      <c r="C19" s="66" t="s">
        <v>48</v>
      </c>
      <c r="D19" s="66" t="s">
        <v>111</v>
      </c>
      <c r="E19" s="66" t="s">
        <v>162</v>
      </c>
      <c r="F19" s="66" t="s">
        <v>67</v>
      </c>
      <c r="G19" s="66" t="s">
        <v>69</v>
      </c>
      <c r="H19" s="158"/>
      <c r="I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row>
    <row r="20" spans="1:50" ht="12.75">
      <c r="A20" s="73">
        <f t="shared" si="0"/>
        <v>15</v>
      </c>
      <c r="B20" s="196"/>
      <c r="C20" s="90"/>
      <c r="D20" s="90"/>
      <c r="E20" s="90"/>
      <c r="F20" s="90"/>
      <c r="G20" s="90"/>
      <c r="H20" s="158"/>
      <c r="I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row>
    <row r="21" spans="1:50" ht="12.75">
      <c r="A21" s="73">
        <f t="shared" si="0"/>
        <v>16</v>
      </c>
      <c r="B21" s="79" t="s">
        <v>10</v>
      </c>
      <c r="C21" s="90"/>
      <c r="D21" s="90"/>
      <c r="E21" s="90"/>
      <c r="F21" s="90"/>
      <c r="G21" s="90"/>
      <c r="H21" s="158"/>
      <c r="I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row>
    <row r="22" spans="1:38" ht="13.5" customHeight="1">
      <c r="A22" s="73">
        <f t="shared" si="0"/>
        <v>17</v>
      </c>
      <c r="B22" s="77" t="s">
        <v>163</v>
      </c>
      <c r="C22" s="97">
        <f>K13</f>
        <v>698625</v>
      </c>
      <c r="D22" s="92">
        <v>10</v>
      </c>
      <c r="E22" s="282">
        <v>12</v>
      </c>
      <c r="F22" s="96">
        <f>+C22/D22/E22</f>
        <v>5821.875</v>
      </c>
      <c r="G22" s="97">
        <f>+F22*12</f>
        <v>69862.5</v>
      </c>
      <c r="H22" s="158"/>
      <c r="I22" s="107"/>
      <c r="AA22" s="86"/>
      <c r="AB22" s="86"/>
      <c r="AC22" s="86"/>
      <c r="AD22" s="86"/>
      <c r="AE22" s="86"/>
      <c r="AF22" s="86"/>
      <c r="AG22" s="86"/>
      <c r="AH22" s="86"/>
      <c r="AI22" s="86"/>
      <c r="AJ22" s="86"/>
      <c r="AK22" s="86"/>
      <c r="AL22" s="86"/>
    </row>
    <row r="23" spans="1:38" s="23" customFormat="1" ht="13.5" customHeight="1" thickBot="1">
      <c r="A23" s="73">
        <f t="shared" si="0"/>
        <v>18</v>
      </c>
      <c r="B23" s="283" t="s">
        <v>161</v>
      </c>
      <c r="C23" s="284">
        <f>SUM(C22:C22)</f>
        <v>698625</v>
      </c>
      <c r="D23" s="157"/>
      <c r="E23" s="106"/>
      <c r="F23" s="96"/>
      <c r="G23" s="181">
        <f>SUM(G22:G22)</f>
        <v>69862.5</v>
      </c>
      <c r="H23" s="219"/>
      <c r="I23" s="109"/>
      <c r="AA23" s="87"/>
      <c r="AB23" s="87"/>
      <c r="AC23" s="87"/>
      <c r="AD23" s="87"/>
      <c r="AE23" s="87"/>
      <c r="AF23" s="87"/>
      <c r="AG23" s="87"/>
      <c r="AH23" s="87"/>
      <c r="AI23" s="87"/>
      <c r="AJ23" s="87"/>
      <c r="AK23" s="87"/>
      <c r="AL23" s="87"/>
    </row>
    <row r="24" spans="1:38" ht="13.5" customHeight="1" thickTop="1">
      <c r="A24" s="73"/>
      <c r="B24" s="91"/>
      <c r="C24" s="178"/>
      <c r="D24" s="178"/>
      <c r="E24" s="107"/>
      <c r="F24" s="107"/>
      <c r="G24" s="107"/>
      <c r="H24" s="97"/>
      <c r="I24" s="107"/>
      <c r="AA24" s="86"/>
      <c r="AB24" s="86"/>
      <c r="AC24" s="86"/>
      <c r="AD24" s="86"/>
      <c r="AE24" s="86"/>
      <c r="AF24" s="86"/>
      <c r="AG24" s="86"/>
      <c r="AH24" s="86"/>
      <c r="AI24" s="86"/>
      <c r="AJ24" s="86"/>
      <c r="AK24" s="86"/>
      <c r="AL24" s="86"/>
    </row>
    <row r="25" spans="1:38" ht="13.5" customHeight="1">
      <c r="A25" s="73"/>
      <c r="I25" s="69"/>
      <c r="AA25" s="86"/>
      <c r="AB25" s="86"/>
      <c r="AC25" s="86"/>
      <c r="AD25" s="86"/>
      <c r="AE25" s="86"/>
      <c r="AF25" s="86"/>
      <c r="AG25" s="86"/>
      <c r="AH25" s="86"/>
      <c r="AI25" s="86"/>
      <c r="AJ25" s="86"/>
      <c r="AK25" s="86"/>
      <c r="AL25" s="86"/>
    </row>
    <row r="26" spans="1:38" ht="13.5" customHeight="1">
      <c r="A26" s="73"/>
      <c r="B26" s="72"/>
      <c r="C26" s="77"/>
      <c r="D26" s="77"/>
      <c r="E26" s="77"/>
      <c r="F26" s="77"/>
      <c r="G26" s="77"/>
      <c r="H26" s="77"/>
      <c r="I26" s="69"/>
      <c r="AA26" s="86"/>
      <c r="AB26" s="86"/>
      <c r="AC26" s="86"/>
      <c r="AD26" s="86"/>
      <c r="AE26" s="86"/>
      <c r="AF26" s="86"/>
      <c r="AG26" s="86"/>
      <c r="AH26" s="86"/>
      <c r="AI26" s="86"/>
      <c r="AJ26" s="86"/>
      <c r="AK26" s="86"/>
      <c r="AL26" s="86"/>
    </row>
    <row r="27" spans="1:38" ht="13.5" customHeight="1">
      <c r="A27" s="65"/>
      <c r="I27" s="69"/>
      <c r="J27" s="69"/>
      <c r="K27" s="69"/>
      <c r="L27" s="69"/>
      <c r="M27" s="107"/>
      <c r="N27" s="107"/>
      <c r="O27" s="107"/>
      <c r="P27" s="86"/>
      <c r="Q27" s="86"/>
      <c r="R27" s="86"/>
      <c r="S27" s="86"/>
      <c r="T27" s="86"/>
      <c r="U27" s="86"/>
      <c r="V27" s="86"/>
      <c r="W27" s="86"/>
      <c r="X27" s="86"/>
      <c r="Y27" s="86"/>
      <c r="Z27" s="86"/>
      <c r="AA27" s="86"/>
      <c r="AB27" s="86"/>
      <c r="AC27" s="86"/>
      <c r="AD27" s="86"/>
      <c r="AE27" s="86"/>
      <c r="AF27" s="86"/>
      <c r="AG27" s="86"/>
      <c r="AH27" s="86"/>
      <c r="AI27" s="86"/>
      <c r="AJ27" s="86"/>
      <c r="AK27" s="86"/>
      <c r="AL27" s="86"/>
    </row>
    <row r="28" spans="1:15" ht="12.75">
      <c r="A28" s="22"/>
      <c r="I28" s="159"/>
      <c r="J28" s="159"/>
      <c r="K28" s="159"/>
      <c r="L28" s="159"/>
      <c r="M28" s="107"/>
      <c r="N28" s="107"/>
      <c r="O28" s="107"/>
    </row>
    <row r="29" spans="1:15" ht="12.75">
      <c r="A29" s="65"/>
      <c r="B29" s="158"/>
      <c r="C29" s="158"/>
      <c r="D29" s="158"/>
      <c r="E29" s="158"/>
      <c r="F29" s="158"/>
      <c r="G29" s="158"/>
      <c r="H29" s="158"/>
      <c r="M29" s="107"/>
      <c r="N29" s="107"/>
      <c r="O29" s="107"/>
    </row>
    <row r="30" spans="2:21" ht="15.75">
      <c r="B30" s="188"/>
      <c r="C30" s="189"/>
      <c r="D30" s="189"/>
      <c r="E30" s="189"/>
      <c r="F30" s="189"/>
      <c r="G30" s="189"/>
      <c r="H30" s="190"/>
      <c r="I30" s="38"/>
      <c r="J30" s="38"/>
      <c r="K30" s="57"/>
      <c r="L30" s="58"/>
      <c r="M30" s="107"/>
      <c r="N30" s="107"/>
      <c r="O30" s="107"/>
      <c r="P30" s="180"/>
      <c r="Q30" s="38"/>
      <c r="R30" s="38"/>
      <c r="S30" s="80"/>
      <c r="T30" s="81"/>
      <c r="U30" s="19"/>
    </row>
    <row r="31" spans="2:15" ht="12.75">
      <c r="B31" s="158"/>
      <c r="C31" s="158"/>
      <c r="D31" s="158"/>
      <c r="E31" s="158"/>
      <c r="F31" s="158"/>
      <c r="G31" s="158"/>
      <c r="H31" s="158"/>
      <c r="M31" s="107"/>
      <c r="N31" s="107"/>
      <c r="O31" s="107"/>
    </row>
    <row r="32" spans="2:15" ht="12.75">
      <c r="B32" s="158"/>
      <c r="C32" s="158"/>
      <c r="D32" s="158"/>
      <c r="E32" s="158"/>
      <c r="F32" s="158"/>
      <c r="G32" s="158"/>
      <c r="H32" s="158"/>
      <c r="M32" s="107"/>
      <c r="N32" s="107"/>
      <c r="O32" s="107"/>
    </row>
    <row r="33" spans="2:15" ht="12.75">
      <c r="B33" s="158"/>
      <c r="C33" s="158"/>
      <c r="D33" s="158"/>
      <c r="E33" s="158"/>
      <c r="F33" s="158"/>
      <c r="G33" s="158"/>
      <c r="H33" s="158"/>
      <c r="M33" s="107"/>
      <c r="N33" s="107"/>
      <c r="O33" s="107"/>
    </row>
    <row r="34" spans="2:8" ht="12.75">
      <c r="B34" s="158"/>
      <c r="C34" s="158"/>
      <c r="D34" s="158"/>
      <c r="E34" s="158"/>
      <c r="F34" s="158"/>
      <c r="G34" s="158"/>
      <c r="H34" s="158"/>
    </row>
  </sheetData>
  <sheetProtection/>
  <mergeCells count="7">
    <mergeCell ref="L8:L11"/>
    <mergeCell ref="D10:D11"/>
    <mergeCell ref="F10:F11"/>
    <mergeCell ref="H10:H11"/>
    <mergeCell ref="G9:G11"/>
    <mergeCell ref="I10:I11"/>
    <mergeCell ref="K8:K11"/>
  </mergeCells>
  <printOptions horizontalCentered="1"/>
  <pageMargins left="0.5" right="0.53" top="0.78" bottom="0.94" header="0.27" footer="0.34"/>
  <pageSetup fitToHeight="1" fitToWidth="1" horizontalDpi="600" verticalDpi="600" orientation="landscape" r:id="rId1"/>
  <headerFooter alignWithMargins="0">
    <oddFooter>&amp;L&amp;"Times New Roman,Regular"&amp;11_____ Exhibit (Confidential) to the
Prefiled Direct Testimony of Donald E. Gaines&amp;R&amp;"Times New Roman,Regular"&amp;11Exhibit No. ___(DEG-  C)
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G50"/>
  <sheetViews>
    <sheetView zoomScalePageLayoutView="0" workbookViewId="0" topLeftCell="A1">
      <selection activeCell="F48" sqref="F48"/>
    </sheetView>
  </sheetViews>
  <sheetFormatPr defaultColWidth="9.140625" defaultRowHeight="12" outlineLevelCol="1"/>
  <cols>
    <col min="1" max="1" width="44.140625" style="305" customWidth="1"/>
    <col min="2" max="2" width="17.57421875" style="305" customWidth="1"/>
    <col min="3" max="3" width="26.57421875" style="305" hidden="1" customWidth="1"/>
    <col min="4" max="4" width="4.00390625" style="305" customWidth="1"/>
    <col min="5" max="5" width="9.7109375" style="305" customWidth="1"/>
    <col min="6" max="7" width="10.28125" style="305" customWidth="1"/>
    <col min="8" max="17" width="10.28125" style="305" hidden="1" customWidth="1" outlineLevel="1"/>
    <col min="18" max="18" width="10.28125" style="305" customWidth="1" collapsed="1"/>
    <col min="19" max="33" width="10.28125" style="305" customWidth="1"/>
    <col min="34" max="16384" width="9.140625" style="305" customWidth="1"/>
  </cols>
  <sheetData>
    <row r="1" spans="1:2" ht="12.75">
      <c r="A1" s="330"/>
      <c r="B1" s="330"/>
    </row>
    <row r="2" spans="1:2" ht="12.75">
      <c r="A2" s="568" t="s">
        <v>181</v>
      </c>
      <c r="B2" s="568"/>
    </row>
    <row r="3" spans="1:4" ht="15.75">
      <c r="A3" s="568" t="s">
        <v>182</v>
      </c>
      <c r="B3" s="568"/>
      <c r="C3" s="304"/>
      <c r="D3" s="304"/>
    </row>
    <row r="4" spans="1:4" ht="15.75">
      <c r="A4" s="569" t="s">
        <v>183</v>
      </c>
      <c r="B4" s="569"/>
      <c r="C4" s="306"/>
      <c r="D4" s="306"/>
    </row>
    <row r="5" spans="1:6" ht="12.75">
      <c r="A5" s="570"/>
      <c r="B5" s="570"/>
      <c r="E5" s="307"/>
      <c r="F5" s="307"/>
    </row>
    <row r="6" spans="1:2" ht="12.75">
      <c r="A6" s="330"/>
      <c r="B6" s="330"/>
    </row>
    <row r="7" spans="1:3" ht="15.75">
      <c r="A7" s="330"/>
      <c r="B7" s="331">
        <v>39355</v>
      </c>
      <c r="C7" s="308" t="s">
        <v>184</v>
      </c>
    </row>
    <row r="8" spans="1:3" ht="14.25">
      <c r="A8" s="332" t="s">
        <v>185</v>
      </c>
      <c r="B8" s="332" t="s">
        <v>186</v>
      </c>
      <c r="C8" s="310" t="s">
        <v>187</v>
      </c>
    </row>
    <row r="9" spans="1:3" ht="18" customHeight="1">
      <c r="A9" s="333"/>
      <c r="B9" s="330"/>
      <c r="C9" s="311" t="s">
        <v>188</v>
      </c>
    </row>
    <row r="10" spans="1:3" ht="15">
      <c r="A10" s="334" t="s">
        <v>189</v>
      </c>
      <c r="B10" s="335">
        <v>2137113406</v>
      </c>
      <c r="C10" s="312"/>
    </row>
    <row r="11" spans="1:6" ht="12.75">
      <c r="A11" s="334" t="s">
        <v>190</v>
      </c>
      <c r="B11" s="300"/>
      <c r="C11" s="301"/>
      <c r="E11" s="302" t="s">
        <v>191</v>
      </c>
      <c r="F11" s="303"/>
    </row>
    <row r="12" spans="1:33" ht="12.75">
      <c r="A12" s="334"/>
      <c r="B12" s="297"/>
      <c r="C12" s="301"/>
      <c r="E12" s="313"/>
      <c r="F12" s="314" t="s">
        <v>192</v>
      </c>
      <c r="G12" s="314" t="s">
        <v>193</v>
      </c>
      <c r="H12" s="314" t="s">
        <v>194</v>
      </c>
      <c r="I12" s="314" t="s">
        <v>195</v>
      </c>
      <c r="J12" s="314" t="s">
        <v>196</v>
      </c>
      <c r="K12" s="314" t="s">
        <v>197</v>
      </c>
      <c r="L12" s="314" t="s">
        <v>198</v>
      </c>
      <c r="M12" s="314" t="s">
        <v>199</v>
      </c>
      <c r="N12" s="314" t="s">
        <v>200</v>
      </c>
      <c r="O12" s="314" t="s">
        <v>201</v>
      </c>
      <c r="P12" s="314" t="s">
        <v>202</v>
      </c>
      <c r="Q12" s="314" t="s">
        <v>203</v>
      </c>
      <c r="R12" s="315" t="s">
        <v>204</v>
      </c>
      <c r="S12" s="314" t="s">
        <v>193</v>
      </c>
      <c r="T12" s="314" t="s">
        <v>194</v>
      </c>
      <c r="U12" s="315" t="s">
        <v>195</v>
      </c>
      <c r="V12" s="314" t="s">
        <v>196</v>
      </c>
      <c r="W12" s="314" t="s">
        <v>197</v>
      </c>
      <c r="X12" s="315" t="s">
        <v>198</v>
      </c>
      <c r="Y12" s="314" t="s">
        <v>199</v>
      </c>
      <c r="Z12" s="314" t="s">
        <v>200</v>
      </c>
      <c r="AA12" s="315" t="s">
        <v>201</v>
      </c>
      <c r="AB12" s="314" t="s">
        <v>202</v>
      </c>
      <c r="AC12" s="314" t="s">
        <v>203</v>
      </c>
      <c r="AD12" s="315" t="s">
        <v>204</v>
      </c>
      <c r="AE12" s="314" t="s">
        <v>193</v>
      </c>
      <c r="AF12" s="314" t="s">
        <v>194</v>
      </c>
      <c r="AG12" s="314" t="s">
        <v>195</v>
      </c>
    </row>
    <row r="13" spans="1:33" ht="12.75">
      <c r="A13" s="336" t="s">
        <v>205</v>
      </c>
      <c r="B13" s="300"/>
      <c r="C13" s="301"/>
      <c r="E13" s="313"/>
      <c r="F13" s="314">
        <v>2007</v>
      </c>
      <c r="G13" s="314">
        <v>2007</v>
      </c>
      <c r="H13" s="314">
        <v>2007</v>
      </c>
      <c r="I13" s="314">
        <v>2007</v>
      </c>
      <c r="J13" s="314">
        <v>2008</v>
      </c>
      <c r="K13" s="314">
        <v>2008</v>
      </c>
      <c r="L13" s="314">
        <v>2008</v>
      </c>
      <c r="M13" s="314">
        <v>2008</v>
      </c>
      <c r="N13" s="314">
        <v>2008</v>
      </c>
      <c r="O13" s="314">
        <v>2008</v>
      </c>
      <c r="P13" s="314">
        <v>2008</v>
      </c>
      <c r="Q13" s="314">
        <v>2008</v>
      </c>
      <c r="R13" s="315">
        <v>2008</v>
      </c>
      <c r="S13" s="314">
        <v>2008</v>
      </c>
      <c r="T13" s="314">
        <v>2008</v>
      </c>
      <c r="U13" s="315">
        <v>2008</v>
      </c>
      <c r="V13" s="314">
        <v>2009</v>
      </c>
      <c r="W13" s="314">
        <v>2009</v>
      </c>
      <c r="X13" s="315">
        <v>2009</v>
      </c>
      <c r="Y13" s="314">
        <v>2009</v>
      </c>
      <c r="Z13" s="314">
        <v>2009</v>
      </c>
      <c r="AA13" s="315">
        <v>2009</v>
      </c>
      <c r="AB13" s="314">
        <v>2009</v>
      </c>
      <c r="AC13" s="314">
        <v>2009</v>
      </c>
      <c r="AD13" s="315">
        <v>2009</v>
      </c>
      <c r="AE13" s="314">
        <v>2009</v>
      </c>
      <c r="AF13" s="314">
        <v>2009</v>
      </c>
      <c r="AG13" s="314">
        <v>2009</v>
      </c>
    </row>
    <row r="14" spans="1:33" ht="12.75">
      <c r="A14" s="336" t="s">
        <v>206</v>
      </c>
      <c r="B14" s="300"/>
      <c r="C14" s="301"/>
      <c r="E14" s="313" t="s">
        <v>207</v>
      </c>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row>
    <row r="15" spans="1:33" ht="12.75">
      <c r="A15" s="334" t="s">
        <v>0</v>
      </c>
      <c r="B15" s="300"/>
      <c r="C15" s="301"/>
      <c r="E15" s="313" t="s">
        <v>208</v>
      </c>
      <c r="F15" s="313"/>
      <c r="G15" s="316">
        <v>7836.184120384849</v>
      </c>
      <c r="H15" s="316">
        <v>7874.150763019749</v>
      </c>
      <c r="I15" s="316">
        <v>56737.1611015487</v>
      </c>
      <c r="J15" s="316">
        <v>0</v>
      </c>
      <c r="K15" s="316">
        <v>0</v>
      </c>
      <c r="L15" s="316">
        <v>1025000</v>
      </c>
      <c r="M15" s="316">
        <v>0</v>
      </c>
      <c r="N15" s="316">
        <v>0</v>
      </c>
      <c r="O15" s="316">
        <v>1025000</v>
      </c>
      <c r="P15" s="316">
        <v>0</v>
      </c>
      <c r="Q15" s="316">
        <v>0</v>
      </c>
      <c r="R15" s="316">
        <v>1025000</v>
      </c>
      <c r="S15" s="316">
        <v>0</v>
      </c>
      <c r="T15" s="316">
        <v>0</v>
      </c>
      <c r="U15" s="316">
        <v>1025000</v>
      </c>
      <c r="V15" s="316">
        <v>0</v>
      </c>
      <c r="W15" s="316">
        <v>0</v>
      </c>
      <c r="X15" s="316">
        <v>925000</v>
      </c>
      <c r="Y15" s="316">
        <v>0</v>
      </c>
      <c r="Z15" s="316">
        <v>0</v>
      </c>
      <c r="AA15" s="316">
        <v>925000</v>
      </c>
      <c r="AB15" s="316">
        <v>0</v>
      </c>
      <c r="AC15" s="316">
        <v>0</v>
      </c>
      <c r="AD15" s="316">
        <v>925000</v>
      </c>
      <c r="AE15" s="316">
        <v>0</v>
      </c>
      <c r="AF15" s="316">
        <v>0</v>
      </c>
      <c r="AG15" s="316">
        <v>925000</v>
      </c>
    </row>
    <row r="16" spans="1:33" s="318" customFormat="1" ht="15">
      <c r="A16" s="337"/>
      <c r="B16" s="338"/>
      <c r="C16" s="317"/>
      <c r="E16" s="313" t="s">
        <v>209</v>
      </c>
      <c r="F16" s="313"/>
      <c r="G16" s="316">
        <v>-143.149800948267</v>
      </c>
      <c r="H16" s="316">
        <v>-287.371686208897</v>
      </c>
      <c r="I16" s="316">
        <v>90591.76465342559</v>
      </c>
      <c r="J16" s="316">
        <v>-12922.4166</v>
      </c>
      <c r="K16" s="316">
        <v>-12922.4166</v>
      </c>
      <c r="L16" s="316">
        <v>-12922.4166</v>
      </c>
      <c r="M16" s="316">
        <v>-12922.4166</v>
      </c>
      <c r="N16" s="316">
        <v>-12922.4166</v>
      </c>
      <c r="O16" s="316">
        <v>-12922.4166</v>
      </c>
      <c r="P16" s="316">
        <v>-12922.4166</v>
      </c>
      <c r="Q16" s="316">
        <v>-12922.4166</v>
      </c>
      <c r="R16" s="316">
        <v>-12922.4166</v>
      </c>
      <c r="S16" s="316">
        <v>-12922.4166</v>
      </c>
      <c r="T16" s="316">
        <v>-12922.4166</v>
      </c>
      <c r="U16" s="316">
        <v>-12922.4166</v>
      </c>
      <c r="V16" s="316">
        <v>-12922.4166</v>
      </c>
      <c r="W16" s="316">
        <v>-12922.4166</v>
      </c>
      <c r="X16" s="316">
        <v>-12922.4166</v>
      </c>
      <c r="Y16" s="316">
        <v>-12922.4166</v>
      </c>
      <c r="Z16" s="316">
        <v>-12922.4166</v>
      </c>
      <c r="AA16" s="316">
        <v>-12922.4166</v>
      </c>
      <c r="AB16" s="316">
        <v>-12922.4166</v>
      </c>
      <c r="AC16" s="316">
        <v>-12922.4166</v>
      </c>
      <c r="AD16" s="316">
        <v>-12922.4166</v>
      </c>
      <c r="AE16" s="316">
        <v>-12922.4166</v>
      </c>
      <c r="AF16" s="316">
        <v>-12922.4166</v>
      </c>
      <c r="AG16" s="316">
        <v>-12922.4166</v>
      </c>
    </row>
    <row r="17" spans="1:3" ht="15">
      <c r="A17" s="339" t="s">
        <v>137</v>
      </c>
      <c r="B17" s="338">
        <v>7436151</v>
      </c>
      <c r="C17" s="319">
        <v>0</v>
      </c>
    </row>
    <row r="18" spans="1:6" ht="15">
      <c r="A18" s="339" t="s">
        <v>210</v>
      </c>
      <c r="B18" s="340">
        <v>0</v>
      </c>
      <c r="C18" s="319"/>
      <c r="E18" s="313" t="s">
        <v>211</v>
      </c>
      <c r="F18" s="328" t="s">
        <v>219</v>
      </c>
    </row>
    <row r="19" spans="1:33" ht="15">
      <c r="A19" s="339" t="s">
        <v>212</v>
      </c>
      <c r="B19" s="340">
        <v>-27896150</v>
      </c>
      <c r="C19" s="319">
        <v>0</v>
      </c>
      <c r="E19" s="313" t="s">
        <v>208</v>
      </c>
      <c r="F19" s="316">
        <f>B17</f>
        <v>7436151</v>
      </c>
      <c r="G19" s="316">
        <f>$F19+SUM($G15:G15)</f>
        <v>7443987.184120385</v>
      </c>
      <c r="H19" s="316">
        <f>$F19+SUM($G15:H15)</f>
        <v>7451861.334883405</v>
      </c>
      <c r="I19" s="316">
        <f>$F19+SUM($G15:I15)</f>
        <v>7508598.495984953</v>
      </c>
      <c r="J19" s="316">
        <f>$F19+SUM($G15:J15)</f>
        <v>7508598.495984953</v>
      </c>
      <c r="K19" s="316">
        <f>$F19+SUM($G15:K15)</f>
        <v>7508598.495984953</v>
      </c>
      <c r="L19" s="316">
        <f>$F19+SUM($G15:L15)</f>
        <v>8533598.495984953</v>
      </c>
      <c r="M19" s="316">
        <f>$F19+SUM($G15:M15)</f>
        <v>8533598.495984953</v>
      </c>
      <c r="N19" s="316">
        <f>$F19+SUM($G15:N15)</f>
        <v>8533598.495984953</v>
      </c>
      <c r="O19" s="316">
        <f>$F19+SUM($G15:O15)</f>
        <v>9558598.495984953</v>
      </c>
      <c r="P19" s="316">
        <f>$F19+SUM($G15:P15)</f>
        <v>9558598.495984953</v>
      </c>
      <c r="Q19" s="316">
        <f>$F19+SUM($G15:Q15)</f>
        <v>9558598.495984953</v>
      </c>
      <c r="R19" s="320">
        <f>$F19+SUM($G15:R15)</f>
        <v>10583598.495984953</v>
      </c>
      <c r="S19" s="316">
        <f>$F19+SUM($G15:S15)</f>
        <v>10583598.495984953</v>
      </c>
      <c r="T19" s="316">
        <f>$F19+SUM($G15:T15)</f>
        <v>10583598.495984953</v>
      </c>
      <c r="U19" s="320">
        <f>$F19+SUM($G15:U15)</f>
        <v>11608598.495984953</v>
      </c>
      <c r="V19" s="316">
        <f>$F19+SUM($G15:V15)</f>
        <v>11608598.495984953</v>
      </c>
      <c r="W19" s="316">
        <f>$F19+SUM($G15:W15)</f>
        <v>11608598.495984953</v>
      </c>
      <c r="X19" s="320">
        <f>$F19+SUM($G15:X15)</f>
        <v>12533598.495984953</v>
      </c>
      <c r="Y19" s="316">
        <f>$F19+SUM($G15:Y15)</f>
        <v>12533598.495984953</v>
      </c>
      <c r="Z19" s="316">
        <f>$F19+SUM($G15:Z15)</f>
        <v>12533598.495984953</v>
      </c>
      <c r="AA19" s="320">
        <f>$F19+SUM($G15:AA15)</f>
        <v>13458598.495984953</v>
      </c>
      <c r="AB19" s="316">
        <f>$F19+SUM($G15:AB15)</f>
        <v>13458598.495984953</v>
      </c>
      <c r="AC19" s="316">
        <f>$F19+SUM($G15:AC15)</f>
        <v>13458598.495984953</v>
      </c>
      <c r="AD19" s="320">
        <f>$F19+SUM($G15:AD15)</f>
        <v>14383598.495984953</v>
      </c>
      <c r="AE19" s="316">
        <f>$F19+SUM($G15:AE15)</f>
        <v>14383598.495984953</v>
      </c>
      <c r="AF19" s="316">
        <f>$F19+SUM($G15:AF15)</f>
        <v>14383598.495984953</v>
      </c>
      <c r="AG19" s="316">
        <f>$F19+SUM($G15:AG15)</f>
        <v>15308598.495984953</v>
      </c>
    </row>
    <row r="20" spans="1:33" ht="15">
      <c r="A20" s="339" t="s">
        <v>213</v>
      </c>
      <c r="B20" s="341">
        <v>0</v>
      </c>
      <c r="C20" s="321">
        <v>0</v>
      </c>
      <c r="E20" s="313" t="s">
        <v>209</v>
      </c>
      <c r="F20" s="316">
        <f>B19</f>
        <v>-27896150</v>
      </c>
      <c r="G20" s="316">
        <f>$F20+SUM($G16:G16)</f>
        <v>-27896293.14980095</v>
      </c>
      <c r="H20" s="316">
        <f>$F20+SUM($G16:H16)</f>
        <v>-27896580.521487158</v>
      </c>
      <c r="I20" s="316">
        <f>$F20+SUM($G16:I16)</f>
        <v>-27805988.756833732</v>
      </c>
      <c r="J20" s="316">
        <f>$F20+SUM($G16:J16)</f>
        <v>-27818911.173433732</v>
      </c>
      <c r="K20" s="316">
        <f>$F20+SUM($G16:K16)</f>
        <v>-27831833.590033732</v>
      </c>
      <c r="L20" s="316">
        <f>$F20+SUM($G16:L16)</f>
        <v>-27844756.006633732</v>
      </c>
      <c r="M20" s="316">
        <f>$F20+SUM($G16:M16)</f>
        <v>-27857678.423233733</v>
      </c>
      <c r="N20" s="316">
        <f>$F20+SUM($G16:N16)</f>
        <v>-27870600.839833733</v>
      </c>
      <c r="O20" s="316">
        <f>$F20+SUM($G16:O16)</f>
        <v>-27883523.256433733</v>
      </c>
      <c r="P20" s="316">
        <f>$F20+SUM($G16:P16)</f>
        <v>-27896445.673033733</v>
      </c>
      <c r="Q20" s="316">
        <f>$F20+SUM($G16:Q16)</f>
        <v>-27909368.089633733</v>
      </c>
      <c r="R20" s="320">
        <f>$F20+SUM($G16:R16)</f>
        <v>-27922290.506233733</v>
      </c>
      <c r="S20" s="316">
        <f>$F20+SUM($G16:S16)</f>
        <v>-27935212.922833733</v>
      </c>
      <c r="T20" s="316">
        <f>$F20+SUM($G16:T16)</f>
        <v>-27948135.339433733</v>
      </c>
      <c r="U20" s="320">
        <f>$F20+SUM($G16:U16)</f>
        <v>-27961057.75603373</v>
      </c>
      <c r="V20" s="316">
        <f>$F20+SUM($G16:V16)</f>
        <v>-27973980.17263373</v>
      </c>
      <c r="W20" s="316">
        <f>$F20+SUM($G16:W16)</f>
        <v>-27986902.58923373</v>
      </c>
      <c r="X20" s="320">
        <f>$F20+SUM($G16:X16)</f>
        <v>-27999825.00583373</v>
      </c>
      <c r="Y20" s="316">
        <f>$F20+SUM($G16:Y16)</f>
        <v>-28012747.42243373</v>
      </c>
      <c r="Z20" s="316">
        <f>$F20+SUM($G16:Z16)</f>
        <v>-28025669.83903373</v>
      </c>
      <c r="AA20" s="320">
        <f>$F20+SUM($G16:AA16)</f>
        <v>-28038592.25563373</v>
      </c>
      <c r="AB20" s="316">
        <f>$F20+SUM($G16:AB16)</f>
        <v>-28051514.67223373</v>
      </c>
      <c r="AC20" s="316">
        <f>$F20+SUM($G16:AC16)</f>
        <v>-28064437.08883373</v>
      </c>
      <c r="AD20" s="320">
        <f>$F20+SUM($G16:AD16)</f>
        <v>-28077359.50543373</v>
      </c>
      <c r="AE20" s="316">
        <f>$F20+SUM($G16:AE16)</f>
        <v>-28090281.92203373</v>
      </c>
      <c r="AF20" s="316">
        <f>$F20+SUM($G16:AF16)</f>
        <v>-28103204.33863373</v>
      </c>
      <c r="AG20" s="316">
        <f>$F20+SUM($G16:AG16)</f>
        <v>-28116126.75523373</v>
      </c>
    </row>
    <row r="21" spans="1:3" ht="15">
      <c r="A21" s="342" t="s">
        <v>214</v>
      </c>
      <c r="B21" s="335">
        <f>SUM(B16:B20)</f>
        <v>-20459999</v>
      </c>
      <c r="C21" s="312">
        <f>SUM(C16:C20)</f>
        <v>0</v>
      </c>
    </row>
    <row r="22" spans="1:3" ht="12.75">
      <c r="A22" s="342" t="s">
        <v>0</v>
      </c>
      <c r="B22" s="300"/>
      <c r="C22" s="301"/>
    </row>
    <row r="23" spans="1:6" ht="15">
      <c r="A23" s="342" t="s">
        <v>215</v>
      </c>
      <c r="B23" s="343">
        <f>B10-B21</f>
        <v>2157573405</v>
      </c>
      <c r="C23" s="322">
        <f>C10-C21</f>
        <v>0</v>
      </c>
      <c r="E23" s="323"/>
      <c r="F23" s="323"/>
    </row>
    <row r="24" spans="1:3" ht="12.75">
      <c r="A24" s="342"/>
      <c r="B24" s="301"/>
      <c r="C24" s="301"/>
    </row>
    <row r="25" spans="1:3" ht="14.25">
      <c r="A25" s="342"/>
      <c r="B25" s="344"/>
      <c r="C25" s="324"/>
    </row>
    <row r="26" spans="1:3" ht="14.25">
      <c r="A26" s="342"/>
      <c r="B26" s="344"/>
      <c r="C26" s="324"/>
    </row>
    <row r="27" spans="1:8" ht="17.25">
      <c r="A27" s="342" t="s">
        <v>216</v>
      </c>
      <c r="B27" s="345">
        <f>B23</f>
        <v>2157573405</v>
      </c>
      <c r="C27" s="325"/>
      <c r="H27" s="323"/>
    </row>
    <row r="28" spans="1:2" ht="12.75">
      <c r="A28" s="342" t="s">
        <v>0</v>
      </c>
      <c r="B28" s="346"/>
    </row>
    <row r="29" spans="1:2" ht="12.75">
      <c r="A29" s="346"/>
      <c r="B29" s="346"/>
    </row>
    <row r="30" spans="1:2" ht="12.75">
      <c r="A30" s="346"/>
      <c r="B30" s="346"/>
    </row>
    <row r="31" spans="1:2" ht="12.75">
      <c r="A31" s="346"/>
      <c r="B31" s="346"/>
    </row>
    <row r="32" spans="1:2" ht="12.75">
      <c r="A32" s="346" t="s">
        <v>217</v>
      </c>
      <c r="B32" s="346"/>
    </row>
    <row r="33" spans="1:2" ht="12.75">
      <c r="A33" s="346" t="s">
        <v>218</v>
      </c>
      <c r="B33" s="346"/>
    </row>
    <row r="34" spans="1:2" ht="12.75">
      <c r="A34" s="346"/>
      <c r="B34" s="346"/>
    </row>
    <row r="35" spans="1:5" ht="14.25">
      <c r="A35" s="326"/>
      <c r="B35" s="326"/>
      <c r="E35" s="302" t="s">
        <v>221</v>
      </c>
    </row>
    <row r="36" spans="1:33" ht="14.25">
      <c r="A36" s="326"/>
      <c r="B36" s="326"/>
      <c r="F36" s="314" t="s">
        <v>192</v>
      </c>
      <c r="G36" s="314" t="s">
        <v>220</v>
      </c>
      <c r="H36" s="353" t="s">
        <v>194</v>
      </c>
      <c r="I36" s="353" t="s">
        <v>195</v>
      </c>
      <c r="J36" s="353" t="s">
        <v>196</v>
      </c>
      <c r="K36" s="353" t="s">
        <v>197</v>
      </c>
      <c r="L36" s="353" t="s">
        <v>198</v>
      </c>
      <c r="M36" s="353" t="s">
        <v>199</v>
      </c>
      <c r="N36" s="353" t="s">
        <v>200</v>
      </c>
      <c r="O36" s="353" t="s">
        <v>201</v>
      </c>
      <c r="P36" s="353" t="s">
        <v>202</v>
      </c>
      <c r="Q36" s="353" t="s">
        <v>203</v>
      </c>
      <c r="R36" s="353" t="s">
        <v>204</v>
      </c>
      <c r="S36" s="353" t="s">
        <v>193</v>
      </c>
      <c r="T36" s="353" t="s">
        <v>194</v>
      </c>
      <c r="U36" s="353" t="s">
        <v>195</v>
      </c>
      <c r="V36" s="353" t="s">
        <v>196</v>
      </c>
      <c r="W36" s="353" t="s">
        <v>197</v>
      </c>
      <c r="X36" s="353" t="s">
        <v>198</v>
      </c>
      <c r="Y36" s="353" t="s">
        <v>199</v>
      </c>
      <c r="Z36" s="353" t="s">
        <v>200</v>
      </c>
      <c r="AA36" s="353" t="s">
        <v>201</v>
      </c>
      <c r="AB36" s="353" t="s">
        <v>202</v>
      </c>
      <c r="AC36" s="353" t="s">
        <v>203</v>
      </c>
      <c r="AD36" s="353" t="s">
        <v>204</v>
      </c>
      <c r="AE36" s="353" t="s">
        <v>193</v>
      </c>
      <c r="AF36" s="353" t="s">
        <v>194</v>
      </c>
      <c r="AG36" s="353" t="s">
        <v>195</v>
      </c>
    </row>
    <row r="37" spans="1:33" ht="14.25">
      <c r="A37" s="326"/>
      <c r="B37" s="326"/>
      <c r="F37" s="314">
        <v>2007</v>
      </c>
      <c r="G37" s="314">
        <v>2007</v>
      </c>
      <c r="H37" s="353">
        <v>2007</v>
      </c>
      <c r="I37" s="353">
        <v>2007</v>
      </c>
      <c r="J37" s="353">
        <v>2008</v>
      </c>
      <c r="K37" s="353">
        <v>2008</v>
      </c>
      <c r="L37" s="353">
        <v>2008</v>
      </c>
      <c r="M37" s="353">
        <v>2008</v>
      </c>
      <c r="N37" s="353">
        <v>2008</v>
      </c>
      <c r="O37" s="353">
        <v>2008</v>
      </c>
      <c r="P37" s="353">
        <v>2008</v>
      </c>
      <c r="Q37" s="353">
        <v>2008</v>
      </c>
      <c r="R37" s="353">
        <v>2008</v>
      </c>
      <c r="S37" s="353">
        <v>2008</v>
      </c>
      <c r="T37" s="353">
        <v>2008</v>
      </c>
      <c r="U37" s="353">
        <v>2008</v>
      </c>
      <c r="V37" s="353">
        <v>2009</v>
      </c>
      <c r="W37" s="353">
        <v>2009</v>
      </c>
      <c r="X37" s="353">
        <v>2009</v>
      </c>
      <c r="Y37" s="353">
        <v>2009</v>
      </c>
      <c r="Z37" s="353">
        <v>2009</v>
      </c>
      <c r="AA37" s="353">
        <v>2009</v>
      </c>
      <c r="AB37" s="353">
        <v>2009</v>
      </c>
      <c r="AC37" s="353">
        <v>2009</v>
      </c>
      <c r="AD37" s="353">
        <v>2009</v>
      </c>
      <c r="AE37" s="353">
        <v>2009</v>
      </c>
      <c r="AF37" s="353">
        <v>2009</v>
      </c>
      <c r="AG37" s="353">
        <v>2009</v>
      </c>
    </row>
    <row r="38" spans="1:5" ht="14.25">
      <c r="A38" s="326"/>
      <c r="B38" s="326"/>
      <c r="E38" s="348" t="s">
        <v>223</v>
      </c>
    </row>
    <row r="39" spans="1:19" ht="14.25">
      <c r="A39" s="326"/>
      <c r="B39" s="326"/>
      <c r="E39" s="352" t="s">
        <v>227</v>
      </c>
      <c r="S39" s="316"/>
    </row>
    <row r="40" spans="1:33" ht="14.25">
      <c r="A40" s="326"/>
      <c r="B40" s="326"/>
      <c r="E40" s="347" t="s">
        <v>224</v>
      </c>
      <c r="F40" s="357">
        <f>-32190.897+22695.337</f>
        <v>-9495.560000000001</v>
      </c>
      <c r="G40" s="316">
        <f>F40</f>
        <v>-9495.560000000001</v>
      </c>
      <c r="H40" s="316">
        <f>G40</f>
        <v>-9495.560000000001</v>
      </c>
      <c r="I40" s="316">
        <f aca="true" t="shared" si="0" ref="I40:AG40">H40</f>
        <v>-9495.560000000001</v>
      </c>
      <c r="J40" s="316">
        <f t="shared" si="0"/>
        <v>-9495.560000000001</v>
      </c>
      <c r="K40" s="316">
        <f t="shared" si="0"/>
        <v>-9495.560000000001</v>
      </c>
      <c r="L40" s="316">
        <f t="shared" si="0"/>
        <v>-9495.560000000001</v>
      </c>
      <c r="M40" s="316">
        <f t="shared" si="0"/>
        <v>-9495.560000000001</v>
      </c>
      <c r="N40" s="316">
        <f t="shared" si="0"/>
        <v>-9495.560000000001</v>
      </c>
      <c r="O40" s="316">
        <f t="shared" si="0"/>
        <v>-9495.560000000001</v>
      </c>
      <c r="P40" s="316">
        <f t="shared" si="0"/>
        <v>-9495.560000000001</v>
      </c>
      <c r="Q40" s="316">
        <f t="shared" si="0"/>
        <v>-9495.560000000001</v>
      </c>
      <c r="R40" s="316">
        <f t="shared" si="0"/>
        <v>-9495.560000000001</v>
      </c>
      <c r="S40" s="316">
        <f t="shared" si="0"/>
        <v>-9495.560000000001</v>
      </c>
      <c r="T40" s="316">
        <f t="shared" si="0"/>
        <v>-9495.560000000001</v>
      </c>
      <c r="U40" s="316">
        <f t="shared" si="0"/>
        <v>-9495.560000000001</v>
      </c>
      <c r="V40" s="316">
        <f t="shared" si="0"/>
        <v>-9495.560000000001</v>
      </c>
      <c r="W40" s="316">
        <f t="shared" si="0"/>
        <v>-9495.560000000001</v>
      </c>
      <c r="X40" s="316">
        <f t="shared" si="0"/>
        <v>-9495.560000000001</v>
      </c>
      <c r="Y40" s="316">
        <f t="shared" si="0"/>
        <v>-9495.560000000001</v>
      </c>
      <c r="Z40" s="316">
        <f t="shared" si="0"/>
        <v>-9495.560000000001</v>
      </c>
      <c r="AA40" s="316">
        <f t="shared" si="0"/>
        <v>-9495.560000000001</v>
      </c>
      <c r="AB40" s="316">
        <f t="shared" si="0"/>
        <v>-9495.560000000001</v>
      </c>
      <c r="AC40" s="316">
        <f t="shared" si="0"/>
        <v>-9495.560000000001</v>
      </c>
      <c r="AD40" s="316">
        <f t="shared" si="0"/>
        <v>-9495.560000000001</v>
      </c>
      <c r="AE40" s="316">
        <f t="shared" si="0"/>
        <v>-9495.560000000001</v>
      </c>
      <c r="AF40" s="316">
        <f t="shared" si="0"/>
        <v>-9495.560000000001</v>
      </c>
      <c r="AG40" s="316">
        <f t="shared" si="0"/>
        <v>-9495.560000000001</v>
      </c>
    </row>
    <row r="41" spans="1:33" ht="14.25">
      <c r="A41" s="326"/>
      <c r="B41" s="326"/>
      <c r="E41" s="347" t="s">
        <v>225</v>
      </c>
      <c r="F41" s="357">
        <f>13859.69-578.723-21166.539-416.406+14.361</f>
        <v>-8287.617</v>
      </c>
      <c r="G41" s="316">
        <f>F41</f>
        <v>-8287.617</v>
      </c>
      <c r="H41" s="316">
        <f>G41</f>
        <v>-8287.617</v>
      </c>
      <c r="I41" s="316">
        <f aca="true" t="shared" si="1" ref="I41:AG41">H41</f>
        <v>-8287.617</v>
      </c>
      <c r="J41" s="316">
        <f t="shared" si="1"/>
        <v>-8287.617</v>
      </c>
      <c r="K41" s="316">
        <f t="shared" si="1"/>
        <v>-8287.617</v>
      </c>
      <c r="L41" s="316">
        <f t="shared" si="1"/>
        <v>-8287.617</v>
      </c>
      <c r="M41" s="316">
        <f t="shared" si="1"/>
        <v>-8287.617</v>
      </c>
      <c r="N41" s="316">
        <f t="shared" si="1"/>
        <v>-8287.617</v>
      </c>
      <c r="O41" s="316">
        <f t="shared" si="1"/>
        <v>-8287.617</v>
      </c>
      <c r="P41" s="316">
        <f t="shared" si="1"/>
        <v>-8287.617</v>
      </c>
      <c r="Q41" s="316">
        <f t="shared" si="1"/>
        <v>-8287.617</v>
      </c>
      <c r="R41" s="316">
        <f t="shared" si="1"/>
        <v>-8287.617</v>
      </c>
      <c r="S41" s="316">
        <f t="shared" si="1"/>
        <v>-8287.617</v>
      </c>
      <c r="T41" s="316">
        <f t="shared" si="1"/>
        <v>-8287.617</v>
      </c>
      <c r="U41" s="316">
        <f t="shared" si="1"/>
        <v>-8287.617</v>
      </c>
      <c r="V41" s="316">
        <f t="shared" si="1"/>
        <v>-8287.617</v>
      </c>
      <c r="W41" s="316">
        <f t="shared" si="1"/>
        <v>-8287.617</v>
      </c>
      <c r="X41" s="316">
        <f t="shared" si="1"/>
        <v>-8287.617</v>
      </c>
      <c r="Y41" s="316">
        <f t="shared" si="1"/>
        <v>-8287.617</v>
      </c>
      <c r="Z41" s="316">
        <f t="shared" si="1"/>
        <v>-8287.617</v>
      </c>
      <c r="AA41" s="316">
        <f t="shared" si="1"/>
        <v>-8287.617</v>
      </c>
      <c r="AB41" s="316">
        <f t="shared" si="1"/>
        <v>-8287.617</v>
      </c>
      <c r="AC41" s="316">
        <f t="shared" si="1"/>
        <v>-8287.617</v>
      </c>
      <c r="AD41" s="316">
        <f t="shared" si="1"/>
        <v>-8287.617</v>
      </c>
      <c r="AE41" s="316">
        <f t="shared" si="1"/>
        <v>-8287.617</v>
      </c>
      <c r="AF41" s="316">
        <f t="shared" si="1"/>
        <v>-8287.617</v>
      </c>
      <c r="AG41" s="316">
        <f t="shared" si="1"/>
        <v>-8287.617</v>
      </c>
    </row>
    <row r="42" spans="1:33" ht="14.25">
      <c r="A42" s="354">
        <v>26.414</v>
      </c>
      <c r="B42" s="326"/>
      <c r="E42" s="347" t="s">
        <v>228</v>
      </c>
      <c r="F42" s="316"/>
      <c r="G42" s="316">
        <f>$A$42</f>
        <v>26.414</v>
      </c>
      <c r="H42" s="316">
        <f>$A$42+G42</f>
        <v>52.828</v>
      </c>
      <c r="I42" s="316">
        <f aca="true" t="shared" si="2" ref="I42:AG42">$A$42+H42</f>
        <v>79.242</v>
      </c>
      <c r="J42" s="316">
        <f t="shared" si="2"/>
        <v>105.656</v>
      </c>
      <c r="K42" s="316">
        <f t="shared" si="2"/>
        <v>132.07</v>
      </c>
      <c r="L42" s="316">
        <f t="shared" si="2"/>
        <v>158.48399999999998</v>
      </c>
      <c r="M42" s="316">
        <f t="shared" si="2"/>
        <v>184.89799999999997</v>
      </c>
      <c r="N42" s="316">
        <f t="shared" si="2"/>
        <v>211.31199999999995</v>
      </c>
      <c r="O42" s="316">
        <f t="shared" si="2"/>
        <v>237.72599999999994</v>
      </c>
      <c r="P42" s="316">
        <f t="shared" si="2"/>
        <v>264.13999999999993</v>
      </c>
      <c r="Q42" s="316">
        <f t="shared" si="2"/>
        <v>290.5539999999999</v>
      </c>
      <c r="R42" s="316">
        <f t="shared" si="2"/>
        <v>316.9679999999999</v>
      </c>
      <c r="S42" s="316">
        <f t="shared" si="2"/>
        <v>343.3819999999999</v>
      </c>
      <c r="T42" s="316">
        <f t="shared" si="2"/>
        <v>369.7959999999999</v>
      </c>
      <c r="U42" s="316">
        <f t="shared" si="2"/>
        <v>396.20999999999987</v>
      </c>
      <c r="V42" s="316">
        <f t="shared" si="2"/>
        <v>422.62399999999985</v>
      </c>
      <c r="W42" s="316">
        <f t="shared" si="2"/>
        <v>449.03799999999984</v>
      </c>
      <c r="X42" s="316">
        <f t="shared" si="2"/>
        <v>475.4519999999998</v>
      </c>
      <c r="Y42" s="316">
        <f t="shared" si="2"/>
        <v>501.8659999999998</v>
      </c>
      <c r="Z42" s="316">
        <f t="shared" si="2"/>
        <v>528.2799999999999</v>
      </c>
      <c r="AA42" s="316">
        <f t="shared" si="2"/>
        <v>554.6939999999998</v>
      </c>
      <c r="AB42" s="316">
        <f t="shared" si="2"/>
        <v>581.1079999999998</v>
      </c>
      <c r="AC42" s="316">
        <f t="shared" si="2"/>
        <v>607.5219999999998</v>
      </c>
      <c r="AD42" s="316">
        <f t="shared" si="2"/>
        <v>633.9359999999998</v>
      </c>
      <c r="AE42" s="316">
        <f t="shared" si="2"/>
        <v>660.3499999999998</v>
      </c>
      <c r="AF42" s="316">
        <f t="shared" si="2"/>
        <v>686.7639999999998</v>
      </c>
      <c r="AG42" s="316">
        <f t="shared" si="2"/>
        <v>713.1779999999998</v>
      </c>
    </row>
    <row r="43" spans="1:33" ht="14.25">
      <c r="A43" s="326"/>
      <c r="B43" s="326"/>
      <c r="E43" s="347" t="s">
        <v>226</v>
      </c>
      <c r="F43" s="355">
        <f aca="true" t="shared" si="3" ref="F43:AG43">SUM(F40:F42)</f>
        <v>-17783.177000000003</v>
      </c>
      <c r="G43" s="350">
        <f t="shared" si="3"/>
        <v>-17756.763000000003</v>
      </c>
      <c r="H43" s="350">
        <f t="shared" si="3"/>
        <v>-17730.349000000002</v>
      </c>
      <c r="I43" s="350">
        <f t="shared" si="3"/>
        <v>-17703.935000000005</v>
      </c>
      <c r="J43" s="350">
        <f t="shared" si="3"/>
        <v>-17677.521000000004</v>
      </c>
      <c r="K43" s="350">
        <f t="shared" si="3"/>
        <v>-17651.107000000004</v>
      </c>
      <c r="L43" s="350">
        <f t="shared" si="3"/>
        <v>-17624.693000000003</v>
      </c>
      <c r="M43" s="350">
        <f t="shared" si="3"/>
        <v>-17598.279000000002</v>
      </c>
      <c r="N43" s="350">
        <f t="shared" si="3"/>
        <v>-17571.865</v>
      </c>
      <c r="O43" s="350">
        <f t="shared" si="3"/>
        <v>-17545.451000000005</v>
      </c>
      <c r="P43" s="350">
        <f t="shared" si="3"/>
        <v>-17519.037000000004</v>
      </c>
      <c r="Q43" s="350">
        <f t="shared" si="3"/>
        <v>-17492.623000000003</v>
      </c>
      <c r="R43" s="350">
        <f t="shared" si="3"/>
        <v>-17466.209000000003</v>
      </c>
      <c r="S43" s="355">
        <f t="shared" si="3"/>
        <v>-17439.795000000002</v>
      </c>
      <c r="T43" s="355">
        <f t="shared" si="3"/>
        <v>-17413.381000000005</v>
      </c>
      <c r="U43" s="355">
        <f t="shared" si="3"/>
        <v>-17386.967000000004</v>
      </c>
      <c r="V43" s="355">
        <f t="shared" si="3"/>
        <v>-17360.553000000004</v>
      </c>
      <c r="W43" s="355">
        <f t="shared" si="3"/>
        <v>-17334.139000000003</v>
      </c>
      <c r="X43" s="355">
        <f t="shared" si="3"/>
        <v>-17307.725000000002</v>
      </c>
      <c r="Y43" s="355">
        <f t="shared" si="3"/>
        <v>-17281.311000000005</v>
      </c>
      <c r="Z43" s="355">
        <f t="shared" si="3"/>
        <v>-17254.897000000004</v>
      </c>
      <c r="AA43" s="355">
        <f t="shared" si="3"/>
        <v>-17228.483000000004</v>
      </c>
      <c r="AB43" s="355">
        <f t="shared" si="3"/>
        <v>-17202.069000000003</v>
      </c>
      <c r="AC43" s="355">
        <f t="shared" si="3"/>
        <v>-17175.655000000002</v>
      </c>
      <c r="AD43" s="355">
        <f t="shared" si="3"/>
        <v>-17149.241</v>
      </c>
      <c r="AE43" s="355">
        <f t="shared" si="3"/>
        <v>-17122.827000000005</v>
      </c>
      <c r="AF43" s="350">
        <f t="shared" si="3"/>
        <v>-17096.413000000004</v>
      </c>
      <c r="AG43" s="350">
        <f t="shared" si="3"/>
        <v>-17069.999000000003</v>
      </c>
    </row>
    <row r="44" spans="1:6" ht="14.25">
      <c r="A44" s="326"/>
      <c r="B44" s="326"/>
      <c r="E44" s="330"/>
      <c r="F44" s="316"/>
    </row>
    <row r="45" spans="1:33" ht="14.25">
      <c r="A45" s="326"/>
      <c r="B45" s="326"/>
      <c r="E45" s="351" t="s">
        <v>222</v>
      </c>
      <c r="F45" s="358">
        <v>-18928.099</v>
      </c>
      <c r="G45" s="356">
        <f>F45</f>
        <v>-18928.099</v>
      </c>
      <c r="H45" s="356">
        <f aca="true" t="shared" si="4" ref="H45:AG45">G45</f>
        <v>-18928.099</v>
      </c>
      <c r="I45" s="356">
        <f t="shared" si="4"/>
        <v>-18928.099</v>
      </c>
      <c r="J45" s="356">
        <f t="shared" si="4"/>
        <v>-18928.099</v>
      </c>
      <c r="K45" s="356">
        <f t="shared" si="4"/>
        <v>-18928.099</v>
      </c>
      <c r="L45" s="356">
        <f t="shared" si="4"/>
        <v>-18928.099</v>
      </c>
      <c r="M45" s="356">
        <f t="shared" si="4"/>
        <v>-18928.099</v>
      </c>
      <c r="N45" s="356">
        <f t="shared" si="4"/>
        <v>-18928.099</v>
      </c>
      <c r="O45" s="356">
        <f t="shared" si="4"/>
        <v>-18928.099</v>
      </c>
      <c r="P45" s="356">
        <f t="shared" si="4"/>
        <v>-18928.099</v>
      </c>
      <c r="Q45" s="356">
        <f t="shared" si="4"/>
        <v>-18928.099</v>
      </c>
      <c r="R45" s="356">
        <f t="shared" si="4"/>
        <v>-18928.099</v>
      </c>
      <c r="S45" s="320">
        <f t="shared" si="4"/>
        <v>-18928.099</v>
      </c>
      <c r="T45" s="320">
        <f t="shared" si="4"/>
        <v>-18928.099</v>
      </c>
      <c r="U45" s="320">
        <f t="shared" si="4"/>
        <v>-18928.099</v>
      </c>
      <c r="V45" s="320">
        <f t="shared" si="4"/>
        <v>-18928.099</v>
      </c>
      <c r="W45" s="320">
        <f t="shared" si="4"/>
        <v>-18928.099</v>
      </c>
      <c r="X45" s="320">
        <f t="shared" si="4"/>
        <v>-18928.099</v>
      </c>
      <c r="Y45" s="320">
        <f t="shared" si="4"/>
        <v>-18928.099</v>
      </c>
      <c r="Z45" s="320">
        <f t="shared" si="4"/>
        <v>-18928.099</v>
      </c>
      <c r="AA45" s="320">
        <f t="shared" si="4"/>
        <v>-18928.099</v>
      </c>
      <c r="AB45" s="320">
        <f t="shared" si="4"/>
        <v>-18928.099</v>
      </c>
      <c r="AC45" s="320">
        <f t="shared" si="4"/>
        <v>-18928.099</v>
      </c>
      <c r="AD45" s="320">
        <f t="shared" si="4"/>
        <v>-18928.099</v>
      </c>
      <c r="AE45" s="320">
        <f t="shared" si="4"/>
        <v>-18928.099</v>
      </c>
      <c r="AF45" s="356">
        <f t="shared" si="4"/>
        <v>-18928.099</v>
      </c>
      <c r="AG45" s="356">
        <f t="shared" si="4"/>
        <v>-18928.099</v>
      </c>
    </row>
    <row r="46" spans="1:2" ht="13.5" customHeight="1">
      <c r="A46" s="326"/>
      <c r="B46" s="326"/>
    </row>
    <row r="47" spans="1:32" ht="14.25">
      <c r="A47" s="326"/>
      <c r="B47" s="326"/>
      <c r="S47" s="349"/>
      <c r="T47" s="349"/>
      <c r="U47" s="349"/>
      <c r="V47" s="349"/>
      <c r="W47" s="349"/>
      <c r="X47" s="349"/>
      <c r="Y47" s="349"/>
      <c r="Z47" s="349"/>
      <c r="AA47" s="349"/>
      <c r="AB47" s="349"/>
      <c r="AC47" s="349"/>
      <c r="AD47" s="349"/>
      <c r="AE47" s="349"/>
      <c r="AF47" s="349"/>
    </row>
    <row r="48" spans="1:2" ht="12.75">
      <c r="A48" s="327"/>
      <c r="B48" s="327"/>
    </row>
    <row r="49" spans="1:2" ht="12.75">
      <c r="A49" s="327"/>
      <c r="B49" s="327"/>
    </row>
    <row r="50" spans="1:2" ht="12.75">
      <c r="A50" s="327"/>
      <c r="B50" s="327"/>
    </row>
  </sheetData>
  <sheetProtection/>
  <mergeCells count="4">
    <mergeCell ref="A2:B2"/>
    <mergeCell ref="A3:B3"/>
    <mergeCell ref="A4:B4"/>
    <mergeCell ref="A5:B5"/>
  </mergeCells>
  <printOptions horizontalCentered="1"/>
  <pageMargins left="0.25" right="0.25" top="0.7" bottom="1" header="0.5" footer="0.5"/>
  <pageSetup fitToHeight="1" fitToWidth="1" horizontalDpi="600" verticalDpi="600" orientation="portrait" r:id="rId3"/>
  <headerFooter alignWithMargins="0">
    <oddFooter>&amp;R&amp;8H:\PUGET SOUND ENERGY\Common Equity for Treasury\2006 Common Equity for Treasury.xls
</oddFooter>
  </headerFooter>
  <legacyDrawing r:id="rId2"/>
</worksheet>
</file>

<file path=xl/worksheets/sheet3.xml><?xml version="1.0" encoding="utf-8"?>
<worksheet xmlns="http://schemas.openxmlformats.org/spreadsheetml/2006/main" xmlns:r="http://schemas.openxmlformats.org/officeDocument/2006/relationships">
  <dimension ref="A1:G95"/>
  <sheetViews>
    <sheetView zoomScaleSheetLayoutView="75" zoomScalePageLayoutView="0" workbookViewId="0" topLeftCell="A1">
      <selection activeCell="C14" sqref="C13:C14"/>
    </sheetView>
  </sheetViews>
  <sheetFormatPr defaultColWidth="11.421875" defaultRowHeight="12"/>
  <cols>
    <col min="1" max="1" width="5.140625" style="1" customWidth="1"/>
    <col min="2" max="2" width="15.421875" style="1" customWidth="1"/>
    <col min="3" max="3" width="18.57421875" style="1" customWidth="1"/>
    <col min="4" max="4" width="15.8515625" style="1" customWidth="1"/>
    <col min="5" max="5" width="13.00390625" style="1" customWidth="1"/>
    <col min="6" max="6" width="13.8515625" style="1" customWidth="1"/>
    <col min="7" max="7" width="12.00390625" style="1" customWidth="1"/>
    <col min="8" max="8" width="6.421875" style="1" customWidth="1"/>
    <col min="9" max="247" width="8.7109375" style="1" customWidth="1"/>
    <col min="248" max="16384" width="11.421875" style="1" customWidth="1"/>
  </cols>
  <sheetData>
    <row r="1" spans="1:7" ht="12.75">
      <c r="A1" s="571" t="s">
        <v>20</v>
      </c>
      <c r="B1" s="571"/>
      <c r="C1" s="571"/>
      <c r="D1" s="571"/>
      <c r="E1" s="571"/>
      <c r="F1" s="571"/>
      <c r="G1" s="571"/>
    </row>
    <row r="2" spans="1:7" ht="12.75">
      <c r="A2" s="571" t="s">
        <v>32</v>
      </c>
      <c r="B2" s="571"/>
      <c r="C2" s="571"/>
      <c r="D2" s="571"/>
      <c r="E2" s="571"/>
      <c r="F2" s="571"/>
      <c r="G2" s="571"/>
    </row>
    <row r="3" spans="1:7" ht="15.75" customHeight="1">
      <c r="A3" s="564" t="s">
        <v>297</v>
      </c>
      <c r="B3" s="564"/>
      <c r="C3" s="564"/>
      <c r="D3" s="564"/>
      <c r="E3" s="564"/>
      <c r="F3" s="564"/>
      <c r="G3" s="564"/>
    </row>
    <row r="4" spans="1:7" ht="12.75">
      <c r="A4" s="40"/>
      <c r="C4" s="186"/>
      <c r="D4" s="186"/>
      <c r="E4" s="186"/>
      <c r="F4" s="186"/>
      <c r="G4" s="2"/>
    </row>
    <row r="5" ht="12.75">
      <c r="A5" s="444" t="s">
        <v>0</v>
      </c>
    </row>
    <row r="6" spans="1:4" ht="12.75">
      <c r="A6" s="444" t="s">
        <v>0</v>
      </c>
      <c r="D6" s="1" t="s">
        <v>0</v>
      </c>
    </row>
    <row r="7" spans="1:7" ht="12.75">
      <c r="A7" s="444">
        <v>1</v>
      </c>
      <c r="B7" s="42" t="s">
        <v>1</v>
      </c>
      <c r="C7" s="42" t="s">
        <v>22</v>
      </c>
      <c r="D7" s="42" t="s">
        <v>38</v>
      </c>
      <c r="E7" s="42" t="s">
        <v>50</v>
      </c>
      <c r="F7" s="42" t="s">
        <v>51</v>
      </c>
      <c r="G7" s="42" t="s">
        <v>52</v>
      </c>
    </row>
    <row r="8" spans="1:7" ht="12.75">
      <c r="A8" s="444">
        <f aca="true" t="shared" si="0" ref="A8:A25">A7+1</f>
        <v>2</v>
      </c>
      <c r="B8" s="41"/>
      <c r="C8" s="41"/>
      <c r="D8" s="42"/>
      <c r="E8" s="41"/>
      <c r="F8" s="41"/>
      <c r="G8" s="41"/>
    </row>
    <row r="9" spans="1:7" ht="12.75">
      <c r="A9" s="444">
        <f t="shared" si="0"/>
        <v>3</v>
      </c>
      <c r="B9" s="448"/>
      <c r="C9" s="41"/>
      <c r="D9" s="42" t="s">
        <v>172</v>
      </c>
      <c r="E9" s="42" t="s">
        <v>33</v>
      </c>
      <c r="F9" s="42" t="s">
        <v>13</v>
      </c>
      <c r="G9" s="42" t="s">
        <v>107</v>
      </c>
    </row>
    <row r="10" spans="1:7" ht="12.75">
      <c r="A10" s="444">
        <f t="shared" si="0"/>
        <v>4</v>
      </c>
      <c r="B10" s="524" t="s">
        <v>4</v>
      </c>
      <c r="C10" s="43"/>
      <c r="D10" s="43" t="s">
        <v>70</v>
      </c>
      <c r="E10" s="43" t="s">
        <v>14</v>
      </c>
      <c r="F10" s="43" t="s">
        <v>15</v>
      </c>
      <c r="G10" s="43" t="s">
        <v>106</v>
      </c>
    </row>
    <row r="11" spans="1:7" ht="12.75">
      <c r="A11" s="444">
        <f t="shared" si="0"/>
        <v>5</v>
      </c>
      <c r="B11" s="40"/>
      <c r="C11" s="40"/>
      <c r="D11" s="40"/>
      <c r="E11" s="40"/>
      <c r="F11" s="40"/>
      <c r="G11" s="40"/>
    </row>
    <row r="12" spans="1:7" ht="12.75">
      <c r="A12" s="444">
        <f t="shared" si="0"/>
        <v>6</v>
      </c>
      <c r="B12" s="442" t="s">
        <v>31</v>
      </c>
      <c r="C12" s="442"/>
      <c r="D12" s="375">
        <v>125000000</v>
      </c>
      <c r="E12" s="371">
        <f>IF(D12=0,"",(+F12/D12))</f>
        <v>0.003885096</v>
      </c>
      <c r="F12" s="375">
        <v>485637</v>
      </c>
      <c r="G12" s="45"/>
    </row>
    <row r="13" spans="1:7" ht="12.75">
      <c r="A13" s="444">
        <f t="shared" si="0"/>
        <v>7</v>
      </c>
      <c r="B13" s="443"/>
      <c r="C13" s="443"/>
      <c r="D13" s="376"/>
      <c r="E13" s="370"/>
      <c r="F13" s="375"/>
      <c r="G13" s="45"/>
    </row>
    <row r="14" spans="1:7" ht="12.75">
      <c r="A14" s="444">
        <f t="shared" si="0"/>
        <v>8</v>
      </c>
      <c r="B14" s="442" t="s">
        <v>269</v>
      </c>
      <c r="C14" s="442"/>
      <c r="D14" s="375">
        <v>142878280</v>
      </c>
      <c r="E14" s="371">
        <f>IF(D14=0,"",(+F14/D14))</f>
        <v>0.010475370332508144</v>
      </c>
      <c r="F14" s="375">
        <v>1496702.8954717917</v>
      </c>
      <c r="G14" s="45"/>
    </row>
    <row r="15" spans="1:7" ht="12.75">
      <c r="A15" s="444">
        <f t="shared" si="0"/>
        <v>9</v>
      </c>
      <c r="B15" s="40"/>
      <c r="C15" s="40"/>
      <c r="D15" s="377"/>
      <c r="E15" s="372"/>
      <c r="F15" s="375"/>
      <c r="G15" s="40"/>
    </row>
    <row r="16" spans="1:7" ht="12.75">
      <c r="A16" s="444">
        <f t="shared" si="0"/>
        <v>10</v>
      </c>
      <c r="B16" s="44" t="s">
        <v>272</v>
      </c>
      <c r="C16" s="44"/>
      <c r="D16" s="378"/>
      <c r="E16" s="363"/>
      <c r="F16" s="375">
        <v>1874673.556125</v>
      </c>
      <c r="G16" s="45"/>
    </row>
    <row r="17" spans="1:7" ht="12.75">
      <c r="A17" s="444">
        <f t="shared" si="0"/>
        <v>11</v>
      </c>
      <c r="B17" s="44"/>
      <c r="C17" s="44"/>
      <c r="D17" s="379"/>
      <c r="E17" s="373"/>
      <c r="F17" s="375"/>
      <c r="G17" s="45"/>
    </row>
    <row r="18" spans="1:7" ht="12.75">
      <c r="A18" s="444">
        <f t="shared" si="0"/>
        <v>12</v>
      </c>
      <c r="B18" s="44" t="s">
        <v>164</v>
      </c>
      <c r="C18" s="44"/>
      <c r="D18" s="379"/>
      <c r="E18" s="373"/>
      <c r="F18" s="375">
        <v>3332664</v>
      </c>
      <c r="G18" s="45"/>
    </row>
    <row r="19" spans="1:6" ht="12.75">
      <c r="A19" s="444">
        <f t="shared" si="0"/>
        <v>13</v>
      </c>
      <c r="B19" s="40"/>
      <c r="C19" s="40"/>
      <c r="D19" s="380"/>
      <c r="E19" s="374"/>
      <c r="F19" s="375"/>
    </row>
    <row r="20" spans="1:7" ht="13.5" thickBot="1">
      <c r="A20" s="444">
        <f t="shared" si="0"/>
        <v>14</v>
      </c>
      <c r="B20" s="204" t="s">
        <v>34</v>
      </c>
      <c r="C20" s="205"/>
      <c r="D20" s="445">
        <f>SUM(D12:D19)</f>
        <v>267878280</v>
      </c>
      <c r="E20" s="381"/>
      <c r="F20" s="445">
        <f>SUM(F12:F19)</f>
        <v>7189677.451596792</v>
      </c>
      <c r="G20" s="446">
        <f>F20/D20</f>
        <v>0.026839344539605046</v>
      </c>
    </row>
    <row r="21" spans="1:7" ht="13.5" thickTop="1">
      <c r="A21" s="444">
        <f t="shared" si="0"/>
        <v>15</v>
      </c>
      <c r="B21" s="40"/>
      <c r="C21" s="40"/>
      <c r="D21" s="40"/>
      <c r="E21" s="40"/>
      <c r="F21" s="40"/>
      <c r="G21" s="40"/>
    </row>
    <row r="22" ht="12.75">
      <c r="A22" s="444">
        <f t="shared" si="0"/>
        <v>16</v>
      </c>
    </row>
    <row r="23" spans="1:7" ht="12.75">
      <c r="A23" s="444">
        <f t="shared" si="0"/>
        <v>17</v>
      </c>
      <c r="D23" s="4"/>
      <c r="F23" s="7"/>
      <c r="G23" s="140"/>
    </row>
    <row r="24" spans="1:7" ht="12.75">
      <c r="A24" s="444">
        <f t="shared" si="0"/>
        <v>18</v>
      </c>
      <c r="B24" s="84" t="s">
        <v>138</v>
      </c>
      <c r="F24" s="6"/>
      <c r="G24" s="5"/>
    </row>
    <row r="25" spans="1:7" ht="12.75">
      <c r="A25" s="444">
        <f t="shared" si="0"/>
        <v>19</v>
      </c>
      <c r="B25" s="84" t="s">
        <v>136</v>
      </c>
      <c r="F25" s="6"/>
      <c r="G25" s="5"/>
    </row>
    <row r="26" ht="12.75" customHeight="1">
      <c r="A26" s="203"/>
    </row>
    <row r="27" ht="12.75">
      <c r="A27" s="40"/>
    </row>
    <row r="28" ht="12.75">
      <c r="A28" s="40"/>
    </row>
    <row r="29" spans="1:7" ht="12.75">
      <c r="A29" s="40"/>
      <c r="E29" s="8"/>
      <c r="F29" s="6"/>
      <c r="G29" s="5"/>
    </row>
    <row r="30" spans="1:7" ht="12.75">
      <c r="A30" s="40"/>
      <c r="E30" s="8"/>
      <c r="F30" s="6"/>
      <c r="G30" s="5"/>
    </row>
    <row r="31" spans="1:7" ht="12.75">
      <c r="A31" s="40"/>
      <c r="E31" s="8"/>
      <c r="F31" s="6"/>
      <c r="G31" s="5"/>
    </row>
    <row r="32" spans="1:7" ht="12.75">
      <c r="A32" s="40"/>
      <c r="E32" s="8"/>
      <c r="F32" s="6"/>
      <c r="G32" s="5"/>
    </row>
    <row r="33" spans="1:6" ht="12.75">
      <c r="A33" s="40"/>
      <c r="B33" s="40"/>
      <c r="F33" s="6"/>
    </row>
    <row r="34" ht="12.75">
      <c r="F34" s="6"/>
    </row>
    <row r="43" spans="2:3" ht="12.75">
      <c r="B43" s="8"/>
      <c r="C43" s="8"/>
    </row>
    <row r="44" spans="2:3" ht="12.75">
      <c r="B44" s="3"/>
      <c r="C44" s="3"/>
    </row>
    <row r="61" ht="12.75">
      <c r="G61" s="5"/>
    </row>
    <row r="72" ht="12.75">
      <c r="E72" s="8"/>
    </row>
    <row r="74" ht="12.75">
      <c r="E74" s="8"/>
    </row>
    <row r="77" ht="12.75">
      <c r="E77" s="8"/>
    </row>
    <row r="78" ht="12.75">
      <c r="E78" s="8"/>
    </row>
    <row r="83" ht="12.75">
      <c r="E83" s="8"/>
    </row>
    <row r="84" ht="12.75">
      <c r="E84" s="8"/>
    </row>
    <row r="91" ht="12.75">
      <c r="D91" s="9"/>
    </row>
    <row r="92" ht="12.75">
      <c r="D92" s="10"/>
    </row>
    <row r="94" ht="12.75">
      <c r="D94" s="9"/>
    </row>
    <row r="95" ht="12.75">
      <c r="D95" s="5"/>
    </row>
  </sheetData>
  <sheetProtection/>
  <mergeCells count="3">
    <mergeCell ref="A1:G1"/>
    <mergeCell ref="A2:G2"/>
    <mergeCell ref="A3:G3"/>
  </mergeCells>
  <printOptions horizontalCentered="1" verticalCentered="1"/>
  <pageMargins left="0.5" right="0.53" top="0.61" bottom="0.77" header="0.27" footer="0.27"/>
  <pageSetup horizontalDpi="600" verticalDpi="600" orientation="landscape" scale="95" r:id="rId1"/>
</worksheet>
</file>

<file path=xl/worksheets/sheet4.xml><?xml version="1.0" encoding="utf-8"?>
<worksheet xmlns="http://schemas.openxmlformats.org/spreadsheetml/2006/main" xmlns:r="http://schemas.openxmlformats.org/officeDocument/2006/relationships">
  <dimension ref="A1:AE52"/>
  <sheetViews>
    <sheetView zoomScale="85" zoomScaleNormal="85" zoomScalePageLayoutView="0" workbookViewId="0" topLeftCell="A1">
      <pane ySplit="6" topLeftCell="A7" activePane="bottomLeft" state="frozen"/>
      <selection pane="topLeft" activeCell="E18" sqref="E18"/>
      <selection pane="bottomLeft" activeCell="F7" sqref="F7"/>
    </sheetView>
  </sheetViews>
  <sheetFormatPr defaultColWidth="9.140625" defaultRowHeight="12"/>
  <cols>
    <col min="1" max="1" width="3.140625" style="209" customWidth="1"/>
    <col min="2" max="2" width="28.28125" style="209" customWidth="1"/>
    <col min="3" max="3" width="8.00390625" style="209" customWidth="1"/>
    <col min="4" max="5" width="8.421875" style="209" customWidth="1"/>
    <col min="6" max="10" width="8.8515625" style="209" customWidth="1"/>
    <col min="11" max="12" width="9.140625" style="209" customWidth="1"/>
    <col min="13" max="13" width="8.8515625" style="209" customWidth="1"/>
    <col min="14" max="14" width="9.140625" style="209" customWidth="1"/>
    <col min="15" max="15" width="9.28125" style="209" customWidth="1"/>
    <col min="16" max="16" width="11.7109375" style="209" customWidth="1"/>
    <col min="17" max="17" width="1.7109375" style="209" customWidth="1"/>
    <col min="18" max="18" width="5.00390625" style="209" customWidth="1"/>
    <col min="19" max="16384" width="9.140625" style="209" customWidth="1"/>
  </cols>
  <sheetData>
    <row r="1" spans="1:16" ht="12" customHeight="1">
      <c r="A1" s="573" t="s">
        <v>20</v>
      </c>
      <c r="B1" s="573"/>
      <c r="C1" s="573"/>
      <c r="D1" s="573"/>
      <c r="E1" s="573"/>
      <c r="F1" s="573"/>
      <c r="G1" s="573"/>
      <c r="H1" s="573"/>
      <c r="I1" s="573"/>
      <c r="J1" s="573"/>
      <c r="K1" s="573"/>
      <c r="L1" s="573"/>
      <c r="M1" s="573"/>
      <c r="N1" s="573"/>
      <c r="O1" s="573"/>
      <c r="P1" s="573"/>
    </row>
    <row r="2" spans="1:16" ht="14.25" customHeight="1">
      <c r="A2" s="572" t="s">
        <v>134</v>
      </c>
      <c r="B2" s="572"/>
      <c r="C2" s="572"/>
      <c r="D2" s="572"/>
      <c r="E2" s="572"/>
      <c r="F2" s="572"/>
      <c r="G2" s="572"/>
      <c r="H2" s="572"/>
      <c r="I2" s="572"/>
      <c r="J2" s="572"/>
      <c r="K2" s="572"/>
      <c r="L2" s="572"/>
      <c r="M2" s="572"/>
      <c r="N2" s="572"/>
      <c r="O2" s="572"/>
      <c r="P2" s="572"/>
    </row>
    <row r="3" spans="1:16" ht="13.5" customHeight="1">
      <c r="A3" s="572" t="str">
        <f>'STD Cost Rate'!A3</f>
        <v>For The 12 Months Ended April 30, 2013</v>
      </c>
      <c r="B3" s="572"/>
      <c r="C3" s="572"/>
      <c r="D3" s="572"/>
      <c r="E3" s="572"/>
      <c r="F3" s="572"/>
      <c r="G3" s="572"/>
      <c r="H3" s="572"/>
      <c r="I3" s="572"/>
      <c r="J3" s="572"/>
      <c r="K3" s="572"/>
      <c r="L3" s="572"/>
      <c r="M3" s="572"/>
      <c r="N3" s="572"/>
      <c r="O3" s="572"/>
      <c r="P3" s="572"/>
    </row>
    <row r="4" spans="1:16" ht="12.75">
      <c r="A4" s="220"/>
      <c r="B4" s="447"/>
      <c r="C4" s="447"/>
      <c r="D4" s="220"/>
      <c r="E4" s="220"/>
      <c r="F4" s="220"/>
      <c r="G4" s="220"/>
      <c r="H4" s="220"/>
      <c r="I4" s="220"/>
      <c r="J4" s="220"/>
      <c r="K4" s="220"/>
      <c r="L4" s="220"/>
      <c r="M4" s="220"/>
      <c r="N4" s="220"/>
      <c r="O4" s="220"/>
      <c r="P4" s="220"/>
    </row>
    <row r="5" spans="1:16" ht="12">
      <c r="A5" s="225">
        <v>1</v>
      </c>
      <c r="B5" s="226" t="s">
        <v>1</v>
      </c>
      <c r="C5" s="226" t="s">
        <v>22</v>
      </c>
      <c r="D5" s="226" t="s">
        <v>38</v>
      </c>
      <c r="E5" s="226" t="s">
        <v>50</v>
      </c>
      <c r="F5" s="226" t="s">
        <v>51</v>
      </c>
      <c r="G5" s="226" t="s">
        <v>52</v>
      </c>
      <c r="H5" s="226" t="s">
        <v>53</v>
      </c>
      <c r="I5" s="226" t="s">
        <v>54</v>
      </c>
      <c r="J5" s="226" t="s">
        <v>55</v>
      </c>
      <c r="K5" s="226" t="s">
        <v>61</v>
      </c>
      <c r="L5" s="226" t="s">
        <v>62</v>
      </c>
      <c r="M5" s="226" t="s">
        <v>63</v>
      </c>
      <c r="N5" s="226" t="s">
        <v>64</v>
      </c>
      <c r="O5" s="226" t="s">
        <v>65</v>
      </c>
      <c r="P5" s="226" t="s">
        <v>66</v>
      </c>
    </row>
    <row r="6" spans="1:16" ht="12" customHeight="1">
      <c r="A6" s="225">
        <v>2</v>
      </c>
      <c r="B6" s="220"/>
      <c r="C6" s="449">
        <v>41029</v>
      </c>
      <c r="D6" s="449">
        <v>41060</v>
      </c>
      <c r="E6" s="449">
        <v>41090</v>
      </c>
      <c r="F6" s="449">
        <v>41121</v>
      </c>
      <c r="G6" s="449">
        <v>41152</v>
      </c>
      <c r="H6" s="449">
        <v>41182</v>
      </c>
      <c r="I6" s="449">
        <v>41213</v>
      </c>
      <c r="J6" s="449">
        <v>41243</v>
      </c>
      <c r="K6" s="449">
        <v>41274</v>
      </c>
      <c r="L6" s="449">
        <v>41305</v>
      </c>
      <c r="M6" s="449">
        <v>41333</v>
      </c>
      <c r="N6" s="449">
        <v>41364</v>
      </c>
      <c r="O6" s="449">
        <v>41394</v>
      </c>
      <c r="P6" s="450" t="s">
        <v>271</v>
      </c>
    </row>
    <row r="7" spans="1:16" ht="12">
      <c r="A7" s="225">
        <v>3</v>
      </c>
      <c r="B7" s="237" t="s">
        <v>291</v>
      </c>
      <c r="C7" s="454">
        <v>267878.28</v>
      </c>
      <c r="D7" s="146">
        <v>267878.28</v>
      </c>
      <c r="E7" s="146">
        <v>267878.28</v>
      </c>
      <c r="F7" s="146">
        <v>267878.28</v>
      </c>
      <c r="G7" s="146">
        <v>267878.28</v>
      </c>
      <c r="H7" s="146">
        <v>267878.28</v>
      </c>
      <c r="I7" s="146">
        <v>267878.28</v>
      </c>
      <c r="J7" s="146">
        <v>267878.28</v>
      </c>
      <c r="K7" s="146">
        <v>267878.28</v>
      </c>
      <c r="L7" s="146">
        <v>267878.28</v>
      </c>
      <c r="M7" s="146">
        <v>267878.28</v>
      </c>
      <c r="N7" s="146">
        <v>267878.28</v>
      </c>
      <c r="O7" s="146">
        <v>267878.28</v>
      </c>
      <c r="P7" s="289">
        <f>ROUND(((C7+O7)+(SUM(D7:N7)*2))/24,3)</f>
        <v>267878.28</v>
      </c>
    </row>
    <row r="8" spans="1:16" ht="5.25" customHeight="1">
      <c r="A8" s="225"/>
      <c r="B8" s="184"/>
      <c r="C8" s="146"/>
      <c r="D8" s="146"/>
      <c r="E8" s="146"/>
      <c r="F8" s="146"/>
      <c r="G8" s="146"/>
      <c r="H8" s="146"/>
      <c r="I8" s="146"/>
      <c r="J8" s="146"/>
      <c r="K8" s="146"/>
      <c r="L8" s="146"/>
      <c r="M8" s="146"/>
      <c r="N8" s="146"/>
      <c r="O8" s="146"/>
      <c r="P8" s="146"/>
    </row>
    <row r="9" spans="1:16" ht="12">
      <c r="A9" s="225">
        <v>4</v>
      </c>
      <c r="B9" s="237" t="s">
        <v>277</v>
      </c>
      <c r="C9" s="492"/>
      <c r="D9" s="492"/>
      <c r="E9" s="492"/>
      <c r="F9" s="492"/>
      <c r="G9" s="492"/>
      <c r="H9" s="492"/>
      <c r="I9" s="492"/>
      <c r="J9" s="492"/>
      <c r="K9" s="492"/>
      <c r="L9" s="492"/>
      <c r="M9" s="492"/>
      <c r="N9" s="492"/>
      <c r="O9" s="492"/>
      <c r="P9" s="146"/>
    </row>
    <row r="10" spans="1:16" ht="12">
      <c r="A10" s="225">
        <v>5</v>
      </c>
      <c r="B10" s="184" t="s">
        <v>244</v>
      </c>
      <c r="C10" s="454">
        <f>IF(C7&gt;250000,125000,0.5*C7)</f>
        <v>125000</v>
      </c>
      <c r="D10" s="454">
        <f aca="true" t="shared" si="0" ref="D10:O10">IF(D7&gt;250000,125000,0.5*D7)</f>
        <v>125000</v>
      </c>
      <c r="E10" s="454">
        <f t="shared" si="0"/>
        <v>125000</v>
      </c>
      <c r="F10" s="454">
        <f t="shared" si="0"/>
        <v>125000</v>
      </c>
      <c r="G10" s="454">
        <f t="shared" si="0"/>
        <v>125000</v>
      </c>
      <c r="H10" s="454">
        <f t="shared" si="0"/>
        <v>125000</v>
      </c>
      <c r="I10" s="454">
        <f t="shared" si="0"/>
        <v>125000</v>
      </c>
      <c r="J10" s="454">
        <f t="shared" si="0"/>
        <v>125000</v>
      </c>
      <c r="K10" s="454">
        <f t="shared" si="0"/>
        <v>125000</v>
      </c>
      <c r="L10" s="454">
        <f t="shared" si="0"/>
        <v>125000</v>
      </c>
      <c r="M10" s="454">
        <f t="shared" si="0"/>
        <v>125000</v>
      </c>
      <c r="N10" s="454">
        <f t="shared" si="0"/>
        <v>125000</v>
      </c>
      <c r="O10" s="454">
        <f t="shared" si="0"/>
        <v>125000</v>
      </c>
      <c r="P10" s="289">
        <f>ROUND(((C10+O10)+(SUM(D10:N10)*2))/24,3)</f>
        <v>125000</v>
      </c>
    </row>
    <row r="11" spans="1:16" ht="12">
      <c r="A11" s="225">
        <v>6</v>
      </c>
      <c r="B11" s="184" t="s">
        <v>275</v>
      </c>
      <c r="C11" s="290">
        <f aca="true" t="shared" si="1" ref="C11:O11">C7-C10</f>
        <v>142878.28000000003</v>
      </c>
      <c r="D11" s="290">
        <f t="shared" si="1"/>
        <v>142878.28000000003</v>
      </c>
      <c r="E11" s="290">
        <f t="shared" si="1"/>
        <v>142878.28000000003</v>
      </c>
      <c r="F11" s="290">
        <f t="shared" si="1"/>
        <v>142878.28000000003</v>
      </c>
      <c r="G11" s="290">
        <f t="shared" si="1"/>
        <v>142878.28000000003</v>
      </c>
      <c r="H11" s="290">
        <f t="shared" si="1"/>
        <v>142878.28000000003</v>
      </c>
      <c r="I11" s="290">
        <f t="shared" si="1"/>
        <v>142878.28000000003</v>
      </c>
      <c r="J11" s="290">
        <f t="shared" si="1"/>
        <v>142878.28000000003</v>
      </c>
      <c r="K11" s="290">
        <f t="shared" si="1"/>
        <v>142878.28000000003</v>
      </c>
      <c r="L11" s="290">
        <f t="shared" si="1"/>
        <v>142878.28000000003</v>
      </c>
      <c r="M11" s="290">
        <f t="shared" si="1"/>
        <v>142878.28000000003</v>
      </c>
      <c r="N11" s="290">
        <f t="shared" si="1"/>
        <v>142878.28000000003</v>
      </c>
      <c r="O11" s="290">
        <f t="shared" si="1"/>
        <v>142878.28000000003</v>
      </c>
      <c r="P11" s="289">
        <f>ROUND(((C11+O11)+(SUM(D11:N11)*2))/24,3)</f>
        <v>142878.28</v>
      </c>
    </row>
    <row r="12" spans="1:16" ht="12">
      <c r="A12" s="225">
        <v>7</v>
      </c>
      <c r="B12" s="267" t="s">
        <v>278</v>
      </c>
      <c r="C12" s="268">
        <f aca="true" t="shared" si="2" ref="C12:O12">SUM(C10:C11)</f>
        <v>267878.28</v>
      </c>
      <c r="D12" s="268">
        <f t="shared" si="2"/>
        <v>267878.28</v>
      </c>
      <c r="E12" s="268">
        <f t="shared" si="2"/>
        <v>267878.28</v>
      </c>
      <c r="F12" s="268">
        <f t="shared" si="2"/>
        <v>267878.28</v>
      </c>
      <c r="G12" s="268">
        <f t="shared" si="2"/>
        <v>267878.28</v>
      </c>
      <c r="H12" s="268">
        <f t="shared" si="2"/>
        <v>267878.28</v>
      </c>
      <c r="I12" s="268">
        <f t="shared" si="2"/>
        <v>267878.28</v>
      </c>
      <c r="J12" s="268">
        <f t="shared" si="2"/>
        <v>267878.28</v>
      </c>
      <c r="K12" s="268">
        <f t="shared" si="2"/>
        <v>267878.28</v>
      </c>
      <c r="L12" s="268">
        <f t="shared" si="2"/>
        <v>267878.28</v>
      </c>
      <c r="M12" s="268">
        <f t="shared" si="2"/>
        <v>267878.28</v>
      </c>
      <c r="N12" s="268">
        <f t="shared" si="2"/>
        <v>267878.28</v>
      </c>
      <c r="O12" s="268">
        <f t="shared" si="2"/>
        <v>267878.28</v>
      </c>
      <c r="P12" s="402">
        <f>ROUND(((C12+O12)+(SUM(D12:N12)*2))/24,3)</f>
        <v>267878.28</v>
      </c>
    </row>
    <row r="13" spans="1:16" ht="5.25" customHeight="1">
      <c r="A13" s="225"/>
      <c r="B13" s="184"/>
      <c r="C13" s="290"/>
      <c r="D13" s="290"/>
      <c r="E13" s="290"/>
      <c r="F13" s="290"/>
      <c r="G13" s="290"/>
      <c r="H13" s="290"/>
      <c r="I13" s="290"/>
      <c r="J13" s="290"/>
      <c r="K13" s="290"/>
      <c r="L13" s="290"/>
      <c r="M13" s="290"/>
      <c r="N13" s="290"/>
      <c r="O13" s="290"/>
      <c r="P13" s="290"/>
    </row>
    <row r="14" spans="1:16" ht="13.5" customHeight="1">
      <c r="A14" s="225">
        <v>8</v>
      </c>
      <c r="B14" s="237" t="s">
        <v>274</v>
      </c>
      <c r="C14" s="528"/>
      <c r="D14" s="528"/>
      <c r="E14" s="528"/>
      <c r="F14" s="528"/>
      <c r="G14" s="528"/>
      <c r="H14" s="528"/>
      <c r="I14" s="528"/>
      <c r="J14" s="528"/>
      <c r="K14" s="528"/>
      <c r="L14" s="528"/>
      <c r="M14" s="528"/>
      <c r="N14" s="528"/>
      <c r="O14" s="528"/>
      <c r="P14" s="434"/>
    </row>
    <row r="15" spans="1:31" ht="12">
      <c r="A15" s="225">
        <v>9</v>
      </c>
      <c r="B15" s="184" t="s">
        <v>236</v>
      </c>
      <c r="C15" s="258">
        <v>0.0014418670444283634</v>
      </c>
      <c r="D15" s="258">
        <v>0.0013178752864440601</v>
      </c>
      <c r="E15" s="258">
        <v>0.001176365592206518</v>
      </c>
      <c r="F15" s="258">
        <v>0.0010877451390749024</v>
      </c>
      <c r="G15" s="258">
        <v>0.0011451834109762022</v>
      </c>
      <c r="H15" s="258">
        <v>0.001388963583856821</v>
      </c>
      <c r="I15" s="258">
        <v>0.0017147778226963937</v>
      </c>
      <c r="J15" s="258">
        <v>0.00197221437903742</v>
      </c>
      <c r="K15" s="258">
        <v>0.0020708810670241233</v>
      </c>
      <c r="L15" s="258">
        <v>0.0021099318287545635</v>
      </c>
      <c r="M15" s="258">
        <v>0.0022381256356103613</v>
      </c>
      <c r="N15" s="258">
        <v>0.0025852703723695967</v>
      </c>
      <c r="O15" s="258">
        <v>0.0032285960835094253</v>
      </c>
      <c r="P15" s="146"/>
      <c r="S15" s="528"/>
      <c r="T15" s="528"/>
      <c r="U15" s="528"/>
      <c r="V15" s="528"/>
      <c r="W15" s="528"/>
      <c r="X15" s="528"/>
      <c r="Y15" s="528"/>
      <c r="Z15" s="528"/>
      <c r="AA15" s="528"/>
      <c r="AB15" s="528"/>
      <c r="AC15" s="528"/>
      <c r="AD15" s="528"/>
      <c r="AE15" s="528"/>
    </row>
    <row r="16" spans="1:31" ht="12">
      <c r="A16" s="225">
        <v>10</v>
      </c>
      <c r="B16" s="184" t="s">
        <v>268</v>
      </c>
      <c r="C16" s="234">
        <v>0.002</v>
      </c>
      <c r="D16" s="234">
        <v>0.002</v>
      </c>
      <c r="E16" s="234">
        <v>0.002</v>
      </c>
      <c r="F16" s="234">
        <v>0.002</v>
      </c>
      <c r="G16" s="234">
        <v>0.002</v>
      </c>
      <c r="H16" s="234">
        <v>0.002</v>
      </c>
      <c r="I16" s="234">
        <v>0.002</v>
      </c>
      <c r="J16" s="234">
        <v>0.002</v>
      </c>
      <c r="K16" s="234">
        <v>0.002</v>
      </c>
      <c r="L16" s="234">
        <v>0.002</v>
      </c>
      <c r="M16" s="234">
        <v>0.002</v>
      </c>
      <c r="N16" s="234">
        <v>0.002</v>
      </c>
      <c r="O16" s="234">
        <v>0.002</v>
      </c>
      <c r="P16" s="146"/>
      <c r="S16" s="529"/>
      <c r="T16" s="529"/>
      <c r="U16" s="529"/>
      <c r="V16" s="529"/>
      <c r="W16" s="529"/>
      <c r="X16" s="529"/>
      <c r="Y16" s="529"/>
      <c r="Z16" s="529"/>
      <c r="AA16" s="529"/>
      <c r="AB16" s="529"/>
      <c r="AC16" s="529"/>
      <c r="AD16" s="529"/>
      <c r="AE16" s="529"/>
    </row>
    <row r="17" spans="1:16" ht="12">
      <c r="A17" s="225">
        <v>11</v>
      </c>
      <c r="B17" s="184" t="s">
        <v>294</v>
      </c>
      <c r="C17" s="234">
        <v>0.0085</v>
      </c>
      <c r="D17" s="234">
        <f>C17</f>
        <v>0.0085</v>
      </c>
      <c r="E17" s="234">
        <f aca="true" t="shared" si="3" ref="E17:O17">D17</f>
        <v>0.0085</v>
      </c>
      <c r="F17" s="234">
        <f t="shared" si="3"/>
        <v>0.0085</v>
      </c>
      <c r="G17" s="234">
        <f t="shared" si="3"/>
        <v>0.0085</v>
      </c>
      <c r="H17" s="234">
        <f t="shared" si="3"/>
        <v>0.0085</v>
      </c>
      <c r="I17" s="234">
        <f t="shared" si="3"/>
        <v>0.0085</v>
      </c>
      <c r="J17" s="234">
        <f t="shared" si="3"/>
        <v>0.0085</v>
      </c>
      <c r="K17" s="234">
        <f t="shared" si="3"/>
        <v>0.0085</v>
      </c>
      <c r="L17" s="234">
        <f t="shared" si="3"/>
        <v>0.0085</v>
      </c>
      <c r="M17" s="234">
        <f t="shared" si="3"/>
        <v>0.0085</v>
      </c>
      <c r="N17" s="234">
        <f t="shared" si="3"/>
        <v>0.0085</v>
      </c>
      <c r="O17" s="234">
        <f t="shared" si="3"/>
        <v>0.0085</v>
      </c>
      <c r="P17" s="146"/>
    </row>
    <row r="18" spans="1:16" ht="6" customHeight="1">
      <c r="A18" s="225"/>
      <c r="B18" s="184"/>
      <c r="C18" s="173"/>
      <c r="D18" s="173"/>
      <c r="E18" s="173"/>
      <c r="F18" s="173"/>
      <c r="G18" s="173"/>
      <c r="H18" s="173"/>
      <c r="I18" s="173"/>
      <c r="J18" s="173"/>
      <c r="K18" s="173"/>
      <c r="L18" s="173"/>
      <c r="M18" s="173"/>
      <c r="N18" s="173"/>
      <c r="O18" s="173"/>
      <c r="P18" s="146"/>
    </row>
    <row r="19" spans="1:16" ht="12" customHeight="1">
      <c r="A19" s="225">
        <v>12</v>
      </c>
      <c r="B19" s="237" t="s">
        <v>282</v>
      </c>
      <c r="C19" s="173"/>
      <c r="D19" s="173"/>
      <c r="E19" s="173"/>
      <c r="F19" s="173"/>
      <c r="G19" s="173"/>
      <c r="H19" s="173"/>
      <c r="I19" s="173"/>
      <c r="J19" s="173"/>
      <c r="K19" s="173"/>
      <c r="L19" s="173"/>
      <c r="M19" s="173"/>
      <c r="N19" s="173"/>
      <c r="O19" s="173"/>
      <c r="P19" s="146"/>
    </row>
    <row r="20" spans="1:16" ht="12">
      <c r="A20" s="225">
        <v>13</v>
      </c>
      <c r="B20" s="153" t="s">
        <v>73</v>
      </c>
      <c r="C20" s="401">
        <f aca="true" t="shared" si="4" ref="C20:O20">C15+C16</f>
        <v>0.0034418670444283633</v>
      </c>
      <c r="D20" s="401">
        <f t="shared" si="4"/>
        <v>0.00331787528644406</v>
      </c>
      <c r="E20" s="401">
        <f t="shared" si="4"/>
        <v>0.0031763655922065178</v>
      </c>
      <c r="F20" s="401">
        <f t="shared" si="4"/>
        <v>0.0030877451390749024</v>
      </c>
      <c r="G20" s="401">
        <f t="shared" si="4"/>
        <v>0.003145183410976202</v>
      </c>
      <c r="H20" s="401">
        <f t="shared" si="4"/>
        <v>0.003388963583856821</v>
      </c>
      <c r="I20" s="401">
        <f t="shared" si="4"/>
        <v>0.0037147778226963935</v>
      </c>
      <c r="J20" s="401">
        <f t="shared" si="4"/>
        <v>0.0039722143790374195</v>
      </c>
      <c r="K20" s="401">
        <f t="shared" si="4"/>
        <v>0.004070881067024123</v>
      </c>
      <c r="L20" s="401">
        <f t="shared" si="4"/>
        <v>0.004109931828754564</v>
      </c>
      <c r="M20" s="401">
        <f t="shared" si="4"/>
        <v>0.004238125635610362</v>
      </c>
      <c r="N20" s="401">
        <f t="shared" si="4"/>
        <v>0.004585270372369597</v>
      </c>
      <c r="O20" s="401">
        <f t="shared" si="4"/>
        <v>0.005228596083509425</v>
      </c>
      <c r="P20" s="146"/>
    </row>
    <row r="21" spans="1:16" ht="12">
      <c r="A21" s="225">
        <v>14</v>
      </c>
      <c r="B21" s="153" t="s">
        <v>275</v>
      </c>
      <c r="C21" s="401">
        <f aca="true" t="shared" si="5" ref="C21:O21">C15+C17</f>
        <v>0.009941867044428364</v>
      </c>
      <c r="D21" s="401">
        <f t="shared" si="5"/>
        <v>0.009817875286444061</v>
      </c>
      <c r="E21" s="401">
        <f t="shared" si="5"/>
        <v>0.00967636559220652</v>
      </c>
      <c r="F21" s="401">
        <f t="shared" si="5"/>
        <v>0.009587745139074903</v>
      </c>
      <c r="G21" s="401">
        <f t="shared" si="5"/>
        <v>0.009645183410976203</v>
      </c>
      <c r="H21" s="401">
        <f t="shared" si="5"/>
        <v>0.009888963583856821</v>
      </c>
      <c r="I21" s="401">
        <f t="shared" si="5"/>
        <v>0.010214777822696395</v>
      </c>
      <c r="J21" s="401">
        <f t="shared" si="5"/>
        <v>0.01047221437903742</v>
      </c>
      <c r="K21" s="401">
        <f t="shared" si="5"/>
        <v>0.010570881067024123</v>
      </c>
      <c r="L21" s="401">
        <f t="shared" si="5"/>
        <v>0.010609931828754565</v>
      </c>
      <c r="M21" s="401">
        <f t="shared" si="5"/>
        <v>0.010738125635610362</v>
      </c>
      <c r="N21" s="401">
        <f t="shared" si="5"/>
        <v>0.011085270372369598</v>
      </c>
      <c r="O21" s="401">
        <f t="shared" si="5"/>
        <v>0.011728596083509426</v>
      </c>
      <c r="P21" s="146"/>
    </row>
    <row r="22" spans="1:16" ht="5.25" customHeight="1">
      <c r="A22" s="225"/>
      <c r="C22" s="146"/>
      <c r="D22" s="146"/>
      <c r="E22" s="146"/>
      <c r="F22" s="146"/>
      <c r="G22" s="146"/>
      <c r="H22" s="146"/>
      <c r="I22" s="146"/>
      <c r="J22" s="146"/>
      <c r="K22" s="146"/>
      <c r="L22" s="146"/>
      <c r="M22" s="146"/>
      <c r="N22" s="146"/>
      <c r="O22" s="146"/>
      <c r="P22" s="146"/>
    </row>
    <row r="23" spans="1:16" ht="12">
      <c r="A23" s="225">
        <v>15</v>
      </c>
      <c r="B23" s="184" t="s">
        <v>76</v>
      </c>
      <c r="C23" s="184"/>
      <c r="D23" s="184">
        <f aca="true" t="shared" si="6" ref="D23:O23">D6-C6</f>
        <v>31</v>
      </c>
      <c r="E23" s="184">
        <f t="shared" si="6"/>
        <v>30</v>
      </c>
      <c r="F23" s="184">
        <f t="shared" si="6"/>
        <v>31</v>
      </c>
      <c r="G23" s="184">
        <f t="shared" si="6"/>
        <v>31</v>
      </c>
      <c r="H23" s="184">
        <f t="shared" si="6"/>
        <v>30</v>
      </c>
      <c r="I23" s="184">
        <f t="shared" si="6"/>
        <v>31</v>
      </c>
      <c r="J23" s="184">
        <f t="shared" si="6"/>
        <v>30</v>
      </c>
      <c r="K23" s="184">
        <f t="shared" si="6"/>
        <v>31</v>
      </c>
      <c r="L23" s="184">
        <f t="shared" si="6"/>
        <v>31</v>
      </c>
      <c r="M23" s="184">
        <f t="shared" si="6"/>
        <v>28</v>
      </c>
      <c r="N23" s="184">
        <f t="shared" si="6"/>
        <v>31</v>
      </c>
      <c r="O23" s="184">
        <f t="shared" si="6"/>
        <v>30</v>
      </c>
      <c r="P23" s="291"/>
    </row>
    <row r="24" spans="1:16" ht="3.75" customHeight="1">
      <c r="A24" s="225"/>
      <c r="B24" s="184"/>
      <c r="C24" s="184"/>
      <c r="D24" s="184"/>
      <c r="E24" s="184"/>
      <c r="F24" s="184"/>
      <c r="G24" s="184"/>
      <c r="H24" s="184"/>
      <c r="I24" s="184"/>
      <c r="J24" s="184"/>
      <c r="K24" s="184"/>
      <c r="L24" s="184"/>
      <c r="M24" s="184"/>
      <c r="N24" s="184"/>
      <c r="O24" s="184"/>
      <c r="P24" s="291"/>
    </row>
    <row r="25" spans="1:16" ht="12">
      <c r="A25" s="225">
        <v>16</v>
      </c>
      <c r="B25" s="237" t="s">
        <v>295</v>
      </c>
      <c r="C25" s="184"/>
      <c r="D25" s="184"/>
      <c r="E25" s="184"/>
      <c r="F25" s="184"/>
      <c r="G25" s="184"/>
      <c r="H25" s="184"/>
      <c r="I25" s="184"/>
      <c r="J25" s="184"/>
      <c r="K25" s="184"/>
      <c r="L25" s="184"/>
      <c r="M25" s="184"/>
      <c r="N25" s="184"/>
      <c r="O25" s="184"/>
      <c r="P25" s="480" t="s">
        <v>280</v>
      </c>
    </row>
    <row r="26" spans="1:16" ht="12">
      <c r="A26" s="225">
        <v>17</v>
      </c>
      <c r="B26" s="184" t="s">
        <v>245</v>
      </c>
      <c r="C26" s="184"/>
      <c r="D26" s="146">
        <f aca="true" t="shared" si="7" ref="D26:O26">AVERAGE(C10:D10)*(D20*D23/360)*1000</f>
        <v>35713.240930474254</v>
      </c>
      <c r="E26" s="146">
        <f t="shared" si="7"/>
        <v>33087.14158548456</v>
      </c>
      <c r="F26" s="146">
        <f t="shared" si="7"/>
        <v>33236.14559420901</v>
      </c>
      <c r="G26" s="146">
        <f t="shared" si="7"/>
        <v>33854.4047709244</v>
      </c>
      <c r="H26" s="146">
        <f t="shared" si="7"/>
        <v>35301.70399850856</v>
      </c>
      <c r="I26" s="146">
        <f t="shared" si="7"/>
        <v>39985.45573041257</v>
      </c>
      <c r="J26" s="146">
        <f t="shared" si="7"/>
        <v>41377.23311497312</v>
      </c>
      <c r="K26" s="146">
        <f t="shared" si="7"/>
        <v>43818.511485329094</v>
      </c>
      <c r="L26" s="146">
        <f t="shared" si="7"/>
        <v>44238.84954562204</v>
      </c>
      <c r="M26" s="146">
        <f t="shared" si="7"/>
        <v>41203.99923510074</v>
      </c>
      <c r="N26" s="146">
        <f t="shared" si="7"/>
        <v>49355.34081370052</v>
      </c>
      <c r="O26" s="146">
        <f t="shared" si="7"/>
        <v>54464.542536556524</v>
      </c>
      <c r="P26" s="289">
        <f>SUM(D26:O26)</f>
        <v>485636.56934129534</v>
      </c>
    </row>
    <row r="27" spans="1:16" ht="12">
      <c r="A27" s="225">
        <v>18</v>
      </c>
      <c r="B27" s="184" t="s">
        <v>283</v>
      </c>
      <c r="C27" s="184"/>
      <c r="D27" s="146">
        <f aca="true" t="shared" si="8" ref="D27:O27">AVERAGE(C11:D11)*(D21*D23/360)*1000</f>
        <v>120793.31988786302</v>
      </c>
      <c r="E27" s="146">
        <f t="shared" si="8"/>
        <v>115211.87270547077</v>
      </c>
      <c r="F27" s="146">
        <f t="shared" si="8"/>
        <v>117961.93491953022</v>
      </c>
      <c r="G27" s="146">
        <f t="shared" si="8"/>
        <v>118668.6213816367</v>
      </c>
      <c r="H27" s="146">
        <f t="shared" si="8"/>
        <v>117743.17565367489</v>
      </c>
      <c r="I27" s="146">
        <f t="shared" si="8"/>
        <v>125676.57350710884</v>
      </c>
      <c r="J27" s="146">
        <f t="shared" si="8"/>
        <v>124687.66485567791</v>
      </c>
      <c r="K27" s="146">
        <f t="shared" si="8"/>
        <v>130057.85681436145</v>
      </c>
      <c r="L27" s="146">
        <f t="shared" si="8"/>
        <v>130538.31424694697</v>
      </c>
      <c r="M27" s="146">
        <f t="shared" si="8"/>
        <v>119330.16054088234</v>
      </c>
      <c r="N27" s="146">
        <f t="shared" si="8"/>
        <v>136386.5980230916</v>
      </c>
      <c r="O27" s="146">
        <f t="shared" si="8"/>
        <v>139646.80293554696</v>
      </c>
      <c r="P27" s="289">
        <f>SUM(D27:O27)</f>
        <v>1496702.8954717917</v>
      </c>
    </row>
    <row r="28" spans="1:16" ht="12.75" thickBot="1">
      <c r="A28" s="225">
        <v>19</v>
      </c>
      <c r="B28" s="431" t="s">
        <v>264</v>
      </c>
      <c r="C28" s="184"/>
      <c r="D28" s="390">
        <f aca="true" t="shared" si="9" ref="D28:O28">SUM(D26:D27)</f>
        <v>156506.56081833728</v>
      </c>
      <c r="E28" s="390">
        <f t="shared" si="9"/>
        <v>148299.01429095533</v>
      </c>
      <c r="F28" s="390">
        <f t="shared" si="9"/>
        <v>151198.08051373923</v>
      </c>
      <c r="G28" s="390">
        <f t="shared" si="9"/>
        <v>152523.0261525611</v>
      </c>
      <c r="H28" s="390">
        <f t="shared" si="9"/>
        <v>153044.87965218344</v>
      </c>
      <c r="I28" s="390">
        <f t="shared" si="9"/>
        <v>165662.0292375214</v>
      </c>
      <c r="J28" s="390">
        <f t="shared" si="9"/>
        <v>166064.89797065104</v>
      </c>
      <c r="K28" s="390">
        <f t="shared" si="9"/>
        <v>173876.36829969054</v>
      </c>
      <c r="L28" s="390">
        <f t="shared" si="9"/>
        <v>174777.16379256902</v>
      </c>
      <c r="M28" s="390">
        <f t="shared" si="9"/>
        <v>160534.15977598308</v>
      </c>
      <c r="N28" s="390">
        <f t="shared" si="9"/>
        <v>185741.9388367921</v>
      </c>
      <c r="O28" s="390">
        <f t="shared" si="9"/>
        <v>194111.34547210348</v>
      </c>
      <c r="P28" s="389">
        <f>SUM(D28:O28)</f>
        <v>1982339.464813087</v>
      </c>
    </row>
    <row r="29" spans="1:16" ht="5.25" customHeight="1" thickTop="1">
      <c r="A29" s="225"/>
      <c r="B29" s="230"/>
      <c r="C29" s="230"/>
      <c r="D29" s="230"/>
      <c r="E29" s="230"/>
      <c r="F29" s="230"/>
      <c r="G29" s="230"/>
      <c r="H29" s="230"/>
      <c r="I29" s="230"/>
      <c r="J29" s="230"/>
      <c r="K29" s="230"/>
      <c r="L29" s="230"/>
      <c r="M29" s="230"/>
      <c r="N29" s="230"/>
      <c r="O29" s="230"/>
      <c r="P29" s="291"/>
    </row>
    <row r="30" spans="1:19" ht="12">
      <c r="A30" s="225">
        <v>20</v>
      </c>
      <c r="B30" s="220" t="s">
        <v>263</v>
      </c>
      <c r="C30" s="230"/>
      <c r="D30" s="234">
        <f aca="true" t="shared" si="10" ref="D30:O30">(+D28/1000)/((D12+C12)/2)*(360/D23)</f>
        <v>0.006784781300623336</v>
      </c>
      <c r="E30" s="234">
        <f t="shared" si="10"/>
        <v>0.006643271606385793</v>
      </c>
      <c r="F30" s="234">
        <f t="shared" si="10"/>
        <v>0.006554651153254178</v>
      </c>
      <c r="G30" s="234">
        <f t="shared" si="10"/>
        <v>0.006612089425155479</v>
      </c>
      <c r="H30" s="234">
        <f t="shared" si="10"/>
        <v>0.006855869598036099</v>
      </c>
      <c r="I30" s="234">
        <f t="shared" si="10"/>
        <v>0.00718168383687567</v>
      </c>
      <c r="J30" s="234">
        <f t="shared" si="10"/>
        <v>0.007439120393216696</v>
      </c>
      <c r="K30" s="234">
        <f t="shared" si="10"/>
        <v>0.007537787081203399</v>
      </c>
      <c r="L30" s="234">
        <f t="shared" si="10"/>
        <v>0.007576837842933839</v>
      </c>
      <c r="M30" s="234">
        <f t="shared" si="10"/>
        <v>0.007705031649789639</v>
      </c>
      <c r="N30" s="234">
        <f t="shared" si="10"/>
        <v>0.008052176386548874</v>
      </c>
      <c r="O30" s="234">
        <f t="shared" si="10"/>
        <v>0.008695502097688702</v>
      </c>
      <c r="P30" s="234">
        <f>P28/(P7*1000)</f>
        <v>0.007400150041328796</v>
      </c>
      <c r="R30" s="234">
        <f>(P28+P39+P44+P49)/(P7*1000)</f>
        <v>0.02683934293193941</v>
      </c>
      <c r="S30" s="511" t="s">
        <v>279</v>
      </c>
    </row>
    <row r="31" spans="1:16" ht="4.5" customHeight="1">
      <c r="A31" s="225"/>
      <c r="B31" s="230"/>
      <c r="C31" s="230"/>
      <c r="D31" s="230"/>
      <c r="E31" s="230"/>
      <c r="F31" s="230"/>
      <c r="G31" s="230"/>
      <c r="H31" s="230"/>
      <c r="I31" s="230"/>
      <c r="J31" s="230"/>
      <c r="K31" s="230"/>
      <c r="L31" s="230"/>
      <c r="M31" s="230"/>
      <c r="N31" s="230"/>
      <c r="O31" s="230"/>
      <c r="P31" s="291"/>
    </row>
    <row r="32" spans="1:16" ht="12">
      <c r="A32" s="225">
        <v>21</v>
      </c>
      <c r="B32" s="237" t="s">
        <v>281</v>
      </c>
      <c r="D32" s="230"/>
      <c r="E32" s="230"/>
      <c r="F32" s="230"/>
      <c r="G32" s="230"/>
      <c r="H32" s="230"/>
      <c r="I32" s="230"/>
      <c r="J32" s="230"/>
      <c r="K32" s="230"/>
      <c r="L32" s="230"/>
      <c r="M32" s="230"/>
      <c r="N32" s="230"/>
      <c r="O32" s="230"/>
      <c r="P32" s="291"/>
    </row>
    <row r="33" spans="1:16" ht="12">
      <c r="A33" s="225">
        <v>22</v>
      </c>
      <c r="B33" s="184" t="s">
        <v>276</v>
      </c>
      <c r="C33" s="454">
        <f>400000+400000</f>
        <v>800000</v>
      </c>
      <c r="D33" s="454">
        <f aca="true" t="shared" si="11" ref="D33:O33">400000+400000</f>
        <v>800000</v>
      </c>
      <c r="E33" s="454">
        <f t="shared" si="11"/>
        <v>800000</v>
      </c>
      <c r="F33" s="454">
        <f t="shared" si="11"/>
        <v>800000</v>
      </c>
      <c r="G33" s="454">
        <f t="shared" si="11"/>
        <v>800000</v>
      </c>
      <c r="H33" s="454">
        <f t="shared" si="11"/>
        <v>800000</v>
      </c>
      <c r="I33" s="454">
        <f t="shared" si="11"/>
        <v>800000</v>
      </c>
      <c r="J33" s="454">
        <f t="shared" si="11"/>
        <v>800000</v>
      </c>
      <c r="K33" s="454">
        <f t="shared" si="11"/>
        <v>800000</v>
      </c>
      <c r="L33" s="454">
        <f t="shared" si="11"/>
        <v>800000</v>
      </c>
      <c r="M33" s="454">
        <f t="shared" si="11"/>
        <v>800000</v>
      </c>
      <c r="N33" s="454">
        <f t="shared" si="11"/>
        <v>800000</v>
      </c>
      <c r="O33" s="454">
        <f t="shared" si="11"/>
        <v>800000</v>
      </c>
      <c r="P33" s="291"/>
    </row>
    <row r="34" spans="1:16" ht="12">
      <c r="A34" s="225">
        <v>23</v>
      </c>
      <c r="B34" s="184" t="s">
        <v>300</v>
      </c>
      <c r="C34" s="454">
        <f>C11+C42</f>
        <v>155525.28000000003</v>
      </c>
      <c r="D34" s="454">
        <f aca="true" t="shared" si="12" ref="D34:O34">D11+D42</f>
        <v>155525.28000000003</v>
      </c>
      <c r="E34" s="454">
        <f t="shared" si="12"/>
        <v>155525.28000000003</v>
      </c>
      <c r="F34" s="454">
        <f t="shared" si="12"/>
        <v>155525.28000000003</v>
      </c>
      <c r="G34" s="454">
        <f t="shared" si="12"/>
        <v>155525.28000000003</v>
      </c>
      <c r="H34" s="454">
        <f t="shared" si="12"/>
        <v>155525.28000000003</v>
      </c>
      <c r="I34" s="454">
        <f t="shared" si="12"/>
        <v>155525.28000000003</v>
      </c>
      <c r="J34" s="454">
        <f t="shared" si="12"/>
        <v>155525.28000000003</v>
      </c>
      <c r="K34" s="454">
        <f t="shared" si="12"/>
        <v>155525.28000000003</v>
      </c>
      <c r="L34" s="454">
        <f t="shared" si="12"/>
        <v>155525.28000000003</v>
      </c>
      <c r="M34" s="454">
        <f t="shared" si="12"/>
        <v>155525.28000000003</v>
      </c>
      <c r="N34" s="454">
        <f t="shared" si="12"/>
        <v>155525.28000000003</v>
      </c>
      <c r="O34" s="454">
        <f t="shared" si="12"/>
        <v>155525.28000000003</v>
      </c>
      <c r="P34" s="291"/>
    </row>
    <row r="35" spans="1:16" ht="12">
      <c r="A35" s="225">
        <v>24</v>
      </c>
      <c r="B35" s="478" t="s">
        <v>287</v>
      </c>
      <c r="C35" s="438">
        <f>C33-C34</f>
        <v>644474.72</v>
      </c>
      <c r="D35" s="438">
        <f aca="true" t="shared" si="13" ref="D35:O35">D33-D34</f>
        <v>644474.72</v>
      </c>
      <c r="E35" s="438">
        <f t="shared" si="13"/>
        <v>644474.72</v>
      </c>
      <c r="F35" s="438">
        <f t="shared" si="13"/>
        <v>644474.72</v>
      </c>
      <c r="G35" s="438">
        <f t="shared" si="13"/>
        <v>644474.72</v>
      </c>
      <c r="H35" s="438">
        <f t="shared" si="13"/>
        <v>644474.72</v>
      </c>
      <c r="I35" s="438">
        <f t="shared" si="13"/>
        <v>644474.72</v>
      </c>
      <c r="J35" s="438">
        <f t="shared" si="13"/>
        <v>644474.72</v>
      </c>
      <c r="K35" s="438">
        <f t="shared" si="13"/>
        <v>644474.72</v>
      </c>
      <c r="L35" s="438">
        <f t="shared" si="13"/>
        <v>644474.72</v>
      </c>
      <c r="M35" s="438">
        <f t="shared" si="13"/>
        <v>644474.72</v>
      </c>
      <c r="N35" s="438">
        <f t="shared" si="13"/>
        <v>644474.72</v>
      </c>
      <c r="O35" s="438">
        <f t="shared" si="13"/>
        <v>644474.72</v>
      </c>
      <c r="P35" s="291"/>
    </row>
    <row r="36" spans="1:16" ht="4.5" customHeight="1">
      <c r="A36" s="225"/>
      <c r="B36" s="267"/>
      <c r="C36" s="146"/>
      <c r="D36" s="146"/>
      <c r="E36" s="146"/>
      <c r="F36" s="146"/>
      <c r="G36" s="146"/>
      <c r="H36" s="146"/>
      <c r="I36" s="146"/>
      <c r="J36" s="146"/>
      <c r="K36" s="146"/>
      <c r="L36" s="146"/>
      <c r="M36" s="146"/>
      <c r="N36" s="146"/>
      <c r="O36" s="146"/>
      <c r="P36" s="291"/>
    </row>
    <row r="37" spans="1:16" ht="12">
      <c r="A37" s="225">
        <v>25</v>
      </c>
      <c r="B37" s="237" t="s">
        <v>265</v>
      </c>
      <c r="C37" s="409" t="s">
        <v>14</v>
      </c>
      <c r="D37" s="230"/>
      <c r="E37" s="230"/>
      <c r="F37" s="230"/>
      <c r="G37" s="230"/>
      <c r="H37" s="230"/>
      <c r="I37" s="230"/>
      <c r="J37" s="230"/>
      <c r="K37" s="230"/>
      <c r="L37" s="230"/>
      <c r="M37" s="230"/>
      <c r="N37" s="230"/>
      <c r="O37" s="230"/>
      <c r="P37" s="291"/>
    </row>
    <row r="38" spans="1:16" ht="12">
      <c r="A38" s="225">
        <v>26</v>
      </c>
      <c r="B38" s="153" t="s">
        <v>288</v>
      </c>
      <c r="C38" s="493">
        <v>0.0026</v>
      </c>
      <c r="D38" s="146">
        <f aca="true" t="shared" si="14" ref="D38:O38">AVERAGE(C35:D35)*($C38*D$23/360)*1000</f>
        <v>144290.72897777773</v>
      </c>
      <c r="E38" s="146">
        <f t="shared" si="14"/>
        <v>139636.18933333334</v>
      </c>
      <c r="F38" s="146">
        <f t="shared" si="14"/>
        <v>144290.72897777773</v>
      </c>
      <c r="G38" s="146">
        <f t="shared" si="14"/>
        <v>144290.72897777773</v>
      </c>
      <c r="H38" s="146">
        <f t="shared" si="14"/>
        <v>139636.18933333334</v>
      </c>
      <c r="I38" s="146">
        <f t="shared" si="14"/>
        <v>144290.72897777773</v>
      </c>
      <c r="J38" s="146">
        <f t="shared" si="14"/>
        <v>139636.18933333334</v>
      </c>
      <c r="K38" s="146">
        <f t="shared" si="14"/>
        <v>144290.72897777773</v>
      </c>
      <c r="L38" s="146">
        <f t="shared" si="14"/>
        <v>144290.72897777773</v>
      </c>
      <c r="M38" s="146">
        <f t="shared" si="14"/>
        <v>130327.11004444445</v>
      </c>
      <c r="N38" s="146">
        <f t="shared" si="14"/>
        <v>144290.72897777773</v>
      </c>
      <c r="O38" s="146">
        <f t="shared" si="14"/>
        <v>139636.18933333334</v>
      </c>
      <c r="P38" s="289">
        <f>SUM(D38:O38)</f>
        <v>1698906.9702222222</v>
      </c>
    </row>
    <row r="39" spans="1:16" ht="12.75" thickBot="1">
      <c r="A39" s="225">
        <v>27</v>
      </c>
      <c r="B39" s="431" t="s">
        <v>266</v>
      </c>
      <c r="C39" s="233"/>
      <c r="D39" s="387">
        <f aca="true" t="shared" si="15" ref="D39:O39">SUM(D38:D38)</f>
        <v>144290.72897777773</v>
      </c>
      <c r="E39" s="387">
        <f t="shared" si="15"/>
        <v>139636.18933333334</v>
      </c>
      <c r="F39" s="387">
        <f t="shared" si="15"/>
        <v>144290.72897777773</v>
      </c>
      <c r="G39" s="387">
        <f t="shared" si="15"/>
        <v>144290.72897777773</v>
      </c>
      <c r="H39" s="387">
        <f t="shared" si="15"/>
        <v>139636.18933333334</v>
      </c>
      <c r="I39" s="387">
        <f t="shared" si="15"/>
        <v>144290.72897777773</v>
      </c>
      <c r="J39" s="387">
        <f t="shared" si="15"/>
        <v>139636.18933333334</v>
      </c>
      <c r="K39" s="387">
        <f t="shared" si="15"/>
        <v>144290.72897777773</v>
      </c>
      <c r="L39" s="387">
        <f t="shared" si="15"/>
        <v>144290.72897777773</v>
      </c>
      <c r="M39" s="387">
        <f t="shared" si="15"/>
        <v>130327.11004444445</v>
      </c>
      <c r="N39" s="387">
        <f t="shared" si="15"/>
        <v>144290.72897777773</v>
      </c>
      <c r="O39" s="387">
        <f t="shared" si="15"/>
        <v>139636.18933333334</v>
      </c>
      <c r="P39" s="389">
        <f>SUM(D39:O39)</f>
        <v>1698906.9702222222</v>
      </c>
    </row>
    <row r="40" spans="1:16" ht="6" customHeight="1" thickTop="1">
      <c r="A40" s="225"/>
      <c r="B40" s="236"/>
      <c r="C40" s="142"/>
      <c r="D40" s="142"/>
      <c r="E40" s="142"/>
      <c r="F40" s="142"/>
      <c r="G40" s="142"/>
      <c r="H40" s="220"/>
      <c r="I40" s="220"/>
      <c r="J40" s="220"/>
      <c r="K40" s="220"/>
      <c r="L40" s="220"/>
      <c r="M40" s="220"/>
      <c r="N40" s="220"/>
      <c r="O40" s="220"/>
      <c r="P40" s="220"/>
    </row>
    <row r="41" spans="1:16" ht="12" customHeight="1">
      <c r="A41" s="225">
        <v>28</v>
      </c>
      <c r="B41" s="237" t="s">
        <v>270</v>
      </c>
      <c r="C41" s="494">
        <v>0.00975</v>
      </c>
      <c r="D41" s="142"/>
      <c r="E41" s="142"/>
      <c r="F41" s="142"/>
      <c r="G41" s="142"/>
      <c r="H41" s="220"/>
      <c r="I41" s="220"/>
      <c r="J41" s="220"/>
      <c r="K41" s="220"/>
      <c r="L41" s="220"/>
      <c r="M41" s="220"/>
      <c r="N41" s="220"/>
      <c r="O41" s="220"/>
      <c r="P41" s="220"/>
    </row>
    <row r="42" spans="1:16" ht="12" customHeight="1">
      <c r="A42" s="225">
        <v>29</v>
      </c>
      <c r="B42" s="184" t="s">
        <v>286</v>
      </c>
      <c r="C42" s="454">
        <v>12647</v>
      </c>
      <c r="D42" s="454">
        <v>12647</v>
      </c>
      <c r="E42" s="454">
        <v>12647</v>
      </c>
      <c r="F42" s="454">
        <v>12647</v>
      </c>
      <c r="G42" s="454">
        <v>12647</v>
      </c>
      <c r="H42" s="454">
        <v>12647</v>
      </c>
      <c r="I42" s="454">
        <v>12647</v>
      </c>
      <c r="J42" s="454">
        <v>12647</v>
      </c>
      <c r="K42" s="454">
        <v>12647</v>
      </c>
      <c r="L42" s="454">
        <v>12647</v>
      </c>
      <c r="M42" s="454">
        <v>12647</v>
      </c>
      <c r="N42" s="454">
        <v>12647</v>
      </c>
      <c r="O42" s="454">
        <v>12647</v>
      </c>
      <c r="P42" s="289"/>
    </row>
    <row r="43" spans="1:16" ht="12" customHeight="1">
      <c r="A43" s="225">
        <v>30</v>
      </c>
      <c r="B43" s="184" t="s">
        <v>285</v>
      </c>
      <c r="C43" s="454">
        <v>5293.759</v>
      </c>
      <c r="D43" s="454">
        <v>5293.759</v>
      </c>
      <c r="E43" s="454">
        <v>5293.759</v>
      </c>
      <c r="F43" s="454">
        <v>4928.504</v>
      </c>
      <c r="G43" s="454">
        <v>4928.504</v>
      </c>
      <c r="H43" s="454">
        <v>4928.504</v>
      </c>
      <c r="I43" s="454">
        <v>4928.504</v>
      </c>
      <c r="J43" s="454">
        <v>4928.504</v>
      </c>
      <c r="K43" s="454">
        <v>4928.504</v>
      </c>
      <c r="L43" s="454">
        <v>4928.504</v>
      </c>
      <c r="M43" s="454">
        <v>4928.504</v>
      </c>
      <c r="N43" s="454">
        <v>4928.504</v>
      </c>
      <c r="O43" s="454">
        <v>4928.504</v>
      </c>
      <c r="P43" s="289"/>
    </row>
    <row r="44" spans="1:16" ht="12" customHeight="1" thickBot="1">
      <c r="A44" s="225">
        <v>31</v>
      </c>
      <c r="B44" s="431" t="s">
        <v>289</v>
      </c>
      <c r="C44" s="495">
        <v>0.01</v>
      </c>
      <c r="D44" s="387">
        <f>AVERAGE(C42:D42)*($C41*D$23/360)*1000+AVERAGE(C43:D43)*($C44*D$23/360)*1000</f>
        <v>15176.72511111111</v>
      </c>
      <c r="E44" s="387">
        <f aca="true" t="shared" si="16" ref="E44:O44">AVERAGE(D42:E42)*($C41*E$23/360)*1000+AVERAGE(D43:E43)*($C44*E$23/360)*1000</f>
        <v>14687.153333333332</v>
      </c>
      <c r="F44" s="387">
        <f t="shared" si="16"/>
        <v>15019.462541666666</v>
      </c>
      <c r="G44" s="387">
        <f t="shared" si="16"/>
        <v>14862.19997222222</v>
      </c>
      <c r="H44" s="387">
        <f t="shared" si="16"/>
        <v>14382.774166666666</v>
      </c>
      <c r="I44" s="387">
        <f t="shared" si="16"/>
        <v>14862.19997222222</v>
      </c>
      <c r="J44" s="387">
        <f t="shared" si="16"/>
        <v>14382.774166666666</v>
      </c>
      <c r="K44" s="387">
        <f t="shared" si="16"/>
        <v>14862.19997222222</v>
      </c>
      <c r="L44" s="387">
        <f t="shared" si="16"/>
        <v>14862.19997222222</v>
      </c>
      <c r="M44" s="387">
        <f t="shared" si="16"/>
        <v>13423.922555555557</v>
      </c>
      <c r="N44" s="387">
        <f t="shared" si="16"/>
        <v>14862.19997222222</v>
      </c>
      <c r="O44" s="387">
        <f t="shared" si="16"/>
        <v>14382.774166666666</v>
      </c>
      <c r="P44" s="389">
        <f>SUM(D44:O44)</f>
        <v>175766.58590277776</v>
      </c>
    </row>
    <row r="45" spans="1:16" ht="6" customHeight="1" thickTop="1">
      <c r="A45" s="225"/>
      <c r="B45" s="236"/>
      <c r="C45" s="142"/>
      <c r="D45" s="142"/>
      <c r="E45" s="142"/>
      <c r="F45" s="142"/>
      <c r="G45" s="142"/>
      <c r="H45" s="220"/>
      <c r="I45" s="220"/>
      <c r="J45" s="220"/>
      <c r="K45" s="220"/>
      <c r="L45" s="220"/>
      <c r="M45" s="220"/>
      <c r="N45" s="220"/>
      <c r="O45" s="220"/>
      <c r="P45" s="220"/>
    </row>
    <row r="46" spans="1:16" ht="12">
      <c r="A46" s="225">
        <v>32</v>
      </c>
      <c r="B46" s="237" t="s">
        <v>284</v>
      </c>
      <c r="C46" s="142"/>
      <c r="D46" s="142"/>
      <c r="E46" s="142"/>
      <c r="F46" s="142"/>
      <c r="G46" s="142"/>
      <c r="H46" s="220"/>
      <c r="I46" s="220"/>
      <c r="J46" s="220"/>
      <c r="K46" s="220"/>
      <c r="L46" s="220"/>
      <c r="M46" s="220"/>
      <c r="N46" s="220"/>
      <c r="O46" s="220"/>
      <c r="P46" s="220"/>
    </row>
    <row r="47" spans="1:18" ht="12">
      <c r="A47" s="225">
        <v>33</v>
      </c>
      <c r="B47" s="153" t="s">
        <v>302</v>
      </c>
      <c r="C47" s="142"/>
      <c r="D47" s="454">
        <v>138860</v>
      </c>
      <c r="E47" s="454">
        <v>138860</v>
      </c>
      <c r="F47" s="454">
        <v>138860</v>
      </c>
      <c r="G47" s="454">
        <v>138860</v>
      </c>
      <c r="H47" s="454">
        <v>138860</v>
      </c>
      <c r="I47" s="454">
        <v>138860</v>
      </c>
      <c r="J47" s="454">
        <v>138860</v>
      </c>
      <c r="K47" s="454">
        <v>138860</v>
      </c>
      <c r="L47" s="454">
        <v>138860</v>
      </c>
      <c r="M47" s="454">
        <v>138860</v>
      </c>
      <c r="N47" s="454">
        <v>138860</v>
      </c>
      <c r="O47" s="454">
        <v>138860</v>
      </c>
      <c r="P47" s="289">
        <f>SUM(D47:O47)</f>
        <v>1666320</v>
      </c>
      <c r="R47" s="496"/>
    </row>
    <row r="48" spans="1:16" ht="12">
      <c r="A48" s="225">
        <v>34</v>
      </c>
      <c r="B48" s="153" t="s">
        <v>303</v>
      </c>
      <c r="C48" s="142"/>
      <c r="D48" s="454">
        <v>138862</v>
      </c>
      <c r="E48" s="454">
        <v>138862</v>
      </c>
      <c r="F48" s="454">
        <v>138862</v>
      </c>
      <c r="G48" s="454">
        <v>138862</v>
      </c>
      <c r="H48" s="454">
        <v>138862</v>
      </c>
      <c r="I48" s="454">
        <v>138862</v>
      </c>
      <c r="J48" s="454">
        <v>138862</v>
      </c>
      <c r="K48" s="454">
        <v>138862</v>
      </c>
      <c r="L48" s="454">
        <v>138862</v>
      </c>
      <c r="M48" s="454">
        <v>138862</v>
      </c>
      <c r="N48" s="454">
        <v>138862</v>
      </c>
      <c r="O48" s="454">
        <v>138862</v>
      </c>
      <c r="P48" s="289">
        <f>SUM(D48:O48)</f>
        <v>1666344</v>
      </c>
    </row>
    <row r="49" spans="1:16" ht="12" customHeight="1" thickBot="1">
      <c r="A49" s="225">
        <v>35</v>
      </c>
      <c r="B49" s="431" t="s">
        <v>267</v>
      </c>
      <c r="C49" s="142"/>
      <c r="D49" s="439">
        <f aca="true" t="shared" si="17" ref="D49:O49">SUM(D47:D48)</f>
        <v>277722</v>
      </c>
      <c r="E49" s="439">
        <f t="shared" si="17"/>
        <v>277722</v>
      </c>
      <c r="F49" s="439">
        <f t="shared" si="17"/>
        <v>277722</v>
      </c>
      <c r="G49" s="439">
        <f t="shared" si="17"/>
        <v>277722</v>
      </c>
      <c r="H49" s="439">
        <f t="shared" si="17"/>
        <v>277722</v>
      </c>
      <c r="I49" s="439">
        <f t="shared" si="17"/>
        <v>277722</v>
      </c>
      <c r="J49" s="439">
        <f t="shared" si="17"/>
        <v>277722</v>
      </c>
      <c r="K49" s="439">
        <f t="shared" si="17"/>
        <v>277722</v>
      </c>
      <c r="L49" s="439">
        <f t="shared" si="17"/>
        <v>277722</v>
      </c>
      <c r="M49" s="439">
        <f t="shared" si="17"/>
        <v>277722</v>
      </c>
      <c r="N49" s="439">
        <f t="shared" si="17"/>
        <v>277722</v>
      </c>
      <c r="O49" s="439">
        <f t="shared" si="17"/>
        <v>277722</v>
      </c>
      <c r="P49" s="389">
        <f>SUM(D49:O49)</f>
        <v>3332664</v>
      </c>
    </row>
    <row r="50" spans="1:16" ht="12" customHeight="1" thickTop="1">
      <c r="A50" s="225"/>
      <c r="P50" s="154"/>
    </row>
    <row r="51" spans="1:2" ht="12" customHeight="1">
      <c r="A51" s="225">
        <v>36</v>
      </c>
      <c r="B51" s="237" t="s">
        <v>296</v>
      </c>
    </row>
    <row r="52" spans="2:15" ht="12">
      <c r="B52" s="479"/>
      <c r="C52" s="403"/>
      <c r="D52" s="403"/>
      <c r="E52" s="403"/>
      <c r="F52" s="403"/>
      <c r="G52" s="403"/>
      <c r="H52" s="403"/>
      <c r="I52" s="403"/>
      <c r="J52" s="403"/>
      <c r="K52" s="403"/>
      <c r="L52" s="403"/>
      <c r="M52" s="403"/>
      <c r="N52" s="403"/>
      <c r="O52" s="403"/>
    </row>
  </sheetData>
  <sheetProtection/>
  <mergeCells count="3">
    <mergeCell ref="A2:P2"/>
    <mergeCell ref="A1:P1"/>
    <mergeCell ref="A3:P3"/>
  </mergeCells>
  <printOptions horizontalCentered="1" verticalCentered="1"/>
  <pageMargins left="0.27" right="0.23" top="0.61" bottom="0.77" header="0.27" footer="0.27"/>
  <pageSetup horizontalDpi="600" verticalDpi="600" orientation="landscape" scale="90"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Q45"/>
  <sheetViews>
    <sheetView zoomScalePageLayoutView="0" workbookViewId="0" topLeftCell="A25">
      <selection activeCell="I53" sqref="I53"/>
    </sheetView>
  </sheetViews>
  <sheetFormatPr defaultColWidth="9.140625" defaultRowHeight="12"/>
  <cols>
    <col min="1" max="1" width="4.7109375" style="209" customWidth="1"/>
    <col min="2" max="2" width="24.28125" style="209" customWidth="1"/>
    <col min="3" max="3" width="8.00390625" style="209" customWidth="1"/>
    <col min="4" max="5" width="8.421875" style="209" customWidth="1"/>
    <col min="6" max="7" width="8.140625" style="209" customWidth="1"/>
    <col min="8" max="10" width="8.28125" style="209" customWidth="1"/>
    <col min="11" max="12" width="8.421875" style="209" customWidth="1"/>
    <col min="13" max="13" width="8.28125" style="209" customWidth="1"/>
    <col min="14" max="14" width="8.140625" style="209" customWidth="1"/>
    <col min="15" max="15" width="8.28125" style="209" customWidth="1"/>
    <col min="16" max="16" width="9.421875" style="209" customWidth="1"/>
    <col min="17" max="17" width="8.8515625" style="209" customWidth="1"/>
    <col min="18" max="16384" width="9.140625" style="209" customWidth="1"/>
  </cols>
  <sheetData>
    <row r="1" spans="1:16" ht="12">
      <c r="A1" s="220"/>
      <c r="B1" s="39" t="s">
        <v>20</v>
      </c>
      <c r="C1" s="147"/>
      <c r="D1" s="147"/>
      <c r="E1" s="147"/>
      <c r="F1" s="147"/>
      <c r="G1" s="147"/>
      <c r="H1" s="221"/>
      <c r="I1" s="220"/>
      <c r="J1" s="220"/>
      <c r="K1" s="220"/>
      <c r="L1" s="220"/>
      <c r="M1" s="220"/>
      <c r="N1" s="220"/>
      <c r="O1" s="220"/>
      <c r="P1" s="220"/>
    </row>
    <row r="2" spans="1:16" ht="12">
      <c r="A2" s="220"/>
      <c r="B2" s="222" t="s">
        <v>134</v>
      </c>
      <c r="C2" s="221"/>
      <c r="D2" s="220"/>
      <c r="E2" s="220"/>
      <c r="F2" s="220"/>
      <c r="G2" s="221"/>
      <c r="H2" s="221"/>
      <c r="I2" s="223"/>
      <c r="J2" s="220"/>
      <c r="K2" s="220"/>
      <c r="L2" s="220"/>
      <c r="M2" s="220"/>
      <c r="N2" s="220"/>
      <c r="O2" s="220"/>
      <c r="P2" s="220"/>
    </row>
    <row r="3" spans="1:16" ht="15">
      <c r="A3" s="220"/>
      <c r="B3" s="222" t="str">
        <f>'STD Cost Rate'!A3</f>
        <v>For The 12 Months Ended April 30, 2013</v>
      </c>
      <c r="C3" s="224"/>
      <c r="D3" s="220"/>
      <c r="E3" s="220"/>
      <c r="F3" s="220"/>
      <c r="G3" s="395" t="s">
        <v>238</v>
      </c>
      <c r="H3" s="220"/>
      <c r="I3" s="220"/>
      <c r="J3" s="220"/>
      <c r="K3" s="220"/>
      <c r="L3" s="220"/>
      <c r="M3" s="220"/>
      <c r="N3" s="220"/>
      <c r="O3" s="220"/>
      <c r="P3" s="220"/>
    </row>
    <row r="4" spans="1:16" ht="12">
      <c r="A4" s="220"/>
      <c r="B4" s="221"/>
      <c r="C4" s="224"/>
      <c r="D4" s="220"/>
      <c r="E4" s="220"/>
      <c r="F4" s="220"/>
      <c r="G4" s="220"/>
      <c r="H4" s="220"/>
      <c r="I4" s="220"/>
      <c r="J4" s="220"/>
      <c r="K4" s="220"/>
      <c r="L4" s="220"/>
      <c r="M4" s="220"/>
      <c r="N4" s="220"/>
      <c r="O4" s="220"/>
      <c r="P4" s="220"/>
    </row>
    <row r="5" spans="1:16" ht="12">
      <c r="A5" s="225">
        <v>1</v>
      </c>
      <c r="B5" s="226" t="s">
        <v>1</v>
      </c>
      <c r="C5" s="226" t="s">
        <v>22</v>
      </c>
      <c r="D5" s="226" t="s">
        <v>38</v>
      </c>
      <c r="E5" s="226" t="s">
        <v>50</v>
      </c>
      <c r="F5" s="226" t="s">
        <v>51</v>
      </c>
      <c r="G5" s="226" t="s">
        <v>52</v>
      </c>
      <c r="H5" s="226" t="s">
        <v>53</v>
      </c>
      <c r="I5" s="226" t="s">
        <v>54</v>
      </c>
      <c r="J5" s="226" t="s">
        <v>55</v>
      </c>
      <c r="K5" s="226" t="s">
        <v>61</v>
      </c>
      <c r="L5" s="226" t="s">
        <v>62</v>
      </c>
      <c r="M5" s="226" t="s">
        <v>63</v>
      </c>
      <c r="N5" s="226" t="s">
        <v>64</v>
      </c>
      <c r="O5" s="226" t="s">
        <v>65</v>
      </c>
      <c r="P5" s="226" t="s">
        <v>66</v>
      </c>
    </row>
    <row r="6" spans="1:16" ht="12">
      <c r="A6" s="225">
        <f>+A5+1</f>
        <v>2</v>
      </c>
      <c r="B6" s="220"/>
      <c r="C6" s="227" t="e">
        <v>#REF!</v>
      </c>
      <c r="D6" s="227" t="e">
        <v>#REF!</v>
      </c>
      <c r="E6" s="227" t="e">
        <v>#REF!</v>
      </c>
      <c r="F6" s="227" t="e">
        <v>#REF!</v>
      </c>
      <c r="G6" s="227" t="e">
        <v>#REF!</v>
      </c>
      <c r="H6" s="227" t="e">
        <v>#REF!</v>
      </c>
      <c r="I6" s="227" t="e">
        <v>#REF!</v>
      </c>
      <c r="J6" s="227" t="e">
        <v>#REF!</v>
      </c>
      <c r="K6" s="227" t="e">
        <v>#REF!</v>
      </c>
      <c r="L6" s="227" t="e">
        <v>#REF!</v>
      </c>
      <c r="M6" s="227" t="e">
        <v>#REF!</v>
      </c>
      <c r="N6" s="227" t="e">
        <v>#REF!</v>
      </c>
      <c r="O6" s="227" t="e">
        <v>#REF!</v>
      </c>
      <c r="P6" s="228" t="s">
        <v>176</v>
      </c>
    </row>
    <row r="7" spans="1:16" ht="12">
      <c r="A7" s="225">
        <f aca="true" t="shared" si="0" ref="A7:A38">+A6+1</f>
        <v>3</v>
      </c>
      <c r="B7" s="146" t="s">
        <v>84</v>
      </c>
      <c r="C7" s="264">
        <v>200000</v>
      </c>
      <c r="D7" s="264">
        <v>200000</v>
      </c>
      <c r="E7" s="264">
        <v>200000</v>
      </c>
      <c r="F7" s="264">
        <v>200000</v>
      </c>
      <c r="G7" s="264">
        <v>200000</v>
      </c>
      <c r="H7" s="264">
        <v>200000</v>
      </c>
      <c r="I7" s="264">
        <v>200000</v>
      </c>
      <c r="J7" s="264">
        <v>200000</v>
      </c>
      <c r="K7" s="264">
        <v>200000</v>
      </c>
      <c r="L7" s="264">
        <v>197000</v>
      </c>
      <c r="M7" s="264">
        <v>179000</v>
      </c>
      <c r="N7" s="264">
        <v>200000</v>
      </c>
      <c r="O7" s="264">
        <v>200000</v>
      </c>
      <c r="P7" s="288" t="s">
        <v>177</v>
      </c>
    </row>
    <row r="8" spans="1:16" ht="12">
      <c r="A8" s="225">
        <f t="shared" si="0"/>
        <v>4</v>
      </c>
      <c r="B8" s="184"/>
      <c r="C8" s="229"/>
      <c r="D8" s="229"/>
      <c r="E8" s="229"/>
      <c r="F8" s="229"/>
      <c r="G8" s="229"/>
      <c r="H8" s="229"/>
      <c r="I8" s="229"/>
      <c r="J8" s="229"/>
      <c r="K8" s="229"/>
      <c r="L8" s="229"/>
      <c r="M8" s="229"/>
      <c r="N8" s="229"/>
      <c r="O8" s="229"/>
      <c r="P8" s="184"/>
    </row>
    <row r="9" spans="1:16" ht="12">
      <c r="A9" s="225">
        <f t="shared" si="0"/>
        <v>5</v>
      </c>
      <c r="B9" s="184" t="s">
        <v>85</v>
      </c>
      <c r="C9" s="146" t="e">
        <v>#REF!</v>
      </c>
      <c r="D9" s="146" t="e">
        <v>#REF!</v>
      </c>
      <c r="E9" s="146" t="e">
        <v>#REF!</v>
      </c>
      <c r="F9" s="146" t="e">
        <v>#REF!</v>
      </c>
      <c r="G9" s="146" t="e">
        <v>#REF!</v>
      </c>
      <c r="H9" s="146" t="e">
        <v>#REF!</v>
      </c>
      <c r="I9" s="146" t="e">
        <v>#REF!</v>
      </c>
      <c r="J9" s="146" t="e">
        <v>#REF!</v>
      </c>
      <c r="K9" s="146" t="e">
        <v>#REF!</v>
      </c>
      <c r="L9" s="146" t="e">
        <v>#REF!</v>
      </c>
      <c r="M9" s="146" t="e">
        <v>#REF!</v>
      </c>
      <c r="N9" s="146" t="e">
        <v>#REF!</v>
      </c>
      <c r="O9" s="146" t="e">
        <v>#REF!</v>
      </c>
      <c r="P9" s="146" t="e">
        <f>ROUND(((C9+O9)+(SUM(D9:N9)*2))/24,3)</f>
        <v>#REF!</v>
      </c>
    </row>
    <row r="10" spans="1:16" ht="12">
      <c r="A10" s="225">
        <f t="shared" si="0"/>
        <v>6</v>
      </c>
      <c r="B10" s="184" t="s">
        <v>173</v>
      </c>
      <c r="C10" s="290" t="e">
        <v>#REF!</v>
      </c>
      <c r="D10" s="290" t="e">
        <v>#REF!</v>
      </c>
      <c r="E10" s="290" t="e">
        <v>#REF!</v>
      </c>
      <c r="F10" s="290" t="e">
        <v>#REF!</v>
      </c>
      <c r="G10" s="290" t="e">
        <v>#REF!</v>
      </c>
      <c r="H10" s="290" t="e">
        <v>#REF!</v>
      </c>
      <c r="I10" s="290" t="e">
        <v>#REF!</v>
      </c>
      <c r="J10" s="290" t="e">
        <v>#REF!</v>
      </c>
      <c r="K10" s="290" t="e">
        <v>#REF!</v>
      </c>
      <c r="L10" s="290" t="e">
        <v>#REF!</v>
      </c>
      <c r="M10" s="290" t="e">
        <v>#REF!</v>
      </c>
      <c r="N10" s="290" t="e">
        <v>#REF!</v>
      </c>
      <c r="O10" s="290" t="e">
        <v>#REF!</v>
      </c>
      <c r="P10" s="146" t="e">
        <f>ROUND(((C10+O10)+(SUM(D10:N10)*2))/24,3)</f>
        <v>#REF!</v>
      </c>
    </row>
    <row r="11" spans="1:16" ht="12">
      <c r="A11" s="225">
        <f t="shared" si="0"/>
        <v>7</v>
      </c>
      <c r="B11" s="184" t="s">
        <v>174</v>
      </c>
      <c r="C11" s="268" t="e">
        <f>SUM(C9:C10)</f>
        <v>#REF!</v>
      </c>
      <c r="D11" s="268" t="e">
        <f aca="true" t="shared" si="1" ref="D11:O11">SUM(D9:D10)</f>
        <v>#REF!</v>
      </c>
      <c r="E11" s="268" t="e">
        <f t="shared" si="1"/>
        <v>#REF!</v>
      </c>
      <c r="F11" s="268" t="e">
        <f t="shared" si="1"/>
        <v>#REF!</v>
      </c>
      <c r="G11" s="268" t="e">
        <f t="shared" si="1"/>
        <v>#REF!</v>
      </c>
      <c r="H11" s="268" t="e">
        <f t="shared" si="1"/>
        <v>#REF!</v>
      </c>
      <c r="I11" s="268" t="e">
        <f t="shared" si="1"/>
        <v>#REF!</v>
      </c>
      <c r="J11" s="268" t="e">
        <f t="shared" si="1"/>
        <v>#REF!</v>
      </c>
      <c r="K11" s="268" t="e">
        <f t="shared" si="1"/>
        <v>#REF!</v>
      </c>
      <c r="L11" s="268" t="e">
        <f t="shared" si="1"/>
        <v>#REF!</v>
      </c>
      <c r="M11" s="268" t="e">
        <f t="shared" si="1"/>
        <v>#REF!</v>
      </c>
      <c r="N11" s="268" t="e">
        <f t="shared" si="1"/>
        <v>#REF!</v>
      </c>
      <c r="O11" s="268" t="e">
        <f t="shared" si="1"/>
        <v>#REF!</v>
      </c>
      <c r="P11" s="268" t="e">
        <f>ROUND(((C11+O11)+(SUM(D11:N11)*2))/24,3)</f>
        <v>#REF!</v>
      </c>
    </row>
    <row r="12" spans="1:16" ht="12">
      <c r="A12" s="225">
        <f t="shared" si="0"/>
        <v>8</v>
      </c>
      <c r="B12" s="230"/>
      <c r="C12" s="230"/>
      <c r="D12" s="230"/>
      <c r="E12" s="230"/>
      <c r="F12" s="230"/>
      <c r="G12" s="230"/>
      <c r="H12" s="230"/>
      <c r="I12" s="230"/>
      <c r="J12" s="230"/>
      <c r="K12" s="230"/>
      <c r="L12" s="230"/>
      <c r="M12" s="230"/>
      <c r="N12" s="230"/>
      <c r="O12" s="230"/>
      <c r="P12" s="291"/>
    </row>
    <row r="13" spans="1:15" ht="12">
      <c r="A13" s="225">
        <f t="shared" si="0"/>
        <v>9</v>
      </c>
      <c r="B13" s="184" t="s">
        <v>175</v>
      </c>
      <c r="C13" s="184"/>
      <c r="D13" s="184"/>
      <c r="E13" s="184"/>
      <c r="F13" s="184"/>
      <c r="G13" s="184"/>
      <c r="H13" s="184"/>
      <c r="I13" s="184"/>
      <c r="J13" s="184"/>
      <c r="K13" s="184"/>
      <c r="L13" s="184"/>
      <c r="M13" s="184"/>
      <c r="N13" s="184"/>
      <c r="O13" s="184"/>
    </row>
    <row r="14" spans="1:16" ht="12">
      <c r="A14" s="225">
        <f t="shared" si="0"/>
        <v>10</v>
      </c>
      <c r="B14" s="267" t="s">
        <v>31</v>
      </c>
      <c r="C14" s="146" t="e">
        <f>IF(C11&gt;100000,100000,C11)</f>
        <v>#REF!</v>
      </c>
      <c r="D14" s="146" t="e">
        <f aca="true" t="shared" si="2" ref="D14:O14">IF(D11&gt;100000,100000,D11)</f>
        <v>#REF!</v>
      </c>
      <c r="E14" s="146" t="e">
        <f t="shared" si="2"/>
        <v>#REF!</v>
      </c>
      <c r="F14" s="146" t="e">
        <f t="shared" si="2"/>
        <v>#REF!</v>
      </c>
      <c r="G14" s="146" t="e">
        <f t="shared" si="2"/>
        <v>#REF!</v>
      </c>
      <c r="H14" s="146" t="e">
        <f t="shared" si="2"/>
        <v>#REF!</v>
      </c>
      <c r="I14" s="146" t="e">
        <f t="shared" si="2"/>
        <v>#REF!</v>
      </c>
      <c r="J14" s="146" t="e">
        <f t="shared" si="2"/>
        <v>#REF!</v>
      </c>
      <c r="K14" s="146" t="e">
        <f t="shared" si="2"/>
        <v>#REF!</v>
      </c>
      <c r="L14" s="146" t="e">
        <f t="shared" si="2"/>
        <v>#REF!</v>
      </c>
      <c r="M14" s="146" t="e">
        <f t="shared" si="2"/>
        <v>#REF!</v>
      </c>
      <c r="N14" s="146" t="e">
        <f t="shared" si="2"/>
        <v>#REF!</v>
      </c>
      <c r="O14" s="146" t="e">
        <f t="shared" si="2"/>
        <v>#REF!</v>
      </c>
      <c r="P14" s="290" t="e">
        <f>ROUND(((C14+O14)+(SUM(D14:N14)*2))/24,3)</f>
        <v>#REF!</v>
      </c>
    </row>
    <row r="15" spans="1:16" ht="12">
      <c r="A15" s="225">
        <f t="shared" si="0"/>
        <v>11</v>
      </c>
      <c r="B15" s="267" t="s">
        <v>139</v>
      </c>
      <c r="C15" s="146" t="e">
        <f aca="true" t="shared" si="3" ref="C15:O15">IF(C11&lt;(C14+C17),0,(C11-(C14+C17)))</f>
        <v>#REF!</v>
      </c>
      <c r="D15" s="146" t="e">
        <f t="shared" si="3"/>
        <v>#REF!</v>
      </c>
      <c r="E15" s="146" t="e">
        <f t="shared" si="3"/>
        <v>#REF!</v>
      </c>
      <c r="F15" s="146" t="e">
        <f t="shared" si="3"/>
        <v>#REF!</v>
      </c>
      <c r="G15" s="146" t="e">
        <f t="shared" si="3"/>
        <v>#REF!</v>
      </c>
      <c r="H15" s="146" t="e">
        <f t="shared" si="3"/>
        <v>#REF!</v>
      </c>
      <c r="I15" s="146" t="e">
        <f t="shared" si="3"/>
        <v>#REF!</v>
      </c>
      <c r="J15" s="146" t="e">
        <f t="shared" si="3"/>
        <v>#REF!</v>
      </c>
      <c r="K15" s="146" t="e">
        <f t="shared" si="3"/>
        <v>#REF!</v>
      </c>
      <c r="L15" s="146" t="e">
        <f t="shared" si="3"/>
        <v>#REF!</v>
      </c>
      <c r="M15" s="146" t="e">
        <f t="shared" si="3"/>
        <v>#REF!</v>
      </c>
      <c r="N15" s="146" t="e">
        <f t="shared" si="3"/>
        <v>#REF!</v>
      </c>
      <c r="O15" s="146" t="e">
        <f t="shared" si="3"/>
        <v>#REF!</v>
      </c>
      <c r="P15" s="290" t="e">
        <f>ROUND(((C15+O15)+(SUM(D15:N15)*2))/24,3)</f>
        <v>#REF!</v>
      </c>
    </row>
    <row r="16" spans="1:16" ht="12">
      <c r="A16" s="225">
        <f t="shared" si="0"/>
        <v>12</v>
      </c>
      <c r="B16" s="184" t="s">
        <v>141</v>
      </c>
      <c r="C16" s="268" t="e">
        <f>SUM(C14:C15)</f>
        <v>#REF!</v>
      </c>
      <c r="D16" s="268" t="e">
        <f aca="true" t="shared" si="4" ref="D16:O16">SUM(D14:D15)</f>
        <v>#REF!</v>
      </c>
      <c r="E16" s="268" t="e">
        <f t="shared" si="4"/>
        <v>#REF!</v>
      </c>
      <c r="F16" s="268" t="e">
        <f t="shared" si="4"/>
        <v>#REF!</v>
      </c>
      <c r="G16" s="268" t="e">
        <f t="shared" si="4"/>
        <v>#REF!</v>
      </c>
      <c r="H16" s="268" t="e">
        <f t="shared" si="4"/>
        <v>#REF!</v>
      </c>
      <c r="I16" s="268" t="e">
        <f t="shared" si="4"/>
        <v>#REF!</v>
      </c>
      <c r="J16" s="268" t="e">
        <f t="shared" si="4"/>
        <v>#REF!</v>
      </c>
      <c r="K16" s="268" t="e">
        <f t="shared" si="4"/>
        <v>#REF!</v>
      </c>
      <c r="L16" s="268" t="e">
        <f t="shared" si="4"/>
        <v>#REF!</v>
      </c>
      <c r="M16" s="268" t="e">
        <f t="shared" si="4"/>
        <v>#REF!</v>
      </c>
      <c r="N16" s="268" t="e">
        <f t="shared" si="4"/>
        <v>#REF!</v>
      </c>
      <c r="O16" s="268" t="e">
        <f t="shared" si="4"/>
        <v>#REF!</v>
      </c>
      <c r="P16" s="388" t="e">
        <f>ROUND(((C16+O16)+(SUM(D16:N16)*2))/24,3)</f>
        <v>#REF!</v>
      </c>
    </row>
    <row r="17" spans="1:16" ht="12">
      <c r="A17" s="225">
        <f t="shared" si="0"/>
        <v>13</v>
      </c>
      <c r="B17" s="184" t="s">
        <v>37</v>
      </c>
      <c r="C17" s="290" t="e">
        <f aca="true" t="shared" si="5" ref="C17:O17">IF(C11-C14&lt;=0,0,IF(C11-C14&lt;=C7,C11-C14,C7))</f>
        <v>#REF!</v>
      </c>
      <c r="D17" s="290" t="e">
        <f t="shared" si="5"/>
        <v>#REF!</v>
      </c>
      <c r="E17" s="290" t="e">
        <f t="shared" si="5"/>
        <v>#REF!</v>
      </c>
      <c r="F17" s="290" t="e">
        <f t="shared" si="5"/>
        <v>#REF!</v>
      </c>
      <c r="G17" s="290" t="e">
        <f t="shared" si="5"/>
        <v>#REF!</v>
      </c>
      <c r="H17" s="290" t="e">
        <f t="shared" si="5"/>
        <v>#REF!</v>
      </c>
      <c r="I17" s="290" t="e">
        <f t="shared" si="5"/>
        <v>#REF!</v>
      </c>
      <c r="J17" s="290" t="e">
        <f t="shared" si="5"/>
        <v>#REF!</v>
      </c>
      <c r="K17" s="290" t="e">
        <f t="shared" si="5"/>
        <v>#REF!</v>
      </c>
      <c r="L17" s="290" t="e">
        <f t="shared" si="5"/>
        <v>#REF!</v>
      </c>
      <c r="M17" s="290" t="e">
        <f t="shared" si="5"/>
        <v>#REF!</v>
      </c>
      <c r="N17" s="290" t="e">
        <f t="shared" si="5"/>
        <v>#REF!</v>
      </c>
      <c r="O17" s="290" t="e">
        <f t="shared" si="5"/>
        <v>#REF!</v>
      </c>
      <c r="P17" s="382" t="e">
        <f>ROUND(((C17+O17)+(SUM(D17:N17)*2))/24,3)</f>
        <v>#REF!</v>
      </c>
    </row>
    <row r="18" spans="1:17" ht="12.75" thickBot="1">
      <c r="A18" s="225">
        <f t="shared" si="0"/>
        <v>14</v>
      </c>
      <c r="B18" s="184" t="s">
        <v>142</v>
      </c>
      <c r="C18" s="387" t="e">
        <f>SUM(C16:C17)</f>
        <v>#REF!</v>
      </c>
      <c r="D18" s="387" t="e">
        <f aca="true" t="shared" si="6" ref="D18:O18">SUM(D16:D17)</f>
        <v>#REF!</v>
      </c>
      <c r="E18" s="387" t="e">
        <f t="shared" si="6"/>
        <v>#REF!</v>
      </c>
      <c r="F18" s="387" t="e">
        <f t="shared" si="6"/>
        <v>#REF!</v>
      </c>
      <c r="G18" s="387" t="e">
        <f t="shared" si="6"/>
        <v>#REF!</v>
      </c>
      <c r="H18" s="387" t="e">
        <f t="shared" si="6"/>
        <v>#REF!</v>
      </c>
      <c r="I18" s="387" t="e">
        <f t="shared" si="6"/>
        <v>#REF!</v>
      </c>
      <c r="J18" s="387" t="e">
        <f t="shared" si="6"/>
        <v>#REF!</v>
      </c>
      <c r="K18" s="387" t="e">
        <f t="shared" si="6"/>
        <v>#REF!</v>
      </c>
      <c r="L18" s="387" t="e">
        <f t="shared" si="6"/>
        <v>#REF!</v>
      </c>
      <c r="M18" s="387" t="e">
        <f t="shared" si="6"/>
        <v>#REF!</v>
      </c>
      <c r="N18" s="387" t="e">
        <f t="shared" si="6"/>
        <v>#REF!</v>
      </c>
      <c r="O18" s="387" t="e">
        <f t="shared" si="6"/>
        <v>#REF!</v>
      </c>
      <c r="P18" s="389" t="e">
        <f>ROUND(((C18+O18)+(SUM(D18:N18)*2))/24,3)</f>
        <v>#REF!</v>
      </c>
      <c r="Q18" s="292" t="e">
        <f>ROUND(P18,0)-'Cost of Capital '!C29</f>
        <v>#REF!</v>
      </c>
    </row>
    <row r="19" spans="1:16" ht="13.5" thickTop="1">
      <c r="A19" s="225">
        <f t="shared" si="0"/>
        <v>15</v>
      </c>
      <c r="B19" s="184"/>
      <c r="C19" s="230"/>
      <c r="D19" s="229"/>
      <c r="E19" s="229"/>
      <c r="F19" s="229"/>
      <c r="G19" s="229"/>
      <c r="H19" s="229"/>
      <c r="I19" s="229"/>
      <c r="J19" s="229"/>
      <c r="K19" s="229"/>
      <c r="L19" s="229"/>
      <c r="M19" s="229"/>
      <c r="N19" s="229"/>
      <c r="O19" s="229"/>
      <c r="P19" s="383" t="e">
        <f>IF(Q18&lt;&gt;0,"STD Debt Does Not Match Summary Page","")</f>
        <v>#REF!</v>
      </c>
    </row>
    <row r="20" spans="1:16" ht="12">
      <c r="A20" s="225">
        <f t="shared" si="0"/>
        <v>16</v>
      </c>
      <c r="B20" s="184" t="s">
        <v>105</v>
      </c>
      <c r="C20" s="146" t="e">
        <f aca="true" t="shared" si="7" ref="C20:O20">+C7-C17</f>
        <v>#REF!</v>
      </c>
      <c r="D20" s="146" t="e">
        <f t="shared" si="7"/>
        <v>#REF!</v>
      </c>
      <c r="E20" s="146" t="e">
        <f t="shared" si="7"/>
        <v>#REF!</v>
      </c>
      <c r="F20" s="146" t="e">
        <f t="shared" si="7"/>
        <v>#REF!</v>
      </c>
      <c r="G20" s="146" t="e">
        <f t="shared" si="7"/>
        <v>#REF!</v>
      </c>
      <c r="H20" s="146" t="e">
        <f t="shared" si="7"/>
        <v>#REF!</v>
      </c>
      <c r="I20" s="146" t="e">
        <f t="shared" si="7"/>
        <v>#REF!</v>
      </c>
      <c r="J20" s="146" t="e">
        <f t="shared" si="7"/>
        <v>#REF!</v>
      </c>
      <c r="K20" s="146" t="e">
        <f t="shared" si="7"/>
        <v>#REF!</v>
      </c>
      <c r="L20" s="146" t="e">
        <f t="shared" si="7"/>
        <v>#REF!</v>
      </c>
      <c r="M20" s="146" t="e">
        <f t="shared" si="7"/>
        <v>#REF!</v>
      </c>
      <c r="N20" s="146" t="e">
        <f t="shared" si="7"/>
        <v>#REF!</v>
      </c>
      <c r="O20" s="146" t="e">
        <f t="shared" si="7"/>
        <v>#REF!</v>
      </c>
      <c r="P20" s="184"/>
    </row>
    <row r="21" spans="1:16" ht="12">
      <c r="A21" s="225">
        <f t="shared" si="0"/>
        <v>17</v>
      </c>
      <c r="B21" s="220"/>
      <c r="C21" s="231"/>
      <c r="D21" s="231"/>
      <c r="E21" s="231"/>
      <c r="F21" s="231"/>
      <c r="G21" s="231"/>
      <c r="H21" s="231"/>
      <c r="I21" s="231"/>
      <c r="J21" s="231"/>
      <c r="K21" s="231"/>
      <c r="L21" s="231"/>
      <c r="M21" s="231"/>
      <c r="N21" s="231"/>
      <c r="O21" s="231"/>
      <c r="P21" s="220"/>
    </row>
    <row r="22" spans="1:17" ht="12">
      <c r="A22" s="225">
        <f>+A21+1</f>
        <v>18</v>
      </c>
      <c r="B22" s="184" t="s">
        <v>76</v>
      </c>
      <c r="C22" s="184"/>
      <c r="D22" s="184" t="e">
        <f aca="true" t="shared" si="8" ref="D22:I22">+D6-C6</f>
        <v>#REF!</v>
      </c>
      <c r="E22" s="184" t="e">
        <f t="shared" si="8"/>
        <v>#REF!</v>
      </c>
      <c r="F22" s="184" t="e">
        <f t="shared" si="8"/>
        <v>#REF!</v>
      </c>
      <c r="G22" s="184" t="e">
        <f t="shared" si="8"/>
        <v>#REF!</v>
      </c>
      <c r="H22" s="184" t="e">
        <f t="shared" si="8"/>
        <v>#REF!</v>
      </c>
      <c r="I22" s="184" t="e">
        <f t="shared" si="8"/>
        <v>#REF!</v>
      </c>
      <c r="J22" s="184" t="e">
        <f aca="true" t="shared" si="9" ref="J22:O22">+J6-I6</f>
        <v>#REF!</v>
      </c>
      <c r="K22" s="184" t="e">
        <f t="shared" si="9"/>
        <v>#REF!</v>
      </c>
      <c r="L22" s="184" t="e">
        <f t="shared" si="9"/>
        <v>#REF!</v>
      </c>
      <c r="M22" s="184" t="e">
        <f t="shared" si="9"/>
        <v>#REF!</v>
      </c>
      <c r="N22" s="184" t="e">
        <f t="shared" si="9"/>
        <v>#REF!</v>
      </c>
      <c r="O22" s="184" t="e">
        <f t="shared" si="9"/>
        <v>#REF!</v>
      </c>
      <c r="P22" s="184" t="e">
        <f>SUM(C22:O22)</f>
        <v>#REF!</v>
      </c>
      <c r="Q22" s="230"/>
    </row>
    <row r="23" spans="1:16" ht="12">
      <c r="A23" s="225">
        <f>+A22+1</f>
        <v>19</v>
      </c>
      <c r="B23" s="220"/>
      <c r="C23" s="220"/>
      <c r="D23" s="220"/>
      <c r="E23" s="220"/>
      <c r="F23" s="220"/>
      <c r="G23" s="220"/>
      <c r="H23" s="220"/>
      <c r="I23" s="220"/>
      <c r="J23" s="220"/>
      <c r="K23" s="220"/>
      <c r="L23" s="220"/>
      <c r="M23" s="220"/>
      <c r="N23" s="220"/>
      <c r="O23" s="220"/>
      <c r="P23" s="220"/>
    </row>
    <row r="24" spans="1:17" ht="12">
      <c r="A24" s="225">
        <f t="shared" si="0"/>
        <v>20</v>
      </c>
      <c r="B24" s="289" t="s">
        <v>178</v>
      </c>
      <c r="C24" s="184"/>
      <c r="D24" s="184" t="e">
        <f>AVERAGE(C16:D16)*(D30*D22/360)*1000</f>
        <v>#REF!</v>
      </c>
      <c r="E24" s="184" t="e">
        <f aca="true" t="shared" si="10" ref="E24:O24">AVERAGE(D16:E16)*(E30*E22/360)*1000</f>
        <v>#REF!</v>
      </c>
      <c r="F24" s="184" t="e">
        <f t="shared" si="10"/>
        <v>#REF!</v>
      </c>
      <c r="G24" s="184" t="e">
        <f t="shared" si="10"/>
        <v>#REF!</v>
      </c>
      <c r="H24" s="184" t="e">
        <f t="shared" si="10"/>
        <v>#REF!</v>
      </c>
      <c r="I24" s="184" t="e">
        <f t="shared" si="10"/>
        <v>#REF!</v>
      </c>
      <c r="J24" s="184" t="e">
        <f t="shared" si="10"/>
        <v>#REF!</v>
      </c>
      <c r="K24" s="184" t="e">
        <f t="shared" si="10"/>
        <v>#REF!</v>
      </c>
      <c r="L24" s="184" t="e">
        <f t="shared" si="10"/>
        <v>#REF!</v>
      </c>
      <c r="M24" s="184" t="e">
        <f t="shared" si="10"/>
        <v>#REF!</v>
      </c>
      <c r="N24" s="184" t="e">
        <f t="shared" si="10"/>
        <v>#REF!</v>
      </c>
      <c r="O24" s="184" t="e">
        <f t="shared" si="10"/>
        <v>#REF!</v>
      </c>
      <c r="P24" s="237" t="e">
        <f>SUM(C24:O24)</f>
        <v>#REF!</v>
      </c>
      <c r="Q24" s="184"/>
    </row>
    <row r="25" spans="1:16" ht="12">
      <c r="A25" s="225">
        <f t="shared" si="0"/>
        <v>21</v>
      </c>
      <c r="B25" s="237" t="s">
        <v>179</v>
      </c>
      <c r="C25" s="184"/>
      <c r="D25" s="184" t="e">
        <f>AVERAGE(C17:D17)*(D31*D$22/360)*1000</f>
        <v>#REF!</v>
      </c>
      <c r="E25" s="184" t="e">
        <f aca="true" t="shared" si="11" ref="E25:O25">AVERAGE(D17:E17)*(E31*E$22/360)*1000</f>
        <v>#REF!</v>
      </c>
      <c r="F25" s="184" t="e">
        <f t="shared" si="11"/>
        <v>#REF!</v>
      </c>
      <c r="G25" s="184" t="e">
        <f t="shared" si="11"/>
        <v>#REF!</v>
      </c>
      <c r="H25" s="184" t="e">
        <f t="shared" si="11"/>
        <v>#REF!</v>
      </c>
      <c r="I25" s="184" t="e">
        <f t="shared" si="11"/>
        <v>#REF!</v>
      </c>
      <c r="J25" s="184" t="e">
        <f t="shared" si="11"/>
        <v>#REF!</v>
      </c>
      <c r="K25" s="184" t="e">
        <f t="shared" si="11"/>
        <v>#REF!</v>
      </c>
      <c r="L25" s="184" t="e">
        <f t="shared" si="11"/>
        <v>#REF!</v>
      </c>
      <c r="M25" s="184" t="e">
        <f t="shared" si="11"/>
        <v>#REF!</v>
      </c>
      <c r="N25" s="184" t="e">
        <f t="shared" si="11"/>
        <v>#REF!</v>
      </c>
      <c r="O25" s="184" t="e">
        <f t="shared" si="11"/>
        <v>#REF!</v>
      </c>
      <c r="P25" s="382" t="e">
        <f>SUM(C25:O25)</f>
        <v>#REF!</v>
      </c>
    </row>
    <row r="26" spans="1:17" ht="12.75" thickBot="1">
      <c r="A26" s="225">
        <f t="shared" si="0"/>
        <v>22</v>
      </c>
      <c r="B26" s="184" t="s">
        <v>78</v>
      </c>
      <c r="C26" s="184"/>
      <c r="D26" s="390" t="e">
        <f aca="true" t="shared" si="12" ref="D26:P26">SUM(D24:D25)</f>
        <v>#REF!</v>
      </c>
      <c r="E26" s="390" t="e">
        <f t="shared" si="12"/>
        <v>#REF!</v>
      </c>
      <c r="F26" s="390" t="e">
        <f t="shared" si="12"/>
        <v>#REF!</v>
      </c>
      <c r="G26" s="390" t="e">
        <f t="shared" si="12"/>
        <v>#REF!</v>
      </c>
      <c r="H26" s="390" t="e">
        <f t="shared" si="12"/>
        <v>#REF!</v>
      </c>
      <c r="I26" s="390" t="e">
        <f t="shared" si="12"/>
        <v>#REF!</v>
      </c>
      <c r="J26" s="390" t="e">
        <f t="shared" si="12"/>
        <v>#REF!</v>
      </c>
      <c r="K26" s="390" t="e">
        <f t="shared" si="12"/>
        <v>#REF!</v>
      </c>
      <c r="L26" s="390" t="e">
        <f t="shared" si="12"/>
        <v>#REF!</v>
      </c>
      <c r="M26" s="390" t="e">
        <f t="shared" si="12"/>
        <v>#REF!</v>
      </c>
      <c r="N26" s="390" t="e">
        <f t="shared" si="12"/>
        <v>#REF!</v>
      </c>
      <c r="O26" s="390" t="e">
        <f t="shared" si="12"/>
        <v>#REF!</v>
      </c>
      <c r="P26" s="390" t="e">
        <f t="shared" si="12"/>
        <v>#REF!</v>
      </c>
      <c r="Q26" s="233"/>
    </row>
    <row r="27" spans="1:16" ht="12.75" thickTop="1">
      <c r="A27" s="225">
        <f t="shared" si="0"/>
        <v>23</v>
      </c>
      <c r="B27" s="220" t="s">
        <v>90</v>
      </c>
      <c r="C27" s="220"/>
      <c r="D27" s="234" t="e">
        <f aca="true" t="shared" si="13" ref="D27:O27">(+D26/1000)/((D18+C18)/2)*(360/D22)</f>
        <v>#REF!</v>
      </c>
      <c r="E27" s="234" t="e">
        <f t="shared" si="13"/>
        <v>#REF!</v>
      </c>
      <c r="F27" s="234" t="e">
        <f t="shared" si="13"/>
        <v>#REF!</v>
      </c>
      <c r="G27" s="234" t="e">
        <f t="shared" si="13"/>
        <v>#REF!</v>
      </c>
      <c r="H27" s="234" t="e">
        <f t="shared" si="13"/>
        <v>#REF!</v>
      </c>
      <c r="I27" s="234" t="e">
        <f t="shared" si="13"/>
        <v>#REF!</v>
      </c>
      <c r="J27" s="234" t="e">
        <f t="shared" si="13"/>
        <v>#REF!</v>
      </c>
      <c r="K27" s="234" t="e">
        <f t="shared" si="13"/>
        <v>#REF!</v>
      </c>
      <c r="L27" s="234" t="e">
        <f t="shared" si="13"/>
        <v>#REF!</v>
      </c>
      <c r="M27" s="234" t="e">
        <f t="shared" si="13"/>
        <v>#REF!</v>
      </c>
      <c r="N27" s="234" t="e">
        <f t="shared" si="13"/>
        <v>#REF!</v>
      </c>
      <c r="O27" s="234" t="e">
        <f t="shared" si="13"/>
        <v>#REF!</v>
      </c>
      <c r="P27" s="220"/>
    </row>
    <row r="28" spans="1:16" ht="12">
      <c r="A28" s="225">
        <f t="shared" si="0"/>
        <v>24</v>
      </c>
      <c r="B28" s="220"/>
      <c r="C28" s="220"/>
      <c r="D28" s="234"/>
      <c r="E28" s="234"/>
      <c r="F28" s="234"/>
      <c r="G28" s="234"/>
      <c r="H28" s="234"/>
      <c r="I28" s="234"/>
      <c r="J28" s="234"/>
      <c r="K28" s="234"/>
      <c r="L28" s="234"/>
      <c r="M28" s="220" t="s">
        <v>83</v>
      </c>
      <c r="O28" s="220"/>
      <c r="P28" s="234" t="e">
        <f>(+P26/1000)/P18</f>
        <v>#REF!</v>
      </c>
    </row>
    <row r="29" spans="1:16" ht="12">
      <c r="A29" s="225">
        <f t="shared" si="0"/>
        <v>25</v>
      </c>
      <c r="B29" s="220"/>
      <c r="C29" s="220"/>
      <c r="D29" s="234"/>
      <c r="E29" s="234"/>
      <c r="F29" s="234"/>
      <c r="G29" s="234"/>
      <c r="H29" s="234"/>
      <c r="I29" s="234"/>
      <c r="J29" s="234"/>
      <c r="K29" s="234"/>
      <c r="L29" s="234"/>
      <c r="M29" s="234"/>
      <c r="N29" s="220"/>
      <c r="O29" s="220"/>
      <c r="P29" s="234"/>
    </row>
    <row r="30" spans="1:16" ht="12">
      <c r="A30" s="225">
        <f t="shared" si="0"/>
        <v>26</v>
      </c>
      <c r="B30" s="153" t="s">
        <v>89</v>
      </c>
      <c r="C30" s="142">
        <f>$E$34</f>
        <v>0.0538</v>
      </c>
      <c r="D30" s="142">
        <f>$E$34</f>
        <v>0.0538</v>
      </c>
      <c r="E30" s="142">
        <f>$E$34</f>
        <v>0.0538</v>
      </c>
      <c r="F30" s="142">
        <f>$E$35</f>
        <v>0.0539</v>
      </c>
      <c r="G30" s="142">
        <f>$E$35</f>
        <v>0.0539</v>
      </c>
      <c r="H30" s="142">
        <f>$E$35</f>
        <v>0.0539</v>
      </c>
      <c r="I30" s="142">
        <f>$E$36</f>
        <v>0.0546</v>
      </c>
      <c r="J30" s="142">
        <f>$E$36</f>
        <v>0.0546</v>
      </c>
      <c r="K30" s="142">
        <f>$E$36</f>
        <v>0.0546</v>
      </c>
      <c r="L30" s="142">
        <f>$E$37</f>
        <v>0.0562</v>
      </c>
      <c r="M30" s="142">
        <f>$E$37</f>
        <v>0.0562</v>
      </c>
      <c r="N30" s="142">
        <f>$E$37</f>
        <v>0.0562</v>
      </c>
      <c r="O30" s="142">
        <f>$E$38</f>
        <v>0.056400000000000006</v>
      </c>
      <c r="P30" s="142"/>
    </row>
    <row r="31" spans="1:16" ht="12">
      <c r="A31" s="225">
        <f t="shared" si="0"/>
        <v>27</v>
      </c>
      <c r="B31" s="153" t="s">
        <v>91</v>
      </c>
      <c r="C31" s="142">
        <f>$G$34</f>
        <v>0.0525</v>
      </c>
      <c r="D31" s="142">
        <f>$G$34</f>
        <v>0.0525</v>
      </c>
      <c r="E31" s="142">
        <f>$G$34</f>
        <v>0.0525</v>
      </c>
      <c r="F31" s="142">
        <f>$G$35</f>
        <v>0.0526</v>
      </c>
      <c r="G31" s="142">
        <f>$G$35</f>
        <v>0.0526</v>
      </c>
      <c r="H31" s="142">
        <f>$G$35</f>
        <v>0.0526</v>
      </c>
      <c r="I31" s="142">
        <f>$G$36</f>
        <v>0.0533</v>
      </c>
      <c r="J31" s="142">
        <f>$G$36</f>
        <v>0.0533</v>
      </c>
      <c r="K31" s="142">
        <f>$G$36</f>
        <v>0.0533</v>
      </c>
      <c r="L31" s="142">
        <f>$G$37</f>
        <v>0.0549</v>
      </c>
      <c r="M31" s="142">
        <f>$G$37</f>
        <v>0.0549</v>
      </c>
      <c r="N31" s="142">
        <f>$G$37</f>
        <v>0.0549</v>
      </c>
      <c r="O31" s="142">
        <f>$G$38</f>
        <v>0.0551</v>
      </c>
      <c r="P31" s="142"/>
    </row>
    <row r="32" spans="1:16" ht="12">
      <c r="A32" s="225">
        <f t="shared" si="0"/>
        <v>28</v>
      </c>
      <c r="B32" s="184"/>
      <c r="C32" s="575" t="s">
        <v>75</v>
      </c>
      <c r="D32" s="230"/>
      <c r="E32" s="184"/>
      <c r="F32" s="184"/>
      <c r="G32" s="184"/>
      <c r="H32" s="220"/>
      <c r="I32" s="220"/>
      <c r="J32" s="220"/>
      <c r="K32" s="220"/>
      <c r="L32" s="220"/>
      <c r="M32" s="220"/>
      <c r="N32" s="220"/>
      <c r="O32" s="220"/>
      <c r="P32" s="220"/>
    </row>
    <row r="33" spans="1:16" ht="12">
      <c r="A33" s="225">
        <f t="shared" si="0"/>
        <v>29</v>
      </c>
      <c r="B33" s="232" t="s">
        <v>77</v>
      </c>
      <c r="C33" s="576"/>
      <c r="D33" s="235" t="s">
        <v>92</v>
      </c>
      <c r="E33" s="235" t="s">
        <v>73</v>
      </c>
      <c r="F33" s="183" t="s">
        <v>93</v>
      </c>
      <c r="G33" s="183" t="s">
        <v>74</v>
      </c>
      <c r="H33" s="220"/>
      <c r="I33" s="220"/>
      <c r="J33" s="220"/>
      <c r="K33" s="220"/>
      <c r="L33" s="220"/>
      <c r="M33" s="220"/>
      <c r="N33" s="220"/>
      <c r="O33" s="220"/>
      <c r="P33" s="220"/>
    </row>
    <row r="34" spans="1:16" ht="12">
      <c r="A34" s="225">
        <f t="shared" si="0"/>
        <v>30</v>
      </c>
      <c r="B34" s="266">
        <v>39722</v>
      </c>
      <c r="C34" s="265">
        <v>0.0503</v>
      </c>
      <c r="D34" s="265">
        <v>0.0035</v>
      </c>
      <c r="E34" s="142">
        <f>+C34+D34</f>
        <v>0.0538</v>
      </c>
      <c r="F34" s="265">
        <f>0.0022</f>
        <v>0.0022</v>
      </c>
      <c r="G34" s="142">
        <f>+C34+F34</f>
        <v>0.0525</v>
      </c>
      <c r="H34" s="220"/>
      <c r="I34" s="220"/>
      <c r="J34" s="220"/>
      <c r="K34" s="220"/>
      <c r="L34" s="220"/>
      <c r="M34" s="220"/>
      <c r="N34" s="220"/>
      <c r="O34" s="220"/>
      <c r="P34" s="220"/>
    </row>
    <row r="35" spans="1:16" ht="12">
      <c r="A35" s="225">
        <f t="shared" si="0"/>
        <v>31</v>
      </c>
      <c r="B35" s="266">
        <v>39814</v>
      </c>
      <c r="C35" s="265">
        <v>0.0504</v>
      </c>
      <c r="D35" s="265">
        <v>0.0035</v>
      </c>
      <c r="E35" s="142">
        <f>+C35+D35</f>
        <v>0.0539</v>
      </c>
      <c r="F35" s="265">
        <f>0.0022</f>
        <v>0.0022</v>
      </c>
      <c r="G35" s="142">
        <f>+C35+F35</f>
        <v>0.0526</v>
      </c>
      <c r="H35" s="220"/>
      <c r="I35" s="220"/>
      <c r="J35" s="220"/>
      <c r="K35" s="220"/>
      <c r="L35" s="220"/>
      <c r="M35" s="220"/>
      <c r="N35" s="220"/>
      <c r="O35" s="220"/>
      <c r="P35" s="220"/>
    </row>
    <row r="36" spans="1:16" ht="12">
      <c r="A36" s="225">
        <f t="shared" si="0"/>
        <v>32</v>
      </c>
      <c r="B36" s="266">
        <v>39904</v>
      </c>
      <c r="C36" s="265">
        <v>0.0511</v>
      </c>
      <c r="D36" s="265">
        <v>0.0035</v>
      </c>
      <c r="E36" s="142">
        <f>+C36+D36</f>
        <v>0.0546</v>
      </c>
      <c r="F36" s="265">
        <f>0.0022</f>
        <v>0.0022</v>
      </c>
      <c r="G36" s="142">
        <f>+C36+F36</f>
        <v>0.0533</v>
      </c>
      <c r="H36" s="220"/>
      <c r="I36" s="220"/>
      <c r="J36" s="220"/>
      <c r="K36" s="220"/>
      <c r="L36" s="220"/>
      <c r="M36" s="220"/>
      <c r="N36" s="220"/>
      <c r="O36" s="220"/>
      <c r="P36" s="220"/>
    </row>
    <row r="37" spans="1:16" ht="12">
      <c r="A37" s="225">
        <f t="shared" si="0"/>
        <v>33</v>
      </c>
      <c r="B37" s="266">
        <v>39995</v>
      </c>
      <c r="C37" s="265">
        <v>0.0527</v>
      </c>
      <c r="D37" s="265">
        <v>0.0035</v>
      </c>
      <c r="E37" s="142">
        <f>+C37+D37</f>
        <v>0.0562</v>
      </c>
      <c r="F37" s="265">
        <f>0.0022</f>
        <v>0.0022</v>
      </c>
      <c r="G37" s="142">
        <f>+C37+F37</f>
        <v>0.0549</v>
      </c>
      <c r="H37" s="220"/>
      <c r="I37" s="220"/>
      <c r="J37" s="220"/>
      <c r="K37" s="220"/>
      <c r="L37" s="220"/>
      <c r="M37" s="220"/>
      <c r="N37" s="220"/>
      <c r="O37" s="220"/>
      <c r="P37" s="220"/>
    </row>
    <row r="38" spans="1:16" ht="12">
      <c r="A38" s="225">
        <f t="shared" si="0"/>
        <v>34</v>
      </c>
      <c r="B38" s="266">
        <v>40087</v>
      </c>
      <c r="C38" s="265">
        <v>0.0529</v>
      </c>
      <c r="D38" s="265">
        <v>0.0035</v>
      </c>
      <c r="E38" s="142">
        <f>+C38+D38</f>
        <v>0.056400000000000006</v>
      </c>
      <c r="F38" s="265">
        <f>0.0022</f>
        <v>0.0022</v>
      </c>
      <c r="G38" s="142">
        <f>+C38+F38</f>
        <v>0.0551</v>
      </c>
      <c r="H38" s="220"/>
      <c r="I38" s="220"/>
      <c r="J38" s="220"/>
      <c r="K38" s="220"/>
      <c r="L38" s="220"/>
      <c r="M38" s="220"/>
      <c r="N38" s="220"/>
      <c r="O38" s="220"/>
      <c r="P38" s="220"/>
    </row>
    <row r="39" spans="1:16" ht="12">
      <c r="A39" s="225"/>
      <c r="B39" s="236"/>
      <c r="C39" s="142"/>
      <c r="D39" s="142"/>
      <c r="E39" s="142"/>
      <c r="F39" s="142"/>
      <c r="G39" s="142"/>
      <c r="H39" s="220"/>
      <c r="I39" s="220"/>
      <c r="J39" s="220"/>
      <c r="K39" s="220"/>
      <c r="L39" s="220"/>
      <c r="M39" s="220"/>
      <c r="N39" s="220"/>
      <c r="O39" s="220"/>
      <c r="P39" s="220"/>
    </row>
    <row r="40" spans="1:16" ht="12">
      <c r="A40" s="225"/>
      <c r="B40" s="577" t="s">
        <v>165</v>
      </c>
      <c r="C40" s="577"/>
      <c r="D40" s="577"/>
      <c r="E40" s="577"/>
      <c r="F40" s="577"/>
      <c r="G40" s="577"/>
      <c r="H40" s="577"/>
      <c r="I40" s="577"/>
      <c r="J40" s="577"/>
      <c r="K40" s="577"/>
      <c r="L40" s="577"/>
      <c r="M40" s="577"/>
      <c r="N40" s="577"/>
      <c r="O40" s="577"/>
      <c r="P40" s="577"/>
    </row>
    <row r="41" spans="1:16" ht="12">
      <c r="A41" s="225"/>
      <c r="B41" s="577"/>
      <c r="C41" s="577"/>
      <c r="D41" s="577"/>
      <c r="E41" s="577"/>
      <c r="F41" s="577"/>
      <c r="G41" s="577"/>
      <c r="H41" s="577"/>
      <c r="I41" s="577"/>
      <c r="J41" s="577"/>
      <c r="K41" s="577"/>
      <c r="L41" s="577"/>
      <c r="M41" s="577"/>
      <c r="N41" s="577"/>
      <c r="O41" s="577"/>
      <c r="P41" s="577"/>
    </row>
    <row r="42" spans="1:16" ht="12">
      <c r="A42" s="225"/>
      <c r="B42" s="237" t="s">
        <v>140</v>
      </c>
      <c r="C42" s="142"/>
      <c r="D42" s="142"/>
      <c r="E42" s="142"/>
      <c r="F42" s="142"/>
      <c r="G42" s="142"/>
      <c r="H42" s="220"/>
      <c r="I42" s="220"/>
      <c r="J42" s="220"/>
      <c r="K42" s="220"/>
      <c r="L42" s="220"/>
      <c r="M42" s="220"/>
      <c r="N42" s="220"/>
      <c r="O42" s="220"/>
      <c r="P42" s="220"/>
    </row>
    <row r="43" spans="1:13" ht="13.5" customHeight="1">
      <c r="A43" s="225"/>
      <c r="B43" s="238"/>
      <c r="C43" s="142"/>
      <c r="D43" s="142"/>
      <c r="E43" s="142"/>
      <c r="F43" s="142"/>
      <c r="G43" s="142"/>
      <c r="H43" s="220"/>
      <c r="I43" s="220"/>
      <c r="J43" s="220"/>
      <c r="K43" s="220"/>
      <c r="L43" s="220"/>
      <c r="M43" s="220"/>
    </row>
    <row r="44" spans="1:16" ht="15.75">
      <c r="A44" s="225"/>
      <c r="B44" s="220"/>
      <c r="C44" s="220"/>
      <c r="D44" s="234"/>
      <c r="E44" s="234"/>
      <c r="F44" s="220"/>
      <c r="G44" s="220"/>
      <c r="H44" s="220"/>
      <c r="I44" s="220"/>
      <c r="J44" s="220"/>
      <c r="K44" s="220"/>
      <c r="L44" s="220"/>
      <c r="N44" s="154"/>
      <c r="O44" s="154"/>
      <c r="P44" s="154"/>
    </row>
    <row r="45" spans="1:16" ht="15.75">
      <c r="A45" s="239"/>
      <c r="N45" s="574"/>
      <c r="O45" s="574"/>
      <c r="P45" s="574"/>
    </row>
  </sheetData>
  <sheetProtection/>
  <mergeCells count="3">
    <mergeCell ref="N45:P45"/>
    <mergeCell ref="C32:C33"/>
    <mergeCell ref="B40:P41"/>
  </mergeCells>
  <printOptions horizontalCentered="1"/>
  <pageMargins left="0.27" right="0.28" top="0.41" bottom="0.84" header="0.27" footer="0.27"/>
  <pageSetup fitToHeight="1" fitToWidth="1" horizontalDpi="600" verticalDpi="600" orientation="landscape" r:id="rId1"/>
  <headerFooter alignWithMargins="0">
    <oddFooter>&amp;L&amp;"Times New Roman,Regular"&amp;11_____ Exhibit (Confidential) to the
Prefiled Direct Testimony of Donald E. Gaines&amp;R&amp;"Times New Roman,Regular"&amp;11Exhibit No. ___(DEG-  C)
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45"/>
  <sheetViews>
    <sheetView zoomScalePageLayoutView="0" workbookViewId="0" topLeftCell="A1">
      <selection activeCell="C41" sqref="C41"/>
    </sheetView>
  </sheetViews>
  <sheetFormatPr defaultColWidth="9.140625" defaultRowHeight="12"/>
  <cols>
    <col min="1" max="1" width="4.7109375" style="0" customWidth="1"/>
    <col min="2" max="2" width="28.57421875" style="0" customWidth="1"/>
    <col min="3" max="3" width="10.421875" style="0" customWidth="1"/>
    <col min="4" max="5" width="9.7109375" style="0" customWidth="1"/>
    <col min="6" max="6" width="12.7109375" style="0" customWidth="1"/>
    <col min="7" max="7" width="8.7109375" style="0" customWidth="1"/>
    <col min="8" max="8" width="11.7109375" style="0" customWidth="1"/>
    <col min="9" max="9" width="12.8515625" style="0" customWidth="1"/>
    <col min="10" max="10" width="12.28125" style="0" customWidth="1"/>
    <col min="11" max="11" width="11.421875" style="0" customWidth="1"/>
    <col min="12" max="12" width="11.7109375" style="0" customWidth="1"/>
    <col min="13" max="13" width="11.8515625" style="0" customWidth="1"/>
    <col min="14" max="14" width="11.421875" style="0" customWidth="1"/>
    <col min="15" max="16" width="11.421875" style="0" bestFit="1" customWidth="1"/>
  </cols>
  <sheetData>
    <row r="1" spans="1:14" ht="14.25" customHeight="1">
      <c r="A1" s="27"/>
      <c r="B1" s="39" t="s">
        <v>20</v>
      </c>
      <c r="D1" s="28"/>
      <c r="E1" s="39"/>
      <c r="F1" s="27"/>
      <c r="G1" s="27"/>
      <c r="H1" s="28"/>
      <c r="I1" s="27"/>
      <c r="J1" s="27"/>
      <c r="K1" s="27"/>
      <c r="L1" s="27"/>
      <c r="M1" s="27"/>
      <c r="N1" s="27"/>
    </row>
    <row r="2" spans="1:14" ht="14.25" customHeight="1">
      <c r="A2" s="27"/>
      <c r="B2" s="28" t="s">
        <v>129</v>
      </c>
      <c r="D2" s="28"/>
      <c r="E2" s="28"/>
      <c r="F2" s="27"/>
      <c r="G2" s="27"/>
      <c r="H2" s="28"/>
      <c r="I2" s="29"/>
      <c r="J2" s="27"/>
      <c r="M2" s="27"/>
      <c r="N2" s="27"/>
    </row>
    <row r="3" spans="1:14" ht="14.25" customHeight="1">
      <c r="A3" s="27"/>
      <c r="B3" s="28" t="str">
        <f>'STD Cost Rate'!A3</f>
        <v>For The 12 Months Ended April 30, 2013</v>
      </c>
      <c r="D3" s="33"/>
      <c r="E3" s="28"/>
      <c r="F3" s="27"/>
      <c r="G3" s="27"/>
      <c r="H3" s="396" t="s">
        <v>237</v>
      </c>
      <c r="I3" s="27"/>
      <c r="J3" s="27"/>
      <c r="M3" s="27"/>
      <c r="N3" s="27"/>
    </row>
    <row r="4" spans="1:14" ht="10.5" customHeight="1">
      <c r="A4" s="27"/>
      <c r="B4" s="27"/>
      <c r="C4" s="28"/>
      <c r="D4" s="33"/>
      <c r="E4" s="27"/>
      <c r="F4" s="27"/>
      <c r="G4" s="27"/>
      <c r="H4" s="27"/>
      <c r="I4" s="27"/>
      <c r="J4" s="27"/>
      <c r="M4" s="27"/>
      <c r="N4" s="27"/>
    </row>
    <row r="5" spans="1:14" ht="12.75">
      <c r="A5" s="145">
        <v>1</v>
      </c>
      <c r="B5" s="74" t="s">
        <v>1</v>
      </c>
      <c r="C5" s="74" t="s">
        <v>22</v>
      </c>
      <c r="D5" s="74" t="s">
        <v>38</v>
      </c>
      <c r="E5" s="74" t="s">
        <v>50</v>
      </c>
      <c r="F5" s="74" t="s">
        <v>51</v>
      </c>
      <c r="G5" s="74" t="s">
        <v>52</v>
      </c>
      <c r="H5" s="74" t="s">
        <v>53</v>
      </c>
      <c r="I5" s="131"/>
      <c r="J5" s="42"/>
      <c r="M5" s="27"/>
      <c r="N5" s="27"/>
    </row>
    <row r="6" spans="1:14" ht="12.75">
      <c r="A6" s="145">
        <v>2</v>
      </c>
      <c r="B6" s="422" t="s">
        <v>252</v>
      </c>
      <c r="C6" s="423"/>
      <c r="D6" s="423"/>
      <c r="E6" s="423"/>
      <c r="F6" s="423"/>
      <c r="G6" s="423"/>
      <c r="H6" s="424"/>
      <c r="I6" s="131"/>
      <c r="J6" s="42"/>
      <c r="M6" s="27"/>
      <c r="N6" s="27"/>
    </row>
    <row r="7" spans="1:14" ht="12.75">
      <c r="A7" s="145">
        <v>3</v>
      </c>
      <c r="I7" s="131"/>
      <c r="J7" s="42"/>
      <c r="M7" s="27"/>
      <c r="N7" s="27"/>
    </row>
    <row r="8" spans="1:14" ht="22.5">
      <c r="A8" s="145">
        <v>4</v>
      </c>
      <c r="B8" s="179" t="s">
        <v>39</v>
      </c>
      <c r="C8" s="172" t="s">
        <v>143</v>
      </c>
      <c r="D8" s="172" t="s">
        <v>35</v>
      </c>
      <c r="E8" s="182" t="s">
        <v>36</v>
      </c>
      <c r="F8" s="182" t="s">
        <v>167</v>
      </c>
      <c r="G8" s="183" t="s">
        <v>49</v>
      </c>
      <c r="H8" s="182" t="s">
        <v>131</v>
      </c>
      <c r="I8" s="131"/>
      <c r="J8" s="42"/>
      <c r="M8" s="27"/>
      <c r="N8" s="27"/>
    </row>
    <row r="9" spans="1:14" ht="12">
      <c r="A9" s="145">
        <v>5</v>
      </c>
      <c r="B9" s="187" t="s">
        <v>169</v>
      </c>
      <c r="C9" s="74"/>
      <c r="D9" s="74"/>
      <c r="E9" s="74"/>
      <c r="F9" s="74"/>
      <c r="G9" s="74"/>
      <c r="H9" s="74"/>
      <c r="I9" s="131"/>
      <c r="J9" s="397" t="s">
        <v>239</v>
      </c>
      <c r="K9" s="397"/>
      <c r="M9" s="27"/>
      <c r="N9" s="27"/>
    </row>
    <row r="10" spans="1:14" ht="12">
      <c r="A10" s="145">
        <v>6</v>
      </c>
      <c r="B10" s="421" t="s">
        <v>170</v>
      </c>
      <c r="C10" s="414">
        <v>40238</v>
      </c>
      <c r="D10" s="414">
        <v>40602</v>
      </c>
      <c r="E10" s="415">
        <f>+D10-C10+1</f>
        <v>365</v>
      </c>
      <c r="F10" s="419">
        <f>+F12-F11</f>
        <v>493206923</v>
      </c>
      <c r="G10" s="417">
        <v>0.00125</v>
      </c>
      <c r="H10" s="384">
        <f>ROUND(F10*G10*E10/360,0)</f>
        <v>625071</v>
      </c>
      <c r="I10" s="46"/>
      <c r="J10" s="397" t="s">
        <v>240</v>
      </c>
      <c r="K10" s="398" t="s">
        <v>242</v>
      </c>
      <c r="L10" s="27"/>
      <c r="M10" s="27"/>
      <c r="N10" s="27"/>
    </row>
    <row r="11" spans="1:14" ht="12">
      <c r="A11" s="145">
        <v>7</v>
      </c>
      <c r="B11" s="153" t="s">
        <v>180</v>
      </c>
      <c r="C11" s="414">
        <v>40238</v>
      </c>
      <c r="D11" s="414">
        <v>40602</v>
      </c>
      <c r="E11" s="415">
        <f>+D11-C11+1</f>
        <v>365</v>
      </c>
      <c r="F11" s="405">
        <f>(6565906*8/12)+(6155419*4/12)+364000</f>
        <v>6793077</v>
      </c>
      <c r="G11" s="417">
        <f>0.00525+0.00125</f>
        <v>0.006500000000000001</v>
      </c>
      <c r="H11" s="385">
        <f>ROUND(F11*G11*E11/360,0)</f>
        <v>44768</v>
      </c>
      <c r="I11" s="46"/>
      <c r="J11" s="397" t="s">
        <v>241</v>
      </c>
      <c r="K11" s="398" t="s">
        <v>243</v>
      </c>
      <c r="L11" s="27"/>
      <c r="M11" s="27"/>
      <c r="N11" s="27"/>
    </row>
    <row r="12" spans="1:14" ht="12">
      <c r="A12" s="145">
        <v>8</v>
      </c>
      <c r="B12" s="267" t="s">
        <v>166</v>
      </c>
      <c r="C12" s="184"/>
      <c r="D12" s="184"/>
      <c r="E12" s="416"/>
      <c r="F12" s="427">
        <v>500000000</v>
      </c>
      <c r="G12" s="418"/>
      <c r="H12" s="156"/>
      <c r="K12" s="27"/>
      <c r="L12" s="27"/>
      <c r="M12" s="27"/>
      <c r="N12" s="27"/>
    </row>
    <row r="13" spans="1:14" ht="12">
      <c r="A13" s="145">
        <v>9</v>
      </c>
      <c r="B13" s="269"/>
      <c r="C13" s="184"/>
      <c r="D13" s="184"/>
      <c r="E13" s="416"/>
      <c r="F13" s="419"/>
      <c r="G13" s="418"/>
      <c r="H13" s="156"/>
      <c r="K13" s="27"/>
      <c r="L13" s="27"/>
      <c r="M13" s="27"/>
      <c r="N13" s="27"/>
    </row>
    <row r="14" spans="1:14" ht="12">
      <c r="A14" s="145">
        <v>11</v>
      </c>
      <c r="B14" s="270" t="s">
        <v>168</v>
      </c>
      <c r="C14" s="184"/>
      <c r="D14" s="184"/>
      <c r="E14" s="416"/>
      <c r="F14" s="419"/>
      <c r="G14" s="418"/>
      <c r="H14" s="156"/>
      <c r="I14" s="46"/>
      <c r="J14" s="62"/>
      <c r="K14" s="27"/>
      <c r="L14" s="27"/>
      <c r="M14" s="27"/>
      <c r="N14" s="27"/>
    </row>
    <row r="15" spans="1:14" ht="12">
      <c r="A15" s="145">
        <v>12</v>
      </c>
      <c r="B15" s="421" t="s">
        <v>171</v>
      </c>
      <c r="C15" s="414">
        <v>40238</v>
      </c>
      <c r="D15" s="414">
        <v>40602</v>
      </c>
      <c r="E15" s="415">
        <f>+D15-C15+1</f>
        <v>365</v>
      </c>
      <c r="F15" s="420">
        <f>200000000</f>
        <v>200000000</v>
      </c>
      <c r="G15" s="417">
        <v>0.00125</v>
      </c>
      <c r="H15" s="385">
        <f>ROUND(F15*G15*E15/360,0)</f>
        <v>253472</v>
      </c>
      <c r="J15" s="30"/>
      <c r="K15" s="30"/>
      <c r="L15" s="28"/>
      <c r="M15" s="27"/>
      <c r="N15" s="27"/>
    </row>
    <row r="16" spans="1:8" ht="12.75" customHeight="1" thickBot="1">
      <c r="A16" s="145">
        <v>14</v>
      </c>
      <c r="B16" s="428" t="s">
        <v>144</v>
      </c>
      <c r="D16" s="155"/>
      <c r="F16" s="110"/>
      <c r="G16" s="210"/>
      <c r="H16" s="386">
        <f>+H10+H15+H11</f>
        <v>923311</v>
      </c>
    </row>
    <row r="17" spans="1:8" ht="12.75" customHeight="1" thickTop="1">
      <c r="A17" s="145">
        <v>15</v>
      </c>
      <c r="B17" s="145"/>
      <c r="D17" s="155"/>
      <c r="F17" s="110"/>
      <c r="G17" s="210"/>
      <c r="H17" s="287"/>
    </row>
    <row r="18" spans="1:2" ht="12">
      <c r="A18" s="145">
        <v>16</v>
      </c>
      <c r="B18" s="179" t="s">
        <v>164</v>
      </c>
    </row>
    <row r="19" spans="1:8" ht="12" customHeight="1">
      <c r="A19" s="145">
        <v>17</v>
      </c>
      <c r="B19" s="179"/>
      <c r="C19" s="408" t="s">
        <v>246</v>
      </c>
      <c r="D19" s="286"/>
      <c r="E19" s="408" t="s">
        <v>248</v>
      </c>
      <c r="H19" s="410" t="s">
        <v>251</v>
      </c>
    </row>
    <row r="20" spans="1:10" ht="12">
      <c r="A20" s="145">
        <v>18</v>
      </c>
      <c r="B20" s="153" t="s">
        <v>258</v>
      </c>
      <c r="C20" s="187" t="s">
        <v>247</v>
      </c>
      <c r="D20" s="406"/>
      <c r="E20" s="409" t="s">
        <v>249</v>
      </c>
      <c r="H20" s="411" t="s">
        <v>250</v>
      </c>
      <c r="J20" s="141"/>
    </row>
    <row r="21" spans="1:5" ht="12">
      <c r="A21" s="145">
        <v>19</v>
      </c>
      <c r="B21" s="153" t="s">
        <v>130</v>
      </c>
      <c r="C21" s="399">
        <v>20470</v>
      </c>
      <c r="D21" s="407"/>
      <c r="E21" s="407">
        <v>5628</v>
      </c>
    </row>
    <row r="22" spans="1:5" ht="12">
      <c r="A22" s="145">
        <v>20</v>
      </c>
      <c r="B22" s="153" t="s">
        <v>254</v>
      </c>
      <c r="C22" s="412">
        <v>12</v>
      </c>
      <c r="D22" s="63"/>
      <c r="E22" s="412">
        <v>12</v>
      </c>
    </row>
    <row r="23" spans="1:8" ht="12.75" thickBot="1">
      <c r="A23" s="145">
        <v>21</v>
      </c>
      <c r="B23" s="431" t="s">
        <v>86</v>
      </c>
      <c r="C23" s="413">
        <f>+C22*C21</f>
        <v>245640</v>
      </c>
      <c r="D23" s="46"/>
      <c r="E23" s="413">
        <f>+E21*E22</f>
        <v>67536</v>
      </c>
      <c r="H23" s="386">
        <f>C23+E23</f>
        <v>313176</v>
      </c>
    </row>
    <row r="24" spans="1:3" ht="12.75" thickTop="1">
      <c r="A24" s="145">
        <v>22</v>
      </c>
      <c r="B24" s="31"/>
      <c r="C24" s="32"/>
    </row>
    <row r="25" spans="1:2" ht="12">
      <c r="A25" s="145">
        <v>23</v>
      </c>
      <c r="B25" s="128"/>
    </row>
    <row r="26" spans="1:8" ht="12">
      <c r="A26" s="145">
        <v>24</v>
      </c>
      <c r="B26" s="422" t="s">
        <v>253</v>
      </c>
      <c r="C26" s="425"/>
      <c r="D26" s="425"/>
      <c r="E26" s="425"/>
      <c r="F26" s="425"/>
      <c r="G26" s="425"/>
      <c r="H26" s="426"/>
    </row>
    <row r="27" spans="1:2" ht="12">
      <c r="A27" s="145">
        <v>25</v>
      </c>
      <c r="B27" s="128"/>
    </row>
    <row r="28" spans="1:2" ht="12">
      <c r="A28" s="145">
        <v>26</v>
      </c>
      <c r="B28" s="179" t="s">
        <v>39</v>
      </c>
    </row>
    <row r="29" spans="1:8" ht="12">
      <c r="A29" s="145">
        <v>27</v>
      </c>
      <c r="B29" s="187" t="s">
        <v>255</v>
      </c>
      <c r="C29" s="74"/>
      <c r="D29" s="74"/>
      <c r="E29" s="74"/>
      <c r="F29" s="74"/>
      <c r="G29" s="74"/>
      <c r="H29" s="74"/>
    </row>
    <row r="30" spans="1:8" ht="12">
      <c r="A30" s="145">
        <v>28</v>
      </c>
      <c r="B30" s="421" t="s">
        <v>39</v>
      </c>
      <c r="C30" s="414">
        <v>40238</v>
      </c>
      <c r="D30" s="414">
        <v>40602</v>
      </c>
      <c r="E30" s="415">
        <f>+D30-C30+1</f>
        <v>365</v>
      </c>
      <c r="F30" s="419">
        <f>+F32-F31</f>
        <v>393206923</v>
      </c>
      <c r="G30" s="432">
        <v>0.0026</v>
      </c>
      <c r="H30" s="384">
        <f>ROUND(F30*G30*E30/360,0)</f>
        <v>1036537</v>
      </c>
    </row>
    <row r="31" spans="1:9" ht="12">
      <c r="A31" s="145">
        <v>29</v>
      </c>
      <c r="B31" s="153" t="s">
        <v>180</v>
      </c>
      <c r="C31" s="414">
        <v>40238</v>
      </c>
      <c r="D31" s="414">
        <v>40602</v>
      </c>
      <c r="E31" s="415">
        <f>+D31-C31+1</f>
        <v>365</v>
      </c>
      <c r="F31" s="405">
        <f>(6565906*8/12)+(6155419*4/12)+364000</f>
        <v>6793077</v>
      </c>
      <c r="G31" s="433">
        <f>0.00525+0.00125</f>
        <v>0.006500000000000001</v>
      </c>
      <c r="H31" s="385">
        <f>ROUND(F31*G31*E31/360,0)</f>
        <v>44768</v>
      </c>
      <c r="I31" s="429" t="s">
        <v>257</v>
      </c>
    </row>
    <row r="32" spans="1:8" ht="12">
      <c r="A32" s="145">
        <v>30</v>
      </c>
      <c r="B32" s="267" t="s">
        <v>166</v>
      </c>
      <c r="C32" s="184"/>
      <c r="D32" s="184"/>
      <c r="E32" s="416"/>
      <c r="F32" s="427">
        <v>400000000</v>
      </c>
      <c r="G32" s="418"/>
      <c r="H32" s="156"/>
    </row>
    <row r="33" spans="1:8" ht="12">
      <c r="A33" s="145">
        <v>31</v>
      </c>
      <c r="B33" s="269"/>
      <c r="C33" s="184"/>
      <c r="D33" s="184"/>
      <c r="E33" s="416"/>
      <c r="F33" s="419"/>
      <c r="G33" s="418"/>
      <c r="H33" s="156"/>
    </row>
    <row r="34" spans="1:8" ht="12">
      <c r="A34" s="145">
        <v>32</v>
      </c>
      <c r="B34" s="270" t="s">
        <v>256</v>
      </c>
      <c r="C34" s="184"/>
      <c r="D34" s="184"/>
      <c r="E34" s="416"/>
      <c r="F34" s="419"/>
      <c r="G34" s="418"/>
      <c r="H34" s="156"/>
    </row>
    <row r="35" spans="1:8" ht="12">
      <c r="A35" s="145">
        <v>33</v>
      </c>
      <c r="B35" s="421" t="s">
        <v>39</v>
      </c>
      <c r="C35" s="414">
        <v>40238</v>
      </c>
      <c r="D35" s="414">
        <v>40602</v>
      </c>
      <c r="E35" s="415">
        <f>+D35-C35+1</f>
        <v>365</v>
      </c>
      <c r="F35" s="420">
        <f>400000000</f>
        <v>400000000</v>
      </c>
      <c r="G35" s="432">
        <v>0.0026</v>
      </c>
      <c r="H35" s="385">
        <f>ROUND(F35*G35*E35/360,0)</f>
        <v>1054444</v>
      </c>
    </row>
    <row r="36" spans="1:8" ht="12.75" thickBot="1">
      <c r="A36" s="145">
        <v>34</v>
      </c>
      <c r="B36" s="404" t="s">
        <v>144</v>
      </c>
      <c r="D36" s="155"/>
      <c r="F36" s="110"/>
      <c r="G36" s="210"/>
      <c r="H36" s="386">
        <f>+H30+H35+H31</f>
        <v>2135749</v>
      </c>
    </row>
    <row r="37" spans="1:8" ht="12.75" thickTop="1">
      <c r="A37" s="145">
        <v>35</v>
      </c>
      <c r="B37" s="145"/>
      <c r="D37" s="155"/>
      <c r="F37" s="110"/>
      <c r="G37" s="210"/>
      <c r="H37" s="287"/>
    </row>
    <row r="38" spans="1:2" ht="12">
      <c r="A38" s="145">
        <v>36</v>
      </c>
      <c r="B38" s="179" t="s">
        <v>164</v>
      </c>
    </row>
    <row r="39" spans="1:8" ht="12">
      <c r="A39" s="145">
        <v>37</v>
      </c>
      <c r="B39" s="179"/>
      <c r="C39" s="408" t="s">
        <v>259</v>
      </c>
      <c r="D39" s="286"/>
      <c r="E39" s="408" t="s">
        <v>259</v>
      </c>
      <c r="H39" s="410" t="s">
        <v>251</v>
      </c>
    </row>
    <row r="40" spans="1:8" ht="12">
      <c r="A40" s="145">
        <v>38</v>
      </c>
      <c r="B40" s="153" t="s">
        <v>258</v>
      </c>
      <c r="C40" s="187" t="s">
        <v>260</v>
      </c>
      <c r="D40" s="406"/>
      <c r="E40" s="187" t="s">
        <v>261</v>
      </c>
      <c r="H40" s="411" t="s">
        <v>250</v>
      </c>
    </row>
    <row r="41" spans="1:9" ht="12">
      <c r="A41" s="145">
        <v>39</v>
      </c>
      <c r="B41" s="153" t="s">
        <v>130</v>
      </c>
      <c r="C41" s="430">
        <f>(27619583+32000)/60*(400/1150)</f>
        <v>160299.03188405797</v>
      </c>
      <c r="D41" s="407"/>
      <c r="E41" s="430">
        <f>(27619583+32000)/60*(400/1150)</f>
        <v>160299.03188405797</v>
      </c>
      <c r="I41" s="429" t="s">
        <v>262</v>
      </c>
    </row>
    <row r="42" spans="1:5" ht="12">
      <c r="A42" s="145">
        <v>40</v>
      </c>
      <c r="B42" s="153" t="s">
        <v>254</v>
      </c>
      <c r="C42" s="412">
        <v>12</v>
      </c>
      <c r="D42" s="63"/>
      <c r="E42" s="412">
        <v>12</v>
      </c>
    </row>
    <row r="43" spans="1:8" ht="12.75" thickBot="1">
      <c r="A43" s="145">
        <v>41</v>
      </c>
      <c r="B43" s="431" t="s">
        <v>86</v>
      </c>
      <c r="C43" s="413">
        <f>+C42*C41</f>
        <v>1923588.3826086957</v>
      </c>
      <c r="D43" s="46"/>
      <c r="E43" s="413">
        <f>+E41*E42</f>
        <v>1923588.3826086957</v>
      </c>
      <c r="H43" s="386">
        <f>C43+E43</f>
        <v>3847176.7652173913</v>
      </c>
    </row>
    <row r="44" ht="12.75" thickTop="1">
      <c r="A44" s="145">
        <v>42</v>
      </c>
    </row>
    <row r="45" spans="1:2" ht="12">
      <c r="A45" s="145">
        <v>43</v>
      </c>
      <c r="B45" s="155" t="s">
        <v>94</v>
      </c>
    </row>
  </sheetData>
  <sheetProtection/>
  <printOptions horizontalCentered="1"/>
  <pageMargins left="0.5" right="0.53" top="0.38" bottom="0.68" header="0.17" footer="0.25"/>
  <pageSetup fitToHeight="1" fitToWidth="1" horizontalDpi="600" verticalDpi="600" orientation="landscape" r:id="rId3"/>
  <headerFooter alignWithMargins="0">
    <oddFooter>&amp;L&amp;"Times New Roman,Regular"&amp;11_____ Exhibit (Confidential) to the
Prefiled Direct Testimony of Donald E. Gaines&amp;R&amp;"Times New Roman,Regular"&amp;11Exhibit No. ___(DEG-  C)
Page &amp;P of &amp;N</oddFooter>
  </headerFooter>
  <legacyDrawing r:id="rId2"/>
</worksheet>
</file>

<file path=xl/worksheets/sheet7.xml><?xml version="1.0" encoding="utf-8"?>
<worksheet xmlns="http://schemas.openxmlformats.org/spreadsheetml/2006/main" xmlns:r="http://schemas.openxmlformats.org/officeDocument/2006/relationships">
  <dimension ref="A1:Z47"/>
  <sheetViews>
    <sheetView zoomScalePageLayoutView="0" workbookViewId="0" topLeftCell="A1">
      <pane xSplit="4" ySplit="9" topLeftCell="E10" activePane="bottomRight" state="frozen"/>
      <selection pane="topLeft" activeCell="E18" sqref="E18"/>
      <selection pane="topRight" activeCell="E18" sqref="E18"/>
      <selection pane="bottomLeft" activeCell="E18" sqref="E18"/>
      <selection pane="bottomRight" activeCell="U9" sqref="U9"/>
    </sheetView>
  </sheetViews>
  <sheetFormatPr defaultColWidth="9.140625" defaultRowHeight="12"/>
  <cols>
    <col min="1" max="1" width="3.7109375" style="116" customWidth="1"/>
    <col min="2" max="2" width="8.8515625" style="116" customWidth="1"/>
    <col min="3" max="3" width="9.7109375" style="116" customWidth="1"/>
    <col min="4" max="4" width="7.00390625" style="116" customWidth="1"/>
    <col min="5" max="5" width="6.140625" style="118" customWidth="1"/>
    <col min="6" max="6" width="7.421875" style="118" customWidth="1"/>
    <col min="7" max="7" width="8.421875" style="118" customWidth="1"/>
    <col min="8" max="8" width="7.421875" style="118" customWidth="1"/>
    <col min="9" max="9" width="12.57421875" style="118" bestFit="1" customWidth="1"/>
    <col min="10" max="10" width="5.8515625" style="116" customWidth="1"/>
    <col min="11" max="12" width="5.7109375" style="116" customWidth="1"/>
    <col min="13" max="14" width="5.8515625" style="116" customWidth="1"/>
    <col min="15" max="15" width="5.7109375" style="116" customWidth="1"/>
    <col min="16" max="18" width="6.140625" style="116" customWidth="1"/>
    <col min="19" max="22" width="5.7109375" style="116" customWidth="1"/>
    <col min="23" max="23" width="9.28125" style="116" customWidth="1"/>
    <col min="24" max="25" width="9.140625" style="116" customWidth="1"/>
    <col min="26" max="26" width="13.28125" style="116" customWidth="1"/>
    <col min="27" max="16384" width="9.140625" style="116" customWidth="1"/>
  </cols>
  <sheetData>
    <row r="1" spans="1:23" ht="12.75">
      <c r="A1" s="580" t="s">
        <v>20</v>
      </c>
      <c r="B1" s="580"/>
      <c r="C1" s="580"/>
      <c r="D1" s="580"/>
      <c r="E1" s="580"/>
      <c r="F1" s="580"/>
      <c r="G1" s="580"/>
      <c r="H1" s="580"/>
      <c r="I1" s="580"/>
      <c r="J1" s="580"/>
      <c r="K1" s="580"/>
      <c r="L1" s="580"/>
      <c r="M1" s="580"/>
      <c r="N1" s="580"/>
      <c r="O1" s="580"/>
      <c r="P1" s="580"/>
      <c r="Q1" s="580"/>
      <c r="R1" s="580"/>
      <c r="S1" s="580"/>
      <c r="T1" s="580"/>
      <c r="U1" s="580"/>
      <c r="V1" s="580"/>
      <c r="W1" s="580"/>
    </row>
    <row r="2" spans="1:23" ht="14.25" customHeight="1">
      <c r="A2" s="580" t="s">
        <v>332</v>
      </c>
      <c r="B2" s="580"/>
      <c r="C2" s="580"/>
      <c r="D2" s="580"/>
      <c r="E2" s="580"/>
      <c r="F2" s="580"/>
      <c r="G2" s="580"/>
      <c r="H2" s="580"/>
      <c r="I2" s="580"/>
      <c r="J2" s="580"/>
      <c r="K2" s="580"/>
      <c r="L2" s="580"/>
      <c r="M2" s="580"/>
      <c r="N2" s="580"/>
      <c r="O2" s="580"/>
      <c r="P2" s="580"/>
      <c r="Q2" s="580"/>
      <c r="R2" s="580"/>
      <c r="S2" s="580"/>
      <c r="T2" s="580"/>
      <c r="U2" s="580"/>
      <c r="V2" s="580"/>
      <c r="W2" s="580"/>
    </row>
    <row r="3" spans="1:23" ht="14.25" customHeight="1">
      <c r="A3" s="580" t="s">
        <v>318</v>
      </c>
      <c r="B3" s="580"/>
      <c r="C3" s="580"/>
      <c r="D3" s="580"/>
      <c r="E3" s="580"/>
      <c r="F3" s="580"/>
      <c r="G3" s="580"/>
      <c r="H3" s="580"/>
      <c r="I3" s="580"/>
      <c r="J3" s="580"/>
      <c r="K3" s="580"/>
      <c r="L3" s="580"/>
      <c r="M3" s="580"/>
      <c r="N3" s="580"/>
      <c r="O3" s="580"/>
      <c r="P3" s="580"/>
      <c r="Q3" s="580"/>
      <c r="R3" s="580"/>
      <c r="S3" s="580"/>
      <c r="T3" s="580"/>
      <c r="U3" s="580"/>
      <c r="V3" s="580"/>
      <c r="W3" s="580"/>
    </row>
    <row r="4" spans="1:19" ht="12.75">
      <c r="A4" s="117"/>
      <c r="B4" s="562"/>
      <c r="C4" s="562"/>
      <c r="D4" s="562"/>
      <c r="E4" s="562"/>
      <c r="F4" s="563"/>
      <c r="G4" s="561"/>
      <c r="H4" s="561"/>
      <c r="I4" s="561"/>
      <c r="J4" s="117"/>
      <c r="K4" s="117"/>
      <c r="L4" s="117"/>
      <c r="M4" s="117"/>
      <c r="N4" s="117"/>
      <c r="O4" s="117"/>
      <c r="P4" s="117"/>
      <c r="Q4" s="117"/>
      <c r="R4" s="117"/>
      <c r="S4" s="117"/>
    </row>
    <row r="5" spans="1:23" ht="12.75">
      <c r="A5" s="120">
        <v>1</v>
      </c>
      <c r="B5" s="74" t="s">
        <v>1</v>
      </c>
      <c r="C5" s="74" t="s">
        <v>22</v>
      </c>
      <c r="D5" s="74" t="s">
        <v>38</v>
      </c>
      <c r="E5" s="74" t="s">
        <v>50</v>
      </c>
      <c r="F5" s="74" t="s">
        <v>51</v>
      </c>
      <c r="G5" s="74" t="s">
        <v>52</v>
      </c>
      <c r="H5" s="74" t="s">
        <v>53</v>
      </c>
      <c r="I5" s="74" t="s">
        <v>54</v>
      </c>
      <c r="J5" s="74" t="s">
        <v>55</v>
      </c>
      <c r="K5" s="74" t="s">
        <v>61</v>
      </c>
      <c r="L5" s="74" t="s">
        <v>62</v>
      </c>
      <c r="M5" s="74" t="s">
        <v>63</v>
      </c>
      <c r="N5" s="74" t="s">
        <v>64</v>
      </c>
      <c r="O5" s="74" t="s">
        <v>65</v>
      </c>
      <c r="P5" s="74" t="s">
        <v>66</v>
      </c>
      <c r="Q5" s="74" t="s">
        <v>97</v>
      </c>
      <c r="R5" s="74" t="s">
        <v>98</v>
      </c>
      <c r="S5" s="74" t="s">
        <v>99</v>
      </c>
      <c r="T5" s="74" t="s">
        <v>100</v>
      </c>
      <c r="U5" s="74" t="s">
        <v>101</v>
      </c>
      <c r="V5" s="74" t="s">
        <v>102</v>
      </c>
      <c r="W5" s="74" t="s">
        <v>103</v>
      </c>
    </row>
    <row r="6" spans="1:23" ht="11.25" customHeight="1">
      <c r="A6" s="120">
        <f>+A5+1</f>
        <v>2</v>
      </c>
      <c r="B6" s="132"/>
      <c r="C6" s="115"/>
      <c r="D6" s="115"/>
      <c r="E6" s="114"/>
      <c r="F6" s="114"/>
      <c r="G6" s="578" t="s">
        <v>96</v>
      </c>
      <c r="H6" s="116"/>
      <c r="I6" s="116"/>
      <c r="W6" s="578" t="s">
        <v>145</v>
      </c>
    </row>
    <row r="7" spans="1:23" ht="11.25" customHeight="1">
      <c r="A7" s="120">
        <f aca="true" t="shared" si="0" ref="A7:A34">+A6+1</f>
        <v>3</v>
      </c>
      <c r="B7" s="120"/>
      <c r="C7" s="578" t="s">
        <v>292</v>
      </c>
      <c r="D7" s="120"/>
      <c r="E7" s="119"/>
      <c r="F7" s="119"/>
      <c r="G7" s="578"/>
      <c r="H7" s="116"/>
      <c r="I7" s="116"/>
      <c r="K7" s="455"/>
      <c r="L7" s="455"/>
      <c r="M7" s="455"/>
      <c r="N7" s="455"/>
      <c r="O7" s="455"/>
      <c r="P7" s="455"/>
      <c r="Q7" s="455"/>
      <c r="R7" s="455"/>
      <c r="S7" s="455"/>
      <c r="T7" s="455"/>
      <c r="U7" s="455"/>
      <c r="V7" s="455"/>
      <c r="W7" s="578"/>
    </row>
    <row r="8" spans="1:23" ht="11.25" customHeight="1">
      <c r="A8" s="120">
        <f t="shared" si="0"/>
        <v>4</v>
      </c>
      <c r="B8" s="119"/>
      <c r="C8" s="578"/>
      <c r="D8" s="122" t="s">
        <v>33</v>
      </c>
      <c r="E8" s="122" t="s">
        <v>12</v>
      </c>
      <c r="F8" s="121" t="s">
        <v>79</v>
      </c>
      <c r="G8" s="578"/>
      <c r="H8" s="578" t="s">
        <v>72</v>
      </c>
      <c r="I8" s="578" t="s">
        <v>71</v>
      </c>
      <c r="J8" s="456" t="s">
        <v>95</v>
      </c>
      <c r="K8" s="455"/>
      <c r="L8" s="455"/>
      <c r="M8" s="455"/>
      <c r="N8" s="455"/>
      <c r="O8" s="455"/>
      <c r="P8" s="455"/>
      <c r="Q8" s="455"/>
      <c r="R8" s="455"/>
      <c r="S8" s="455"/>
      <c r="T8" s="455"/>
      <c r="U8" s="455"/>
      <c r="V8" s="455"/>
      <c r="W8" s="578"/>
    </row>
    <row r="9" spans="1:23" ht="11.25" customHeight="1">
      <c r="A9" s="120">
        <f t="shared" si="0"/>
        <v>5</v>
      </c>
      <c r="B9" s="123" t="s">
        <v>80</v>
      </c>
      <c r="C9" s="579"/>
      <c r="D9" s="124" t="s">
        <v>14</v>
      </c>
      <c r="E9" s="123" t="s">
        <v>81</v>
      </c>
      <c r="F9" s="123" t="s">
        <v>81</v>
      </c>
      <c r="G9" s="579"/>
      <c r="H9" s="579"/>
      <c r="I9" s="579" t="s">
        <v>71</v>
      </c>
      <c r="J9" s="483">
        <v>41029</v>
      </c>
      <c r="K9" s="483">
        <f>+J9+31</f>
        <v>41060</v>
      </c>
      <c r="L9" s="483">
        <f>+K9+30</f>
        <v>41090</v>
      </c>
      <c r="M9" s="483">
        <f>+L9+31</f>
        <v>41121</v>
      </c>
      <c r="N9" s="483">
        <f>+M9+31</f>
        <v>41152</v>
      </c>
      <c r="O9" s="483">
        <f>+N9+30</f>
        <v>41182</v>
      </c>
      <c r="P9" s="483">
        <f>+O9+31</f>
        <v>41213</v>
      </c>
      <c r="Q9" s="483">
        <f>+P9+30</f>
        <v>41243</v>
      </c>
      <c r="R9" s="483">
        <f>+Q9+31</f>
        <v>41274</v>
      </c>
      <c r="S9" s="483">
        <f>+R9+31</f>
        <v>41305</v>
      </c>
      <c r="T9" s="483">
        <f>+S9+28</f>
        <v>41333</v>
      </c>
      <c r="U9" s="483">
        <f>+T9+31</f>
        <v>41364</v>
      </c>
      <c r="V9" s="483">
        <f>+U9+30</f>
        <v>41394</v>
      </c>
      <c r="W9" s="579"/>
    </row>
    <row r="10" spans="1:23" ht="12.75">
      <c r="A10" s="120">
        <f t="shared" si="0"/>
        <v>6</v>
      </c>
      <c r="B10" s="125" t="s">
        <v>17</v>
      </c>
      <c r="C10" s="457">
        <v>3000</v>
      </c>
      <c r="D10" s="463">
        <v>0.0683</v>
      </c>
      <c r="E10" s="459">
        <v>34199</v>
      </c>
      <c r="F10" s="459">
        <f>DATE(2013,8,19)</f>
        <v>41505</v>
      </c>
      <c r="G10" s="460">
        <v>98.81392</v>
      </c>
      <c r="H10" s="234">
        <f aca="true" t="shared" si="1" ref="H10:H20">YIELD(E10,F10,D10,G10,100,2,0)</f>
        <v>0.06940532671461713</v>
      </c>
      <c r="I10" s="111">
        <f aca="true" t="shared" si="2" ref="I10:I23">+W10*H10</f>
        <v>208215.9801438514</v>
      </c>
      <c r="J10" s="461">
        <v>3000000</v>
      </c>
      <c r="K10" s="461">
        <v>3000000</v>
      </c>
      <c r="L10" s="461">
        <v>3000000</v>
      </c>
      <c r="M10" s="461">
        <v>3000000</v>
      </c>
      <c r="N10" s="461">
        <v>3000000</v>
      </c>
      <c r="O10" s="461">
        <v>3000000</v>
      </c>
      <c r="P10" s="461">
        <v>3000000</v>
      </c>
      <c r="Q10" s="461">
        <v>3000000</v>
      </c>
      <c r="R10" s="461">
        <v>3000000</v>
      </c>
      <c r="S10" s="461">
        <v>3000000</v>
      </c>
      <c r="T10" s="461">
        <v>3000000</v>
      </c>
      <c r="U10" s="461">
        <v>3000000</v>
      </c>
      <c r="V10" s="461">
        <v>3000000</v>
      </c>
      <c r="W10" s="135">
        <f aca="true" t="shared" si="3" ref="W10:W23">ROUND(((J10+V10)+(SUM(K10:U10)*2))/24,0)</f>
        <v>3000000</v>
      </c>
    </row>
    <row r="11" spans="1:23" ht="12.75">
      <c r="A11" s="120">
        <f t="shared" si="0"/>
        <v>7</v>
      </c>
      <c r="B11" s="125" t="s">
        <v>17</v>
      </c>
      <c r="C11" s="457">
        <v>10000</v>
      </c>
      <c r="D11" s="463">
        <v>0.069</v>
      </c>
      <c r="E11" s="459">
        <v>34242</v>
      </c>
      <c r="F11" s="134">
        <f>DATE(2013,10,1)</f>
        <v>41548</v>
      </c>
      <c r="G11" s="460">
        <v>98.82208</v>
      </c>
      <c r="H11" s="234">
        <f t="shared" si="1"/>
        <v>0.07010368245000385</v>
      </c>
      <c r="I11" s="111">
        <f t="shared" si="2"/>
        <v>701036.8245000385</v>
      </c>
      <c r="J11" s="461">
        <v>10000000</v>
      </c>
      <c r="K11" s="461">
        <v>10000000</v>
      </c>
      <c r="L11" s="461">
        <v>10000000</v>
      </c>
      <c r="M11" s="461">
        <v>10000000</v>
      </c>
      <c r="N11" s="461">
        <v>10000000</v>
      </c>
      <c r="O11" s="461">
        <v>10000000</v>
      </c>
      <c r="P11" s="461">
        <v>10000000</v>
      </c>
      <c r="Q11" s="461">
        <v>10000000</v>
      </c>
      <c r="R11" s="461">
        <v>10000000</v>
      </c>
      <c r="S11" s="461">
        <v>10000000</v>
      </c>
      <c r="T11" s="461">
        <v>10000000</v>
      </c>
      <c r="U11" s="461">
        <v>10000000</v>
      </c>
      <c r="V11" s="461">
        <v>10000000</v>
      </c>
      <c r="W11" s="135">
        <f t="shared" si="3"/>
        <v>10000000</v>
      </c>
    </row>
    <row r="12" spans="1:23" ht="12.75">
      <c r="A12" s="120">
        <f t="shared" si="0"/>
        <v>8</v>
      </c>
      <c r="B12" s="125" t="s">
        <v>18</v>
      </c>
      <c r="C12" s="457">
        <v>10000</v>
      </c>
      <c r="D12" s="458">
        <v>0.0735</v>
      </c>
      <c r="E12" s="459">
        <v>34953</v>
      </c>
      <c r="F12" s="134">
        <f>DATE(2015,9,11)</f>
        <v>42258</v>
      </c>
      <c r="G12" s="460">
        <v>98.84387199999999</v>
      </c>
      <c r="H12" s="234">
        <f t="shared" si="1"/>
        <v>0.07462190157240832</v>
      </c>
      <c r="I12" s="111">
        <f t="shared" si="2"/>
        <v>746219.0157240832</v>
      </c>
      <c r="J12" s="461">
        <v>10000000</v>
      </c>
      <c r="K12" s="461">
        <v>10000000</v>
      </c>
      <c r="L12" s="461">
        <v>10000000</v>
      </c>
      <c r="M12" s="461">
        <v>10000000</v>
      </c>
      <c r="N12" s="461">
        <v>10000000</v>
      </c>
      <c r="O12" s="461">
        <v>10000000</v>
      </c>
      <c r="P12" s="461">
        <v>10000000</v>
      </c>
      <c r="Q12" s="461">
        <v>10000000</v>
      </c>
      <c r="R12" s="461">
        <v>10000000</v>
      </c>
      <c r="S12" s="461">
        <v>10000000</v>
      </c>
      <c r="T12" s="461">
        <v>10000000</v>
      </c>
      <c r="U12" s="461">
        <v>10000000</v>
      </c>
      <c r="V12" s="461">
        <v>10000000</v>
      </c>
      <c r="W12" s="135">
        <f t="shared" si="3"/>
        <v>10000000</v>
      </c>
    </row>
    <row r="13" spans="1:23" ht="12.75">
      <c r="A13" s="120">
        <f t="shared" si="0"/>
        <v>9</v>
      </c>
      <c r="B13" s="125" t="s">
        <v>18</v>
      </c>
      <c r="C13" s="457">
        <v>2000</v>
      </c>
      <c r="D13" s="458">
        <v>0.0736</v>
      </c>
      <c r="E13" s="459">
        <v>34953</v>
      </c>
      <c r="F13" s="134">
        <f>DATE(2015,9,15)</f>
        <v>42262</v>
      </c>
      <c r="G13" s="460">
        <v>98.84392</v>
      </c>
      <c r="H13" s="234">
        <f t="shared" si="1"/>
        <v>0.07472099484561184</v>
      </c>
      <c r="I13" s="111">
        <f t="shared" si="2"/>
        <v>149441.9896912237</v>
      </c>
      <c r="J13" s="461">
        <v>2000000</v>
      </c>
      <c r="K13" s="461">
        <v>2000000</v>
      </c>
      <c r="L13" s="461">
        <v>2000000</v>
      </c>
      <c r="M13" s="461">
        <v>2000000</v>
      </c>
      <c r="N13" s="461">
        <v>2000000</v>
      </c>
      <c r="O13" s="461">
        <v>2000000</v>
      </c>
      <c r="P13" s="461">
        <v>2000000</v>
      </c>
      <c r="Q13" s="461">
        <v>2000000</v>
      </c>
      <c r="R13" s="461">
        <v>2000000</v>
      </c>
      <c r="S13" s="461">
        <v>2000000</v>
      </c>
      <c r="T13" s="461">
        <v>2000000</v>
      </c>
      <c r="U13" s="461">
        <v>2000000</v>
      </c>
      <c r="V13" s="461">
        <v>2000000</v>
      </c>
      <c r="W13" s="135">
        <f t="shared" si="3"/>
        <v>2000000</v>
      </c>
    </row>
    <row r="14" spans="1:23" ht="12.75">
      <c r="A14" s="120">
        <f t="shared" si="0"/>
        <v>10</v>
      </c>
      <c r="B14" s="168" t="s">
        <v>82</v>
      </c>
      <c r="C14" s="454">
        <v>150000</v>
      </c>
      <c r="D14" s="464">
        <v>0.05197</v>
      </c>
      <c r="E14" s="465">
        <v>38637</v>
      </c>
      <c r="F14" s="466">
        <v>42278</v>
      </c>
      <c r="G14" s="460">
        <v>99.19303999333334</v>
      </c>
      <c r="H14" s="234">
        <f t="shared" si="1"/>
        <v>0.05302002314824356</v>
      </c>
      <c r="I14" s="112">
        <f t="shared" si="2"/>
        <v>7953003.472236535</v>
      </c>
      <c r="J14" s="461">
        <v>150000000</v>
      </c>
      <c r="K14" s="461">
        <v>150000000</v>
      </c>
      <c r="L14" s="461">
        <v>150000000</v>
      </c>
      <c r="M14" s="461">
        <v>150000000</v>
      </c>
      <c r="N14" s="461">
        <v>150000000</v>
      </c>
      <c r="O14" s="461">
        <v>150000000</v>
      </c>
      <c r="P14" s="461">
        <v>150000000</v>
      </c>
      <c r="Q14" s="461">
        <v>150000000</v>
      </c>
      <c r="R14" s="461">
        <v>150000000</v>
      </c>
      <c r="S14" s="461">
        <v>150000000</v>
      </c>
      <c r="T14" s="461">
        <v>150000000</v>
      </c>
      <c r="U14" s="461">
        <v>150000000</v>
      </c>
      <c r="V14" s="461">
        <v>150000000</v>
      </c>
      <c r="W14" s="135">
        <f t="shared" si="3"/>
        <v>150000000</v>
      </c>
    </row>
    <row r="15" spans="1:23" ht="12.75">
      <c r="A15" s="120">
        <f t="shared" si="0"/>
        <v>11</v>
      </c>
      <c r="B15" s="168" t="s">
        <v>82</v>
      </c>
      <c r="C15" s="454">
        <v>250000</v>
      </c>
      <c r="D15" s="464">
        <v>0.0675</v>
      </c>
      <c r="E15" s="465">
        <v>39836</v>
      </c>
      <c r="F15" s="466">
        <v>42384</v>
      </c>
      <c r="G15" s="460">
        <v>99.28</v>
      </c>
      <c r="H15" s="234">
        <f t="shared" si="1"/>
        <v>0.06881223051476065</v>
      </c>
      <c r="I15" s="112">
        <f t="shared" si="2"/>
        <v>17203057.628690165</v>
      </c>
      <c r="J15" s="461">
        <v>250000000</v>
      </c>
      <c r="K15" s="461">
        <v>250000000</v>
      </c>
      <c r="L15" s="461">
        <v>250000000</v>
      </c>
      <c r="M15" s="461">
        <v>250000000</v>
      </c>
      <c r="N15" s="461">
        <v>250000000</v>
      </c>
      <c r="O15" s="461">
        <v>250000000</v>
      </c>
      <c r="P15" s="461">
        <v>250000000</v>
      </c>
      <c r="Q15" s="461">
        <v>250000000</v>
      </c>
      <c r="R15" s="461">
        <v>250000000</v>
      </c>
      <c r="S15" s="461">
        <v>250000000</v>
      </c>
      <c r="T15" s="461">
        <v>250000000</v>
      </c>
      <c r="U15" s="461">
        <v>250000000</v>
      </c>
      <c r="V15" s="461">
        <v>250000000</v>
      </c>
      <c r="W15" s="135">
        <f t="shared" si="3"/>
        <v>250000000</v>
      </c>
    </row>
    <row r="16" spans="1:23" ht="12.75">
      <c r="A16" s="120">
        <f t="shared" si="0"/>
        <v>12</v>
      </c>
      <c r="B16" s="125" t="s">
        <v>16</v>
      </c>
      <c r="C16" s="457">
        <v>200000</v>
      </c>
      <c r="D16" s="458">
        <v>0.0674</v>
      </c>
      <c r="E16" s="459">
        <v>35961</v>
      </c>
      <c r="F16" s="134">
        <v>43266</v>
      </c>
      <c r="G16" s="460">
        <v>98.98509159000001</v>
      </c>
      <c r="H16" s="234">
        <f t="shared" si="1"/>
        <v>0.06833829494775442</v>
      </c>
      <c r="I16" s="111">
        <f t="shared" si="2"/>
        <v>13667658.989550885</v>
      </c>
      <c r="J16" s="461">
        <v>200000000</v>
      </c>
      <c r="K16" s="461">
        <v>200000000</v>
      </c>
      <c r="L16" s="461">
        <v>200000000</v>
      </c>
      <c r="M16" s="461">
        <v>200000000</v>
      </c>
      <c r="N16" s="461">
        <v>200000000</v>
      </c>
      <c r="O16" s="461">
        <v>200000000</v>
      </c>
      <c r="P16" s="461">
        <v>200000000</v>
      </c>
      <c r="Q16" s="461">
        <v>200000000</v>
      </c>
      <c r="R16" s="461">
        <v>200000000</v>
      </c>
      <c r="S16" s="461">
        <v>200000000</v>
      </c>
      <c r="T16" s="461">
        <v>200000000</v>
      </c>
      <c r="U16" s="461">
        <v>200000000</v>
      </c>
      <c r="V16" s="461">
        <v>200000000</v>
      </c>
      <c r="W16" s="135">
        <f t="shared" si="3"/>
        <v>200000000</v>
      </c>
    </row>
    <row r="17" spans="1:23" ht="12.75">
      <c r="A17" s="120">
        <f>A16+1</f>
        <v>13</v>
      </c>
      <c r="B17" s="125" t="s">
        <v>18</v>
      </c>
      <c r="C17" s="457">
        <v>15000</v>
      </c>
      <c r="D17" s="458">
        <v>0.0715</v>
      </c>
      <c r="E17" s="459">
        <v>35053</v>
      </c>
      <c r="F17" s="134">
        <f>DATE(2025,12,19)</f>
        <v>46010</v>
      </c>
      <c r="G17" s="460">
        <v>99.211912</v>
      </c>
      <c r="H17" s="234">
        <f t="shared" si="1"/>
        <v>0.07214530856958903</v>
      </c>
      <c r="I17" s="111">
        <f t="shared" si="2"/>
        <v>1082179.6285438356</v>
      </c>
      <c r="J17" s="461">
        <v>15000000</v>
      </c>
      <c r="K17" s="461">
        <v>15000000</v>
      </c>
      <c r="L17" s="461">
        <v>15000000</v>
      </c>
      <c r="M17" s="461">
        <v>15000000</v>
      </c>
      <c r="N17" s="461">
        <v>15000000</v>
      </c>
      <c r="O17" s="461">
        <v>15000000</v>
      </c>
      <c r="P17" s="461">
        <v>15000000</v>
      </c>
      <c r="Q17" s="461">
        <v>15000000</v>
      </c>
      <c r="R17" s="461">
        <v>15000000</v>
      </c>
      <c r="S17" s="461">
        <v>15000000</v>
      </c>
      <c r="T17" s="461">
        <v>15000000</v>
      </c>
      <c r="U17" s="461">
        <v>15000000</v>
      </c>
      <c r="V17" s="461">
        <v>15000000</v>
      </c>
      <c r="W17" s="135">
        <f t="shared" si="3"/>
        <v>15000000</v>
      </c>
    </row>
    <row r="18" spans="1:23" ht="12.75">
      <c r="A18" s="120">
        <f t="shared" si="0"/>
        <v>14</v>
      </c>
      <c r="B18" s="125" t="s">
        <v>18</v>
      </c>
      <c r="C18" s="457">
        <v>2000</v>
      </c>
      <c r="D18" s="458">
        <v>0.072</v>
      </c>
      <c r="E18" s="459">
        <v>35054</v>
      </c>
      <c r="F18" s="134">
        <f>DATE(2025,12,22)</f>
        <v>46013</v>
      </c>
      <c r="G18" s="460">
        <v>99.2116</v>
      </c>
      <c r="H18" s="234">
        <f t="shared" si="1"/>
        <v>0.0726487556743172</v>
      </c>
      <c r="I18" s="111">
        <f t="shared" si="2"/>
        <v>145297.51134863438</v>
      </c>
      <c r="J18" s="461">
        <v>2000000</v>
      </c>
      <c r="K18" s="461">
        <v>2000000</v>
      </c>
      <c r="L18" s="461">
        <v>2000000</v>
      </c>
      <c r="M18" s="461">
        <v>2000000</v>
      </c>
      <c r="N18" s="461">
        <v>2000000</v>
      </c>
      <c r="O18" s="461">
        <v>2000000</v>
      </c>
      <c r="P18" s="461">
        <v>2000000</v>
      </c>
      <c r="Q18" s="461">
        <v>2000000</v>
      </c>
      <c r="R18" s="461">
        <v>2000000</v>
      </c>
      <c r="S18" s="461">
        <v>2000000</v>
      </c>
      <c r="T18" s="461">
        <v>2000000</v>
      </c>
      <c r="U18" s="461">
        <v>2000000</v>
      </c>
      <c r="V18" s="461">
        <v>2000000</v>
      </c>
      <c r="W18" s="135">
        <f t="shared" si="3"/>
        <v>2000000</v>
      </c>
    </row>
    <row r="19" spans="1:23" ht="12.75">
      <c r="A19" s="120">
        <f t="shared" si="0"/>
        <v>15</v>
      </c>
      <c r="B19" s="125" t="s">
        <v>16</v>
      </c>
      <c r="C19" s="457">
        <v>300000</v>
      </c>
      <c r="D19" s="458">
        <v>0.0702</v>
      </c>
      <c r="E19" s="459">
        <v>35786</v>
      </c>
      <c r="F19" s="134">
        <f>DATE(2027,12,1)</f>
        <v>46722</v>
      </c>
      <c r="G19" s="460">
        <v>98.98573577666666</v>
      </c>
      <c r="H19" s="234">
        <f t="shared" si="1"/>
        <v>0.07101693407153808</v>
      </c>
      <c r="I19" s="111">
        <f t="shared" si="2"/>
        <v>21305080.221461426</v>
      </c>
      <c r="J19" s="461">
        <v>300000000</v>
      </c>
      <c r="K19" s="461">
        <v>300000000</v>
      </c>
      <c r="L19" s="461">
        <v>300000000</v>
      </c>
      <c r="M19" s="461">
        <v>300000000</v>
      </c>
      <c r="N19" s="461">
        <v>300000000</v>
      </c>
      <c r="O19" s="461">
        <v>300000000</v>
      </c>
      <c r="P19" s="461">
        <v>300000000</v>
      </c>
      <c r="Q19" s="461">
        <v>300000000</v>
      </c>
      <c r="R19" s="461">
        <v>300000000</v>
      </c>
      <c r="S19" s="461">
        <v>300000000</v>
      </c>
      <c r="T19" s="461">
        <v>300000000</v>
      </c>
      <c r="U19" s="461">
        <v>300000000</v>
      </c>
      <c r="V19" s="461">
        <v>300000000</v>
      </c>
      <c r="W19" s="135">
        <f t="shared" si="3"/>
        <v>300000000</v>
      </c>
    </row>
    <row r="20" spans="1:23" ht="12.75">
      <c r="A20" s="120">
        <f t="shared" si="0"/>
        <v>16</v>
      </c>
      <c r="B20" s="125" t="s">
        <v>17</v>
      </c>
      <c r="C20" s="457">
        <v>100000</v>
      </c>
      <c r="D20" s="458">
        <v>0.07</v>
      </c>
      <c r="E20" s="459">
        <v>36228</v>
      </c>
      <c r="F20" s="134">
        <v>47186</v>
      </c>
      <c r="G20" s="460">
        <v>99.04287054999999</v>
      </c>
      <c r="H20" s="234">
        <f t="shared" si="1"/>
        <v>0.07077338641641306</v>
      </c>
      <c r="I20" s="111">
        <f t="shared" si="2"/>
        <v>7077338.641641307</v>
      </c>
      <c r="J20" s="461">
        <v>100000000</v>
      </c>
      <c r="K20" s="461">
        <v>100000000</v>
      </c>
      <c r="L20" s="461">
        <v>100000000</v>
      </c>
      <c r="M20" s="461">
        <v>100000000</v>
      </c>
      <c r="N20" s="461">
        <v>100000000</v>
      </c>
      <c r="O20" s="461">
        <v>100000000</v>
      </c>
      <c r="P20" s="461">
        <v>100000000</v>
      </c>
      <c r="Q20" s="461">
        <v>100000000</v>
      </c>
      <c r="R20" s="461">
        <v>100000000</v>
      </c>
      <c r="S20" s="461">
        <v>100000000</v>
      </c>
      <c r="T20" s="461">
        <v>100000000</v>
      </c>
      <c r="U20" s="461">
        <v>100000000</v>
      </c>
      <c r="V20" s="461">
        <v>100000000</v>
      </c>
      <c r="W20" s="135">
        <f t="shared" si="3"/>
        <v>100000000</v>
      </c>
    </row>
    <row r="21" spans="1:23" ht="12.75">
      <c r="A21" s="536">
        <f t="shared" si="0"/>
        <v>17</v>
      </c>
      <c r="B21" s="537" t="s">
        <v>19</v>
      </c>
      <c r="C21" s="538">
        <v>23400</v>
      </c>
      <c r="D21" s="539">
        <v>0.051</v>
      </c>
      <c r="E21" s="540">
        <v>37691</v>
      </c>
      <c r="F21" s="541">
        <v>47908</v>
      </c>
      <c r="G21" s="542">
        <v>95.54894568376068</v>
      </c>
      <c r="H21" s="543">
        <f>YIELD(E21,F21,D21,G21,100,2,0)+(54628/22358453)</f>
        <v>0.05654793210720921</v>
      </c>
      <c r="I21" s="544">
        <f t="shared" si="2"/>
        <v>1323221.6113086955</v>
      </c>
      <c r="J21" s="545">
        <v>23400000</v>
      </c>
      <c r="K21" s="545">
        <v>23400000</v>
      </c>
      <c r="L21" s="545">
        <v>23400000</v>
      </c>
      <c r="M21" s="545">
        <v>23400000</v>
      </c>
      <c r="N21" s="545">
        <v>23400000</v>
      </c>
      <c r="O21" s="545">
        <v>23400000</v>
      </c>
      <c r="P21" s="545">
        <v>23400000</v>
      </c>
      <c r="Q21" s="545">
        <v>23400000</v>
      </c>
      <c r="R21" s="545">
        <v>23400000</v>
      </c>
      <c r="S21" s="545">
        <v>23400000</v>
      </c>
      <c r="T21" s="545">
        <v>23400000</v>
      </c>
      <c r="U21" s="545">
        <v>23400000</v>
      </c>
      <c r="V21" s="545">
        <v>23400000</v>
      </c>
      <c r="W21" s="546">
        <f t="shared" si="3"/>
        <v>23400000</v>
      </c>
    </row>
    <row r="22" spans="1:23" ht="12.75">
      <c r="A22" s="547">
        <f t="shared" si="0"/>
        <v>18</v>
      </c>
      <c r="B22" s="548" t="s">
        <v>19</v>
      </c>
      <c r="C22" s="549">
        <v>138460</v>
      </c>
      <c r="D22" s="550">
        <v>0.05</v>
      </c>
      <c r="E22" s="551">
        <v>37691</v>
      </c>
      <c r="F22" s="552">
        <v>47908</v>
      </c>
      <c r="G22" s="553">
        <v>95.54894488660986</v>
      </c>
      <c r="H22" s="554">
        <f>YIELD(E22,F22,D22,G22,100,2,0)+(309557/132297070)</f>
        <v>0.05541064625190393</v>
      </c>
      <c r="I22" s="555">
        <f t="shared" si="2"/>
        <v>7672158.080038618</v>
      </c>
      <c r="J22" s="556">
        <v>138460000</v>
      </c>
      <c r="K22" s="556">
        <v>138460000</v>
      </c>
      <c r="L22" s="556">
        <v>138460000</v>
      </c>
      <c r="M22" s="556">
        <v>138460000</v>
      </c>
      <c r="N22" s="556">
        <v>138460000</v>
      </c>
      <c r="O22" s="556">
        <v>138460000</v>
      </c>
      <c r="P22" s="556">
        <v>138460000</v>
      </c>
      <c r="Q22" s="556">
        <v>138460000</v>
      </c>
      <c r="R22" s="556">
        <v>138460000</v>
      </c>
      <c r="S22" s="556">
        <v>138460000</v>
      </c>
      <c r="T22" s="556">
        <v>138460000</v>
      </c>
      <c r="U22" s="556">
        <v>138460000</v>
      </c>
      <c r="V22" s="556">
        <v>138460000</v>
      </c>
      <c r="W22" s="557">
        <f t="shared" si="3"/>
        <v>138460000</v>
      </c>
    </row>
    <row r="23" spans="1:23" ht="12.75">
      <c r="A23" s="120">
        <f t="shared" si="0"/>
        <v>19</v>
      </c>
      <c r="B23" s="168" t="s">
        <v>82</v>
      </c>
      <c r="C23" s="454">
        <v>250000</v>
      </c>
      <c r="D23" s="169">
        <v>0.05483</v>
      </c>
      <c r="E23" s="170">
        <v>38499</v>
      </c>
      <c r="F23" s="170">
        <v>49461</v>
      </c>
      <c r="G23" s="460">
        <v>84.886606836</v>
      </c>
      <c r="H23" s="234">
        <f aca="true" t="shared" si="4" ref="H23:H32">YIELD(E23,F23,D23,G23,100,2,0)</f>
        <v>0.06652406172991969</v>
      </c>
      <c r="I23" s="112">
        <f t="shared" si="2"/>
        <v>16631015.432479922</v>
      </c>
      <c r="J23" s="461">
        <v>250000000</v>
      </c>
      <c r="K23" s="461">
        <v>250000000</v>
      </c>
      <c r="L23" s="461">
        <v>250000000</v>
      </c>
      <c r="M23" s="461">
        <v>250000000</v>
      </c>
      <c r="N23" s="461">
        <v>250000000</v>
      </c>
      <c r="O23" s="461">
        <v>250000000</v>
      </c>
      <c r="P23" s="461">
        <v>250000000</v>
      </c>
      <c r="Q23" s="461">
        <v>250000000</v>
      </c>
      <c r="R23" s="461">
        <v>250000000</v>
      </c>
      <c r="S23" s="461">
        <v>250000000</v>
      </c>
      <c r="T23" s="461">
        <v>250000000</v>
      </c>
      <c r="U23" s="461">
        <v>250000000</v>
      </c>
      <c r="V23" s="461">
        <v>250000000</v>
      </c>
      <c r="W23" s="135">
        <f t="shared" si="3"/>
        <v>250000000</v>
      </c>
    </row>
    <row r="24" spans="1:23" ht="12.75">
      <c r="A24" s="120">
        <f t="shared" si="0"/>
        <v>20</v>
      </c>
      <c r="B24" s="168" t="s">
        <v>82</v>
      </c>
      <c r="C24" s="454">
        <v>250000</v>
      </c>
      <c r="D24" s="169">
        <v>0.06724</v>
      </c>
      <c r="E24" s="170">
        <v>38898</v>
      </c>
      <c r="F24" s="170">
        <v>49841</v>
      </c>
      <c r="G24" s="460">
        <v>107.515271756</v>
      </c>
      <c r="H24" s="234">
        <f t="shared" si="4"/>
        <v>0.06170394212842038</v>
      </c>
      <c r="I24" s="112">
        <f aca="true" t="shared" si="5" ref="I24:I30">+W24*H24</f>
        <v>15425985.532105096</v>
      </c>
      <c r="J24" s="461">
        <v>250000000</v>
      </c>
      <c r="K24" s="461">
        <v>250000000</v>
      </c>
      <c r="L24" s="461">
        <v>250000000</v>
      </c>
      <c r="M24" s="461">
        <v>250000000</v>
      </c>
      <c r="N24" s="461">
        <v>250000000</v>
      </c>
      <c r="O24" s="461">
        <v>250000000</v>
      </c>
      <c r="P24" s="461">
        <v>250000000</v>
      </c>
      <c r="Q24" s="461">
        <v>250000000</v>
      </c>
      <c r="R24" s="461">
        <v>250000000</v>
      </c>
      <c r="S24" s="461">
        <v>250000000</v>
      </c>
      <c r="T24" s="461">
        <v>250000000</v>
      </c>
      <c r="U24" s="461">
        <v>250000000</v>
      </c>
      <c r="V24" s="461">
        <v>250000000</v>
      </c>
      <c r="W24" s="135">
        <f aca="true" t="shared" si="6" ref="W24:W30">ROUND(((J24+V24)+(SUM(K24:U24)*2))/24,0)</f>
        <v>250000000</v>
      </c>
    </row>
    <row r="25" spans="1:23" ht="12.75">
      <c r="A25" s="120">
        <f t="shared" si="0"/>
        <v>21</v>
      </c>
      <c r="B25" s="168" t="s">
        <v>82</v>
      </c>
      <c r="C25" s="454">
        <v>300000</v>
      </c>
      <c r="D25" s="169">
        <v>0.06274</v>
      </c>
      <c r="E25" s="170">
        <v>38978</v>
      </c>
      <c r="F25" s="170">
        <v>50114</v>
      </c>
      <c r="G25" s="460">
        <v>98.81017431</v>
      </c>
      <c r="H25" s="234">
        <f t="shared" si="4"/>
        <v>0.06362807223047615</v>
      </c>
      <c r="I25" s="112">
        <f t="shared" si="5"/>
        <v>19088421.669142842</v>
      </c>
      <c r="J25" s="461">
        <v>300000000</v>
      </c>
      <c r="K25" s="461">
        <v>300000000</v>
      </c>
      <c r="L25" s="461">
        <v>300000000</v>
      </c>
      <c r="M25" s="461">
        <v>300000000</v>
      </c>
      <c r="N25" s="461">
        <v>300000000</v>
      </c>
      <c r="O25" s="461">
        <v>300000000</v>
      </c>
      <c r="P25" s="461">
        <v>300000000</v>
      </c>
      <c r="Q25" s="461">
        <v>300000000</v>
      </c>
      <c r="R25" s="461">
        <v>300000000</v>
      </c>
      <c r="S25" s="461">
        <v>300000000</v>
      </c>
      <c r="T25" s="461">
        <v>300000000</v>
      </c>
      <c r="U25" s="461">
        <v>300000000</v>
      </c>
      <c r="V25" s="461">
        <v>300000000</v>
      </c>
      <c r="W25" s="135">
        <f t="shared" si="6"/>
        <v>300000000</v>
      </c>
    </row>
    <row r="26" spans="1:23" ht="12.75">
      <c r="A26" s="120">
        <f t="shared" si="0"/>
        <v>22</v>
      </c>
      <c r="B26" s="168" t="s">
        <v>82</v>
      </c>
      <c r="C26" s="454">
        <v>350000</v>
      </c>
      <c r="D26" s="467">
        <v>0.05757</v>
      </c>
      <c r="E26" s="468">
        <v>40067</v>
      </c>
      <c r="F26" s="468">
        <v>51058</v>
      </c>
      <c r="G26" s="469">
        <v>98.9837</v>
      </c>
      <c r="H26" s="142">
        <f t="shared" si="4"/>
        <v>0.05828565551047507</v>
      </c>
      <c r="I26" s="211">
        <f t="shared" si="5"/>
        <v>20399979.428666275</v>
      </c>
      <c r="J26" s="462">
        <v>350000000</v>
      </c>
      <c r="K26" s="462">
        <v>350000000</v>
      </c>
      <c r="L26" s="462">
        <v>350000000</v>
      </c>
      <c r="M26" s="462">
        <v>350000000</v>
      </c>
      <c r="N26" s="462">
        <v>350000000</v>
      </c>
      <c r="O26" s="462">
        <v>350000000</v>
      </c>
      <c r="P26" s="462">
        <v>350000000</v>
      </c>
      <c r="Q26" s="462">
        <v>350000000</v>
      </c>
      <c r="R26" s="462">
        <v>350000000</v>
      </c>
      <c r="S26" s="462">
        <v>350000000</v>
      </c>
      <c r="T26" s="462">
        <v>350000000</v>
      </c>
      <c r="U26" s="462">
        <v>350000000</v>
      </c>
      <c r="V26" s="462">
        <v>350000000</v>
      </c>
      <c r="W26" s="440">
        <f t="shared" si="6"/>
        <v>350000000</v>
      </c>
    </row>
    <row r="27" spans="1:23" ht="12.75">
      <c r="A27" s="120">
        <f t="shared" si="0"/>
        <v>23</v>
      </c>
      <c r="B27" s="168" t="s">
        <v>82</v>
      </c>
      <c r="C27" s="454">
        <v>325000</v>
      </c>
      <c r="D27" s="467">
        <v>0.05795</v>
      </c>
      <c r="E27" s="477">
        <v>40245</v>
      </c>
      <c r="F27" s="477">
        <v>51210</v>
      </c>
      <c r="G27" s="469">
        <v>98.96</v>
      </c>
      <c r="H27" s="142">
        <f t="shared" si="4"/>
        <v>0.05868974934036638</v>
      </c>
      <c r="I27" s="211">
        <f t="shared" si="5"/>
        <v>19074168.535619073</v>
      </c>
      <c r="J27" s="462">
        <v>325000000</v>
      </c>
      <c r="K27" s="462">
        <v>325000000</v>
      </c>
      <c r="L27" s="462">
        <v>325000000</v>
      </c>
      <c r="M27" s="462">
        <v>325000000</v>
      </c>
      <c r="N27" s="462">
        <v>325000000</v>
      </c>
      <c r="O27" s="462">
        <v>325000000</v>
      </c>
      <c r="P27" s="462">
        <v>325000000</v>
      </c>
      <c r="Q27" s="462">
        <v>325000000</v>
      </c>
      <c r="R27" s="462">
        <v>325000000</v>
      </c>
      <c r="S27" s="462">
        <v>325000000</v>
      </c>
      <c r="T27" s="462">
        <v>325000000</v>
      </c>
      <c r="U27" s="462">
        <v>325000000</v>
      </c>
      <c r="V27" s="462">
        <v>325000000</v>
      </c>
      <c r="W27" s="440">
        <f t="shared" si="6"/>
        <v>325000000</v>
      </c>
    </row>
    <row r="28" spans="1:23" ht="12.75">
      <c r="A28" s="120">
        <f t="shared" si="0"/>
        <v>24</v>
      </c>
      <c r="B28" s="485" t="s">
        <v>82</v>
      </c>
      <c r="C28" s="454">
        <v>250000</v>
      </c>
      <c r="D28" s="467">
        <f>6.86%-1.096%</f>
        <v>0.05764000000000001</v>
      </c>
      <c r="E28" s="468">
        <v>40358</v>
      </c>
      <c r="F28" s="468">
        <v>51332</v>
      </c>
      <c r="G28" s="469">
        <v>98.97</v>
      </c>
      <c r="H28" s="142">
        <f t="shared" si="4"/>
        <v>0.0583685831133215</v>
      </c>
      <c r="I28" s="211">
        <f t="shared" si="5"/>
        <v>14592145.778330375</v>
      </c>
      <c r="J28" s="461">
        <v>250000000</v>
      </c>
      <c r="K28" s="461">
        <v>250000000</v>
      </c>
      <c r="L28" s="461">
        <v>250000000</v>
      </c>
      <c r="M28" s="461">
        <v>250000000</v>
      </c>
      <c r="N28" s="461">
        <v>250000000</v>
      </c>
      <c r="O28" s="461">
        <v>250000000</v>
      </c>
      <c r="P28" s="461">
        <v>250000000</v>
      </c>
      <c r="Q28" s="461">
        <v>250000000</v>
      </c>
      <c r="R28" s="461">
        <v>250000000</v>
      </c>
      <c r="S28" s="461">
        <v>250000000</v>
      </c>
      <c r="T28" s="461">
        <v>250000000</v>
      </c>
      <c r="U28" s="461">
        <v>250000000</v>
      </c>
      <c r="V28" s="461">
        <v>250000000</v>
      </c>
      <c r="W28" s="440">
        <f t="shared" si="6"/>
        <v>250000000</v>
      </c>
    </row>
    <row r="29" spans="1:23" ht="12.75">
      <c r="A29" s="120">
        <f t="shared" si="0"/>
        <v>25</v>
      </c>
      <c r="B29" s="485" t="s">
        <v>82</v>
      </c>
      <c r="C29" s="454">
        <v>300000</v>
      </c>
      <c r="D29" s="486">
        <v>0.05638</v>
      </c>
      <c r="E29" s="487">
        <v>40627</v>
      </c>
      <c r="F29" s="488">
        <v>51606</v>
      </c>
      <c r="G29" s="469">
        <v>98.945</v>
      </c>
      <c r="H29" s="142">
        <f t="shared" si="4"/>
        <v>0.057115729191407956</v>
      </c>
      <c r="I29" s="211">
        <f t="shared" si="5"/>
        <v>17134718.757422388</v>
      </c>
      <c r="J29" s="461">
        <v>300000000</v>
      </c>
      <c r="K29" s="461">
        <v>300000000</v>
      </c>
      <c r="L29" s="461">
        <v>300000000</v>
      </c>
      <c r="M29" s="461">
        <v>300000000</v>
      </c>
      <c r="N29" s="461">
        <v>300000000</v>
      </c>
      <c r="O29" s="461">
        <v>300000000</v>
      </c>
      <c r="P29" s="461">
        <v>300000000</v>
      </c>
      <c r="Q29" s="461">
        <v>300000000</v>
      </c>
      <c r="R29" s="461">
        <v>300000000</v>
      </c>
      <c r="S29" s="461">
        <v>300000000</v>
      </c>
      <c r="T29" s="461">
        <v>300000000</v>
      </c>
      <c r="U29" s="461">
        <v>300000000</v>
      </c>
      <c r="V29" s="461">
        <v>300000000</v>
      </c>
      <c r="W29" s="440">
        <f t="shared" si="6"/>
        <v>300000000</v>
      </c>
    </row>
    <row r="30" spans="1:23" ht="12.75">
      <c r="A30" s="120">
        <f t="shared" si="0"/>
        <v>26</v>
      </c>
      <c r="B30" s="168" t="s">
        <v>146</v>
      </c>
      <c r="C30" s="454">
        <v>250000</v>
      </c>
      <c r="D30" s="169">
        <v>0.06974</v>
      </c>
      <c r="E30" s="170">
        <v>39237</v>
      </c>
      <c r="F30" s="170">
        <v>42887</v>
      </c>
      <c r="G30" s="460">
        <v>98.2268</v>
      </c>
      <c r="H30" s="234">
        <f t="shared" si="4"/>
        <v>0.07226088639342501</v>
      </c>
      <c r="I30" s="112">
        <f t="shared" si="5"/>
        <v>18065221.598356254</v>
      </c>
      <c r="J30" s="461">
        <v>250000000</v>
      </c>
      <c r="K30" s="461">
        <v>250000000</v>
      </c>
      <c r="L30" s="461">
        <v>250000000</v>
      </c>
      <c r="M30" s="461">
        <v>250000000</v>
      </c>
      <c r="N30" s="461">
        <v>250000000</v>
      </c>
      <c r="O30" s="461">
        <v>250000000</v>
      </c>
      <c r="P30" s="461">
        <v>250000000</v>
      </c>
      <c r="Q30" s="461">
        <v>250000000</v>
      </c>
      <c r="R30" s="461">
        <v>250000000</v>
      </c>
      <c r="S30" s="461">
        <v>250000000</v>
      </c>
      <c r="T30" s="461">
        <v>250000000</v>
      </c>
      <c r="U30" s="461">
        <v>250000000</v>
      </c>
      <c r="V30" s="461">
        <v>250000000</v>
      </c>
      <c r="W30" s="135">
        <f t="shared" si="6"/>
        <v>250000000</v>
      </c>
    </row>
    <row r="31" spans="1:23" ht="12.75">
      <c r="A31" s="120">
        <f t="shared" si="0"/>
        <v>27</v>
      </c>
      <c r="B31" s="531" t="s">
        <v>82</v>
      </c>
      <c r="C31" s="454">
        <v>250000</v>
      </c>
      <c r="D31" s="467">
        <v>0.04434</v>
      </c>
      <c r="E31" s="468">
        <v>40862</v>
      </c>
      <c r="F31" s="468">
        <v>51820</v>
      </c>
      <c r="G31" s="469">
        <v>98.96</v>
      </c>
      <c r="H31" s="142">
        <f t="shared" si="4"/>
        <v>0.04497494795779782</v>
      </c>
      <c r="I31" s="211">
        <f>+W31*H31</f>
        <v>11243736.989449454</v>
      </c>
      <c r="J31" s="462">
        <v>250000000</v>
      </c>
      <c r="K31" s="462">
        <v>250000000</v>
      </c>
      <c r="L31" s="462">
        <v>250000000</v>
      </c>
      <c r="M31" s="462">
        <v>250000000</v>
      </c>
      <c r="N31" s="462">
        <v>250000000</v>
      </c>
      <c r="O31" s="462">
        <v>250000000</v>
      </c>
      <c r="P31" s="462">
        <v>250000000</v>
      </c>
      <c r="Q31" s="462">
        <v>250000000</v>
      </c>
      <c r="R31" s="462">
        <v>250000000</v>
      </c>
      <c r="S31" s="462">
        <v>250000000</v>
      </c>
      <c r="T31" s="462">
        <v>250000000</v>
      </c>
      <c r="U31" s="462">
        <v>250000000</v>
      </c>
      <c r="V31" s="462">
        <v>250000000</v>
      </c>
      <c r="W31" s="440">
        <f>ROUND(((J31+V31)+(SUM(K31:U31)*2))/24,0)</f>
        <v>250000000</v>
      </c>
    </row>
    <row r="32" spans="1:23" ht="12.75">
      <c r="A32" s="120">
        <f t="shared" si="0"/>
        <v>28</v>
      </c>
      <c r="B32" s="531" t="s">
        <v>82</v>
      </c>
      <c r="C32" s="454">
        <v>45000</v>
      </c>
      <c r="D32" s="467">
        <v>0.047</v>
      </c>
      <c r="E32" s="468">
        <v>40869</v>
      </c>
      <c r="F32" s="468">
        <v>55472</v>
      </c>
      <c r="G32" s="469">
        <f>100-1.5</f>
        <v>98.5</v>
      </c>
      <c r="H32" s="142">
        <f t="shared" si="4"/>
        <v>0.047844751292528805</v>
      </c>
      <c r="I32" s="211">
        <f>+W32*H32</f>
        <v>2153013.808163796</v>
      </c>
      <c r="J32" s="462">
        <v>45000000</v>
      </c>
      <c r="K32" s="462">
        <v>45000000</v>
      </c>
      <c r="L32" s="462">
        <v>45000000</v>
      </c>
      <c r="M32" s="462">
        <v>45000000</v>
      </c>
      <c r="N32" s="462">
        <v>45000000</v>
      </c>
      <c r="O32" s="462">
        <v>45000000</v>
      </c>
      <c r="P32" s="462">
        <v>45000000</v>
      </c>
      <c r="Q32" s="462">
        <v>45000000</v>
      </c>
      <c r="R32" s="462">
        <v>45000000</v>
      </c>
      <c r="S32" s="462">
        <v>45000000</v>
      </c>
      <c r="T32" s="462">
        <v>45000000</v>
      </c>
      <c r="U32" s="462">
        <v>45000000</v>
      </c>
      <c r="V32" s="462">
        <v>45000000</v>
      </c>
      <c r="W32" s="530">
        <f>ROUND(((J32+V32)+(SUM(K32:U32)*2))/24,0)</f>
        <v>45000000</v>
      </c>
    </row>
    <row r="33" spans="1:23" ht="12.75">
      <c r="A33" s="120">
        <f t="shared" si="0"/>
        <v>29</v>
      </c>
      <c r="C33" s="470"/>
      <c r="E33" s="133"/>
      <c r="G33" s="271" t="s">
        <v>148</v>
      </c>
      <c r="H33" s="471"/>
      <c r="I33" s="211">
        <f>' Reacquired Debt'!K26</f>
        <v>1586065.51</v>
      </c>
      <c r="J33" s="472"/>
      <c r="K33" s="472"/>
      <c r="L33" s="472"/>
      <c r="M33" s="473"/>
      <c r="N33" s="472"/>
      <c r="P33" s="117"/>
      <c r="Q33" s="117"/>
      <c r="R33" s="117"/>
      <c r="S33" s="117"/>
      <c r="T33" s="117"/>
      <c r="U33" s="117"/>
      <c r="V33" s="117"/>
      <c r="W33" s="135"/>
    </row>
    <row r="34" spans="1:26" ht="13.5" thickBot="1">
      <c r="A34" s="120">
        <f t="shared" si="0"/>
        <v>30</v>
      </c>
      <c r="B34" s="527" t="s">
        <v>301</v>
      </c>
      <c r="C34" s="273"/>
      <c r="D34" s="120"/>
      <c r="E34" s="134"/>
      <c r="F34" s="134"/>
      <c r="G34" s="192" t="s">
        <v>135</v>
      </c>
      <c r="H34" s="558">
        <f>+I34/W34</f>
        <v>0.06217198906017042</v>
      </c>
      <c r="I34" s="391">
        <f aca="true" t="shared" si="7" ref="I34:W34">SUM(I10:I33)</f>
        <v>234628382.63461474</v>
      </c>
      <c r="J34" s="474">
        <f t="shared" si="7"/>
        <v>3773860000</v>
      </c>
      <c r="K34" s="474">
        <f t="shared" si="7"/>
        <v>3773860000</v>
      </c>
      <c r="L34" s="474">
        <f t="shared" si="7"/>
        <v>3773860000</v>
      </c>
      <c r="M34" s="474">
        <f t="shared" si="7"/>
        <v>3773860000</v>
      </c>
      <c r="N34" s="474">
        <f t="shared" si="7"/>
        <v>3773860000</v>
      </c>
      <c r="O34" s="474">
        <f t="shared" si="7"/>
        <v>3773860000</v>
      </c>
      <c r="P34" s="475">
        <f t="shared" si="7"/>
        <v>3773860000</v>
      </c>
      <c r="Q34" s="475">
        <f t="shared" si="7"/>
        <v>3773860000</v>
      </c>
      <c r="R34" s="475">
        <f t="shared" si="7"/>
        <v>3773860000</v>
      </c>
      <c r="S34" s="475">
        <f t="shared" si="7"/>
        <v>3773860000</v>
      </c>
      <c r="T34" s="475">
        <f t="shared" si="7"/>
        <v>3773860000</v>
      </c>
      <c r="U34" s="475">
        <f t="shared" si="7"/>
        <v>3773860000</v>
      </c>
      <c r="V34" s="475">
        <f t="shared" si="7"/>
        <v>3773860000</v>
      </c>
      <c r="W34" s="441">
        <f t="shared" si="7"/>
        <v>3773860000</v>
      </c>
      <c r="Z34" s="272"/>
    </row>
    <row r="35" spans="2:26" ht="13.5" thickTop="1">
      <c r="B35" s="120"/>
      <c r="C35" s="126"/>
      <c r="D35" s="120"/>
      <c r="E35" s="134"/>
      <c r="F35" s="134"/>
      <c r="G35" s="127"/>
      <c r="H35" s="481"/>
      <c r="I35" s="482"/>
      <c r="J35" s="476"/>
      <c r="K35" s="476"/>
      <c r="L35" s="476"/>
      <c r="M35" s="476"/>
      <c r="N35" s="476"/>
      <c r="O35" s="476"/>
      <c r="P35" s="476"/>
      <c r="Q35" s="476"/>
      <c r="R35" s="476"/>
      <c r="S35" s="476"/>
      <c r="T35" s="476"/>
      <c r="U35" s="476"/>
      <c r="V35" s="476"/>
      <c r="W35" s="451"/>
      <c r="Z35" s="272"/>
    </row>
    <row r="36" spans="1:23" ht="12.75">
      <c r="A36" s="144" t="s">
        <v>273</v>
      </c>
      <c r="C36" s="117"/>
      <c r="J36" s="497"/>
      <c r="K36" s="497"/>
      <c r="L36" s="497"/>
      <c r="M36" s="497"/>
      <c r="N36" s="497"/>
      <c r="O36" s="497"/>
      <c r="P36" s="497"/>
      <c r="Q36" s="497"/>
      <c r="R36" s="497"/>
      <c r="S36" s="497"/>
      <c r="T36" s="497"/>
      <c r="U36" s="497"/>
      <c r="V36" s="497"/>
      <c r="W36" s="299"/>
    </row>
    <row r="37" spans="1:23" ht="12.75">
      <c r="A37" s="144" t="s">
        <v>147</v>
      </c>
      <c r="C37" s="117"/>
      <c r="J37" s="517"/>
      <c r="K37" s="518"/>
      <c r="L37" s="518"/>
      <c r="M37" s="518"/>
      <c r="N37" s="518"/>
      <c r="O37" s="518"/>
      <c r="P37" s="518"/>
      <c r="Q37" s="518"/>
      <c r="R37" s="518"/>
      <c r="S37" s="518"/>
      <c r="T37" s="518"/>
      <c r="U37" s="518"/>
      <c r="V37" s="518"/>
      <c r="W37" s="519"/>
    </row>
    <row r="38" spans="1:23" ht="12.75">
      <c r="A38" s="144" t="s">
        <v>108</v>
      </c>
      <c r="C38" s="117"/>
      <c r="J38" s="517"/>
      <c r="K38" s="520"/>
      <c r="L38" s="520"/>
      <c r="M38" s="520"/>
      <c r="N38" s="520"/>
      <c r="O38" s="520"/>
      <c r="P38" s="520"/>
      <c r="Q38" s="520"/>
      <c r="R38" s="520"/>
      <c r="S38" s="520"/>
      <c r="T38" s="520"/>
      <c r="U38" s="520"/>
      <c r="V38" s="521"/>
      <c r="W38" s="520"/>
    </row>
    <row r="39" spans="1:22" ht="12.75">
      <c r="A39" s="191" t="s">
        <v>293</v>
      </c>
      <c r="V39" s="135"/>
    </row>
    <row r="40" spans="2:22" ht="15.75" customHeight="1">
      <c r="B40" s="203"/>
      <c r="I40" s="484"/>
      <c r="V40" s="135"/>
    </row>
    <row r="41" spans="7:23" ht="12.75">
      <c r="G41" s="173"/>
      <c r="H41" s="171"/>
      <c r="I41" s="484"/>
      <c r="W41" s="400"/>
    </row>
    <row r="43" spans="7:8" ht="12.75">
      <c r="G43" s="173"/>
      <c r="H43" s="171"/>
    </row>
    <row r="44" spans="8:9" ht="12.75">
      <c r="H44" s="171"/>
      <c r="I44" s="309"/>
    </row>
    <row r="45" spans="8:9" ht="12.75">
      <c r="H45" s="171"/>
      <c r="I45" s="309"/>
    </row>
    <row r="46" ht="12.75">
      <c r="H46" s="171"/>
    </row>
    <row r="47" ht="12.75">
      <c r="H47" s="171"/>
    </row>
  </sheetData>
  <sheetProtection/>
  <mergeCells count="8">
    <mergeCell ref="C7:C9"/>
    <mergeCell ref="W6:W9"/>
    <mergeCell ref="H8:H9"/>
    <mergeCell ref="I8:I9"/>
    <mergeCell ref="G6:G9"/>
    <mergeCell ref="A1:W1"/>
    <mergeCell ref="A2:W2"/>
    <mergeCell ref="A3:W3"/>
  </mergeCells>
  <printOptions horizontalCentered="1" verticalCentered="1"/>
  <pageMargins left="0.28" right="0.25" top="0.61" bottom="0.77" header="0.27" footer="0.27"/>
  <pageSetup horizontalDpi="600" verticalDpi="600" orientation="landscape" scale="93" r:id="rId1"/>
</worksheet>
</file>

<file path=xl/worksheets/sheet8.xml><?xml version="1.0" encoding="utf-8"?>
<worksheet xmlns="http://schemas.openxmlformats.org/spreadsheetml/2006/main" xmlns:r="http://schemas.openxmlformats.org/officeDocument/2006/relationships">
  <dimension ref="A1:Z61"/>
  <sheetViews>
    <sheetView zoomScaleSheetLayoutView="100" zoomScalePageLayoutView="0" workbookViewId="0" topLeftCell="A1">
      <pane xSplit="4" ySplit="9" topLeftCell="E10" activePane="bottomRight" state="frozen"/>
      <selection pane="topLeft" activeCell="E18" sqref="E18"/>
      <selection pane="topRight" activeCell="E18" sqref="E18"/>
      <selection pane="bottomLeft" activeCell="E18" sqref="E18"/>
      <selection pane="bottomRight" activeCell="I5" sqref="I5"/>
    </sheetView>
  </sheetViews>
  <sheetFormatPr defaultColWidth="9.140625" defaultRowHeight="12"/>
  <cols>
    <col min="1" max="1" width="3.7109375" style="116" customWidth="1"/>
    <col min="2" max="2" width="8.8515625" style="116" customWidth="1"/>
    <col min="3" max="3" width="9.7109375" style="116" customWidth="1"/>
    <col min="4" max="4" width="7.00390625" style="116" customWidth="1"/>
    <col min="5" max="5" width="6.140625" style="118" customWidth="1"/>
    <col min="6" max="6" width="7.421875" style="118" customWidth="1"/>
    <col min="7" max="7" width="8.421875" style="118" customWidth="1"/>
    <col min="8" max="8" width="7.421875" style="118" customWidth="1"/>
    <col min="9" max="9" width="9.8515625" style="118" customWidth="1"/>
    <col min="10" max="10" width="5.8515625" style="116" customWidth="1"/>
    <col min="11" max="12" width="5.7109375" style="116" customWidth="1"/>
    <col min="13" max="14" width="5.8515625" style="116" customWidth="1"/>
    <col min="15" max="15" width="5.7109375" style="116" customWidth="1"/>
    <col min="16" max="18" width="6.140625" style="116" customWidth="1"/>
    <col min="19" max="22" width="5.7109375" style="116" customWidth="1"/>
    <col min="23" max="23" width="9.28125" style="116" customWidth="1"/>
    <col min="24" max="25" width="9.140625" style="116" customWidth="1"/>
    <col min="26" max="26" width="13.28125" style="116" customWidth="1"/>
    <col min="27" max="16384" width="9.140625" style="116" customWidth="1"/>
  </cols>
  <sheetData>
    <row r="1" spans="1:23" ht="12.75">
      <c r="A1" s="581" t="s">
        <v>20</v>
      </c>
      <c r="B1" s="581"/>
      <c r="C1" s="581"/>
      <c r="D1" s="581"/>
      <c r="E1" s="581"/>
      <c r="F1" s="581"/>
      <c r="G1" s="581"/>
      <c r="H1" s="581"/>
      <c r="I1" s="581"/>
      <c r="J1" s="581"/>
      <c r="K1" s="581"/>
      <c r="L1" s="581"/>
      <c r="M1" s="581"/>
      <c r="N1" s="581"/>
      <c r="O1" s="581"/>
      <c r="P1" s="581"/>
      <c r="Q1" s="581"/>
      <c r="R1" s="581"/>
      <c r="S1" s="581"/>
      <c r="T1" s="581"/>
      <c r="U1" s="581"/>
      <c r="V1" s="581"/>
      <c r="W1" s="581"/>
    </row>
    <row r="2" spans="1:23" ht="14.25" customHeight="1">
      <c r="A2" s="581" t="s">
        <v>332</v>
      </c>
      <c r="B2" s="581"/>
      <c r="C2" s="581"/>
      <c r="D2" s="581"/>
      <c r="E2" s="581"/>
      <c r="F2" s="581"/>
      <c r="G2" s="581"/>
      <c r="H2" s="581"/>
      <c r="I2" s="581"/>
      <c r="J2" s="581"/>
      <c r="K2" s="581"/>
      <c r="L2" s="581"/>
      <c r="M2" s="581"/>
      <c r="N2" s="581"/>
      <c r="O2" s="581"/>
      <c r="P2" s="581"/>
      <c r="Q2" s="581"/>
      <c r="R2" s="581"/>
      <c r="S2" s="581"/>
      <c r="T2" s="581"/>
      <c r="U2" s="581"/>
      <c r="V2" s="581"/>
      <c r="W2" s="581"/>
    </row>
    <row r="3" spans="1:23" ht="14.25" customHeight="1">
      <c r="A3" s="581" t="s">
        <v>319</v>
      </c>
      <c r="B3" s="581"/>
      <c r="C3" s="581"/>
      <c r="D3" s="581"/>
      <c r="E3" s="581"/>
      <c r="F3" s="581"/>
      <c r="G3" s="581"/>
      <c r="H3" s="581"/>
      <c r="I3" s="581"/>
      <c r="J3" s="581"/>
      <c r="K3" s="581"/>
      <c r="L3" s="581"/>
      <c r="M3" s="581"/>
      <c r="N3" s="581"/>
      <c r="O3" s="581"/>
      <c r="P3" s="581"/>
      <c r="Q3" s="581"/>
      <c r="R3" s="581"/>
      <c r="S3" s="581"/>
      <c r="T3" s="581"/>
      <c r="U3" s="581"/>
      <c r="V3" s="581"/>
      <c r="W3" s="581"/>
    </row>
    <row r="4" spans="2:9" ht="12.75">
      <c r="B4" s="285"/>
      <c r="C4" s="285"/>
      <c r="D4" s="285"/>
      <c r="E4" s="285"/>
      <c r="F4" s="298"/>
      <c r="G4" s="114"/>
      <c r="H4" s="114"/>
      <c r="I4" s="114"/>
    </row>
    <row r="5" spans="1:23" ht="12.75">
      <c r="A5" s="120">
        <v>1</v>
      </c>
      <c r="B5" s="74" t="s">
        <v>1</v>
      </c>
      <c r="C5" s="74" t="s">
        <v>22</v>
      </c>
      <c r="D5" s="74" t="s">
        <v>38</v>
      </c>
      <c r="E5" s="74" t="s">
        <v>50</v>
      </c>
      <c r="F5" s="74" t="s">
        <v>51</v>
      </c>
      <c r="G5" s="74" t="s">
        <v>52</v>
      </c>
      <c r="H5" s="74" t="s">
        <v>53</v>
      </c>
      <c r="I5" s="74" t="s">
        <v>54</v>
      </c>
      <c r="J5" s="74" t="s">
        <v>55</v>
      </c>
      <c r="K5" s="74" t="s">
        <v>61</v>
      </c>
      <c r="L5" s="74" t="s">
        <v>62</v>
      </c>
      <c r="M5" s="74" t="s">
        <v>63</v>
      </c>
      <c r="N5" s="74" t="s">
        <v>64</v>
      </c>
      <c r="O5" s="74" t="s">
        <v>65</v>
      </c>
      <c r="P5" s="74" t="s">
        <v>66</v>
      </c>
      <c r="Q5" s="74" t="s">
        <v>97</v>
      </c>
      <c r="R5" s="74" t="s">
        <v>98</v>
      </c>
      <c r="S5" s="74" t="s">
        <v>99</v>
      </c>
      <c r="T5" s="74" t="s">
        <v>100</v>
      </c>
      <c r="U5" s="74" t="s">
        <v>101</v>
      </c>
      <c r="V5" s="74" t="s">
        <v>102</v>
      </c>
      <c r="W5" s="74" t="s">
        <v>103</v>
      </c>
    </row>
    <row r="6" spans="1:23" ht="11.25" customHeight="1">
      <c r="A6" s="120">
        <f aca="true" t="shared" si="0" ref="A6:A33">+A5+1</f>
        <v>2</v>
      </c>
      <c r="B6" s="132"/>
      <c r="C6" s="115"/>
      <c r="D6" s="115"/>
      <c r="E6" s="114"/>
      <c r="F6" s="114"/>
      <c r="G6" s="578" t="s">
        <v>96</v>
      </c>
      <c r="H6" s="116"/>
      <c r="I6" s="116"/>
      <c r="W6" s="578" t="s">
        <v>145</v>
      </c>
    </row>
    <row r="7" spans="1:23" ht="11.25" customHeight="1">
      <c r="A7" s="120">
        <f t="shared" si="0"/>
        <v>3</v>
      </c>
      <c r="B7" s="120"/>
      <c r="C7" s="578" t="s">
        <v>292</v>
      </c>
      <c r="D7" s="120"/>
      <c r="E7" s="119"/>
      <c r="F7" s="119"/>
      <c r="G7" s="578"/>
      <c r="H7" s="116"/>
      <c r="I7" s="116"/>
      <c r="K7" s="455"/>
      <c r="L7" s="455"/>
      <c r="M7" s="455"/>
      <c r="N7" s="455"/>
      <c r="O7" s="455"/>
      <c r="P7" s="455"/>
      <c r="Q7" s="455"/>
      <c r="R7" s="455"/>
      <c r="S7" s="455"/>
      <c r="T7" s="455"/>
      <c r="U7" s="455"/>
      <c r="V7" s="455"/>
      <c r="W7" s="578"/>
    </row>
    <row r="8" spans="1:23" ht="11.25" customHeight="1">
      <c r="A8" s="120">
        <f t="shared" si="0"/>
        <v>4</v>
      </c>
      <c r="B8" s="119"/>
      <c r="C8" s="578"/>
      <c r="D8" s="122" t="s">
        <v>33</v>
      </c>
      <c r="E8" s="122" t="s">
        <v>12</v>
      </c>
      <c r="F8" s="121" t="s">
        <v>79</v>
      </c>
      <c r="G8" s="578"/>
      <c r="H8" s="578" t="s">
        <v>330</v>
      </c>
      <c r="I8" s="578" t="s">
        <v>71</v>
      </c>
      <c r="J8" s="456" t="s">
        <v>95</v>
      </c>
      <c r="K8" s="455"/>
      <c r="L8" s="455"/>
      <c r="M8" s="455"/>
      <c r="N8" s="455"/>
      <c r="O8" s="455"/>
      <c r="P8" s="455"/>
      <c r="Q8" s="455"/>
      <c r="R8" s="455"/>
      <c r="S8" s="455"/>
      <c r="T8" s="455"/>
      <c r="U8" s="455"/>
      <c r="V8" s="455"/>
      <c r="W8" s="578"/>
    </row>
    <row r="9" spans="1:23" ht="11.25" customHeight="1">
      <c r="A9" s="120">
        <f t="shared" si="0"/>
        <v>5</v>
      </c>
      <c r="B9" s="123" t="s">
        <v>80</v>
      </c>
      <c r="C9" s="579"/>
      <c r="D9" s="124" t="s">
        <v>14</v>
      </c>
      <c r="E9" s="123" t="s">
        <v>81</v>
      </c>
      <c r="F9" s="123" t="s">
        <v>81</v>
      </c>
      <c r="G9" s="579"/>
      <c r="H9" s="579"/>
      <c r="I9" s="579" t="s">
        <v>71</v>
      </c>
      <c r="J9" s="483">
        <v>41029</v>
      </c>
      <c r="K9" s="483">
        <f>+J9+31</f>
        <v>41060</v>
      </c>
      <c r="L9" s="483">
        <f>+K9+30</f>
        <v>41090</v>
      </c>
      <c r="M9" s="483">
        <f>+L9+31</f>
        <v>41121</v>
      </c>
      <c r="N9" s="483">
        <f>+M9+31</f>
        <v>41152</v>
      </c>
      <c r="O9" s="483">
        <f>+N9+30</f>
        <v>41182</v>
      </c>
      <c r="P9" s="483">
        <f>+O9+31</f>
        <v>41213</v>
      </c>
      <c r="Q9" s="483">
        <f>+P9+30</f>
        <v>41243</v>
      </c>
      <c r="R9" s="483">
        <f>+Q9+31</f>
        <v>41274</v>
      </c>
      <c r="S9" s="483">
        <f>+R9+31</f>
        <v>41305</v>
      </c>
      <c r="T9" s="483">
        <f>+S9+28</f>
        <v>41333</v>
      </c>
      <c r="U9" s="483">
        <f>+T9+31</f>
        <v>41364</v>
      </c>
      <c r="V9" s="483">
        <f>+U9+30</f>
        <v>41394</v>
      </c>
      <c r="W9" s="579"/>
    </row>
    <row r="10" spans="1:23" ht="12.75">
      <c r="A10" s="120">
        <f t="shared" si="0"/>
        <v>6</v>
      </c>
      <c r="B10" s="125" t="s">
        <v>17</v>
      </c>
      <c r="C10" s="457">
        <v>3000</v>
      </c>
      <c r="D10" s="463">
        <v>0.0683</v>
      </c>
      <c r="E10" s="459">
        <v>34199</v>
      </c>
      <c r="F10" s="459">
        <f>DATE(2013,8,19)</f>
        <v>41505</v>
      </c>
      <c r="G10" s="460">
        <v>98.81392</v>
      </c>
      <c r="H10" s="234">
        <f aca="true" t="shared" si="1" ref="H10:H32">YIELD(E10,F10,D10,G10,100,2,0)</f>
        <v>0.06940532671461713</v>
      </c>
      <c r="I10" s="111">
        <f aca="true" t="shared" si="2" ref="I10:I32">+W10*H10</f>
        <v>208215.9801438514</v>
      </c>
      <c r="J10" s="461">
        <v>3000000</v>
      </c>
      <c r="K10" s="461">
        <v>3000000</v>
      </c>
      <c r="L10" s="461">
        <v>3000000</v>
      </c>
      <c r="M10" s="461">
        <v>3000000</v>
      </c>
      <c r="N10" s="461">
        <v>3000000</v>
      </c>
      <c r="O10" s="461">
        <v>3000000</v>
      </c>
      <c r="P10" s="461">
        <v>3000000</v>
      </c>
      <c r="Q10" s="461">
        <v>3000000</v>
      </c>
      <c r="R10" s="461">
        <v>3000000</v>
      </c>
      <c r="S10" s="461">
        <v>3000000</v>
      </c>
      <c r="T10" s="461">
        <v>3000000</v>
      </c>
      <c r="U10" s="461">
        <v>3000000</v>
      </c>
      <c r="V10" s="461">
        <v>3000000</v>
      </c>
      <c r="W10" s="135">
        <f aca="true" t="shared" si="3" ref="W10:W32">ROUND(((J10+V10)+(SUM(K10:U10)*2))/24,0)</f>
        <v>3000000</v>
      </c>
    </row>
    <row r="11" spans="1:23" ht="12.75">
      <c r="A11" s="120">
        <f t="shared" si="0"/>
        <v>7</v>
      </c>
      <c r="B11" s="125" t="s">
        <v>17</v>
      </c>
      <c r="C11" s="457">
        <v>10000</v>
      </c>
      <c r="D11" s="463">
        <v>0.069</v>
      </c>
      <c r="E11" s="459">
        <v>34242</v>
      </c>
      <c r="F11" s="134">
        <f>DATE(2013,10,1)</f>
        <v>41548</v>
      </c>
      <c r="G11" s="460">
        <v>98.82208</v>
      </c>
      <c r="H11" s="234">
        <f t="shared" si="1"/>
        <v>0.07010368245000385</v>
      </c>
      <c r="I11" s="111">
        <f t="shared" si="2"/>
        <v>701036.8245000385</v>
      </c>
      <c r="J11" s="461">
        <v>10000000</v>
      </c>
      <c r="K11" s="461">
        <v>10000000</v>
      </c>
      <c r="L11" s="461">
        <v>10000000</v>
      </c>
      <c r="M11" s="461">
        <v>10000000</v>
      </c>
      <c r="N11" s="461">
        <v>10000000</v>
      </c>
      <c r="O11" s="461">
        <v>10000000</v>
      </c>
      <c r="P11" s="461">
        <v>10000000</v>
      </c>
      <c r="Q11" s="461">
        <v>10000000</v>
      </c>
      <c r="R11" s="461">
        <v>10000000</v>
      </c>
      <c r="S11" s="461">
        <v>10000000</v>
      </c>
      <c r="T11" s="461">
        <v>10000000</v>
      </c>
      <c r="U11" s="461">
        <v>10000000</v>
      </c>
      <c r="V11" s="461">
        <v>10000000</v>
      </c>
      <c r="W11" s="135">
        <f t="shared" si="3"/>
        <v>10000000</v>
      </c>
    </row>
    <row r="12" spans="1:23" ht="12.75">
      <c r="A12" s="120">
        <f t="shared" si="0"/>
        <v>8</v>
      </c>
      <c r="B12" s="125" t="s">
        <v>18</v>
      </c>
      <c r="C12" s="457">
        <v>10000</v>
      </c>
      <c r="D12" s="458">
        <v>0.0735</v>
      </c>
      <c r="E12" s="459">
        <v>34953</v>
      </c>
      <c r="F12" s="134">
        <f>DATE(2015,9,11)</f>
        <v>42258</v>
      </c>
      <c r="G12" s="460">
        <v>98.84387199999999</v>
      </c>
      <c r="H12" s="234">
        <f t="shared" si="1"/>
        <v>0.07462190157240832</v>
      </c>
      <c r="I12" s="111">
        <f t="shared" si="2"/>
        <v>746219.0157240832</v>
      </c>
      <c r="J12" s="461">
        <v>10000000</v>
      </c>
      <c r="K12" s="461">
        <v>10000000</v>
      </c>
      <c r="L12" s="461">
        <v>10000000</v>
      </c>
      <c r="M12" s="461">
        <v>10000000</v>
      </c>
      <c r="N12" s="461">
        <v>10000000</v>
      </c>
      <c r="O12" s="461">
        <v>10000000</v>
      </c>
      <c r="P12" s="461">
        <v>10000000</v>
      </c>
      <c r="Q12" s="461">
        <v>10000000</v>
      </c>
      <c r="R12" s="461">
        <v>10000000</v>
      </c>
      <c r="S12" s="461">
        <v>10000000</v>
      </c>
      <c r="T12" s="461">
        <v>10000000</v>
      </c>
      <c r="U12" s="461">
        <v>10000000</v>
      </c>
      <c r="V12" s="461">
        <v>10000000</v>
      </c>
      <c r="W12" s="135">
        <f t="shared" si="3"/>
        <v>10000000</v>
      </c>
    </row>
    <row r="13" spans="1:23" ht="12.75">
      <c r="A13" s="120">
        <f t="shared" si="0"/>
        <v>9</v>
      </c>
      <c r="B13" s="125" t="s">
        <v>18</v>
      </c>
      <c r="C13" s="457">
        <v>2000</v>
      </c>
      <c r="D13" s="458">
        <v>0.0736</v>
      </c>
      <c r="E13" s="459">
        <v>34953</v>
      </c>
      <c r="F13" s="134">
        <f>DATE(2015,9,15)</f>
        <v>42262</v>
      </c>
      <c r="G13" s="460">
        <v>98.84392</v>
      </c>
      <c r="H13" s="234">
        <f t="shared" si="1"/>
        <v>0.07472099484561184</v>
      </c>
      <c r="I13" s="111">
        <f t="shared" si="2"/>
        <v>149441.9896912237</v>
      </c>
      <c r="J13" s="461">
        <v>2000000</v>
      </c>
      <c r="K13" s="461">
        <v>2000000</v>
      </c>
      <c r="L13" s="461">
        <v>2000000</v>
      </c>
      <c r="M13" s="461">
        <v>2000000</v>
      </c>
      <c r="N13" s="461">
        <v>2000000</v>
      </c>
      <c r="O13" s="461">
        <v>2000000</v>
      </c>
      <c r="P13" s="461">
        <v>2000000</v>
      </c>
      <c r="Q13" s="461">
        <v>2000000</v>
      </c>
      <c r="R13" s="461">
        <v>2000000</v>
      </c>
      <c r="S13" s="461">
        <v>2000000</v>
      </c>
      <c r="T13" s="461">
        <v>2000000</v>
      </c>
      <c r="U13" s="461">
        <v>2000000</v>
      </c>
      <c r="V13" s="461">
        <v>2000000</v>
      </c>
      <c r="W13" s="135">
        <f t="shared" si="3"/>
        <v>2000000</v>
      </c>
    </row>
    <row r="14" spans="1:23" ht="12.75">
      <c r="A14" s="120">
        <f t="shared" si="0"/>
        <v>10</v>
      </c>
      <c r="B14" s="168" t="s">
        <v>82</v>
      </c>
      <c r="C14" s="454">
        <v>150000</v>
      </c>
      <c r="D14" s="464">
        <v>0.05197</v>
      </c>
      <c r="E14" s="465">
        <v>38637</v>
      </c>
      <c r="F14" s="466">
        <v>42278</v>
      </c>
      <c r="G14" s="460">
        <v>99.19303999333334</v>
      </c>
      <c r="H14" s="234">
        <f t="shared" si="1"/>
        <v>0.05302002314824356</v>
      </c>
      <c r="I14" s="112">
        <f t="shared" si="2"/>
        <v>7953003.472236535</v>
      </c>
      <c r="J14" s="461">
        <v>150000000</v>
      </c>
      <c r="K14" s="461">
        <v>150000000</v>
      </c>
      <c r="L14" s="461">
        <v>150000000</v>
      </c>
      <c r="M14" s="461">
        <v>150000000</v>
      </c>
      <c r="N14" s="461">
        <v>150000000</v>
      </c>
      <c r="O14" s="461">
        <v>150000000</v>
      </c>
      <c r="P14" s="461">
        <v>150000000</v>
      </c>
      <c r="Q14" s="461">
        <v>150000000</v>
      </c>
      <c r="R14" s="461">
        <v>150000000</v>
      </c>
      <c r="S14" s="461">
        <v>150000000</v>
      </c>
      <c r="T14" s="461">
        <v>150000000</v>
      </c>
      <c r="U14" s="461">
        <v>150000000</v>
      </c>
      <c r="V14" s="461">
        <v>150000000</v>
      </c>
      <c r="W14" s="135">
        <f t="shared" si="3"/>
        <v>150000000</v>
      </c>
    </row>
    <row r="15" spans="1:23" ht="12.75">
      <c r="A15" s="120">
        <f t="shared" si="0"/>
        <v>11</v>
      </c>
      <c r="B15" s="168" t="s">
        <v>82</v>
      </c>
      <c r="C15" s="454">
        <v>250000</v>
      </c>
      <c r="D15" s="464">
        <v>0.0675</v>
      </c>
      <c r="E15" s="465">
        <v>39836</v>
      </c>
      <c r="F15" s="466">
        <v>42384</v>
      </c>
      <c r="G15" s="460">
        <v>99.28</v>
      </c>
      <c r="H15" s="234">
        <f t="shared" si="1"/>
        <v>0.06881223051476065</v>
      </c>
      <c r="I15" s="112">
        <f t="shared" si="2"/>
        <v>17203057.628690165</v>
      </c>
      <c r="J15" s="461">
        <v>250000000</v>
      </c>
      <c r="K15" s="461">
        <v>250000000</v>
      </c>
      <c r="L15" s="461">
        <v>250000000</v>
      </c>
      <c r="M15" s="461">
        <v>250000000</v>
      </c>
      <c r="N15" s="461">
        <v>250000000</v>
      </c>
      <c r="O15" s="461">
        <v>250000000</v>
      </c>
      <c r="P15" s="461">
        <v>250000000</v>
      </c>
      <c r="Q15" s="461">
        <v>250000000</v>
      </c>
      <c r="R15" s="461">
        <v>250000000</v>
      </c>
      <c r="S15" s="461">
        <v>250000000</v>
      </c>
      <c r="T15" s="461">
        <v>250000000</v>
      </c>
      <c r="U15" s="461">
        <v>250000000</v>
      </c>
      <c r="V15" s="461">
        <v>250000000</v>
      </c>
      <c r="W15" s="135">
        <f t="shared" si="3"/>
        <v>250000000</v>
      </c>
    </row>
    <row r="16" spans="1:23" ht="12.75">
      <c r="A16" s="120">
        <f t="shared" si="0"/>
        <v>12</v>
      </c>
      <c r="B16" s="125" t="s">
        <v>16</v>
      </c>
      <c r="C16" s="457">
        <v>200000</v>
      </c>
      <c r="D16" s="458">
        <v>0.0674</v>
      </c>
      <c r="E16" s="459">
        <v>35961</v>
      </c>
      <c r="F16" s="134">
        <v>43266</v>
      </c>
      <c r="G16" s="460">
        <v>98.98509159000001</v>
      </c>
      <c r="H16" s="234">
        <f t="shared" si="1"/>
        <v>0.06833829494775442</v>
      </c>
      <c r="I16" s="111">
        <f t="shared" si="2"/>
        <v>13667658.989550885</v>
      </c>
      <c r="J16" s="461">
        <v>200000000</v>
      </c>
      <c r="K16" s="461">
        <v>200000000</v>
      </c>
      <c r="L16" s="461">
        <v>200000000</v>
      </c>
      <c r="M16" s="461">
        <v>200000000</v>
      </c>
      <c r="N16" s="461">
        <v>200000000</v>
      </c>
      <c r="O16" s="461">
        <v>200000000</v>
      </c>
      <c r="P16" s="461">
        <v>200000000</v>
      </c>
      <c r="Q16" s="461">
        <v>200000000</v>
      </c>
      <c r="R16" s="461">
        <v>200000000</v>
      </c>
      <c r="S16" s="461">
        <v>200000000</v>
      </c>
      <c r="T16" s="461">
        <v>200000000</v>
      </c>
      <c r="U16" s="461">
        <v>200000000</v>
      </c>
      <c r="V16" s="461">
        <v>200000000</v>
      </c>
      <c r="W16" s="135">
        <f t="shared" si="3"/>
        <v>200000000</v>
      </c>
    </row>
    <row r="17" spans="1:23" ht="12.75">
      <c r="A17" s="120">
        <f>A16+1</f>
        <v>13</v>
      </c>
      <c r="B17" s="125" t="s">
        <v>18</v>
      </c>
      <c r="C17" s="457">
        <v>15000</v>
      </c>
      <c r="D17" s="458">
        <v>0.0715</v>
      </c>
      <c r="E17" s="459">
        <v>35053</v>
      </c>
      <c r="F17" s="134">
        <f>DATE(2025,12,19)</f>
        <v>46010</v>
      </c>
      <c r="G17" s="460">
        <v>99.211912</v>
      </c>
      <c r="H17" s="234">
        <f t="shared" si="1"/>
        <v>0.07214530856958903</v>
      </c>
      <c r="I17" s="111">
        <f t="shared" si="2"/>
        <v>1082179.6285438356</v>
      </c>
      <c r="J17" s="461">
        <v>15000000</v>
      </c>
      <c r="K17" s="461">
        <v>15000000</v>
      </c>
      <c r="L17" s="461">
        <v>15000000</v>
      </c>
      <c r="M17" s="461">
        <v>15000000</v>
      </c>
      <c r="N17" s="461">
        <v>15000000</v>
      </c>
      <c r="O17" s="461">
        <v>15000000</v>
      </c>
      <c r="P17" s="461">
        <v>15000000</v>
      </c>
      <c r="Q17" s="461">
        <v>15000000</v>
      </c>
      <c r="R17" s="461">
        <v>15000000</v>
      </c>
      <c r="S17" s="461">
        <v>15000000</v>
      </c>
      <c r="T17" s="461">
        <v>15000000</v>
      </c>
      <c r="U17" s="461">
        <v>15000000</v>
      </c>
      <c r="V17" s="461">
        <v>15000000</v>
      </c>
      <c r="W17" s="135">
        <f t="shared" si="3"/>
        <v>15000000</v>
      </c>
    </row>
    <row r="18" spans="1:23" ht="12.75">
      <c r="A18" s="120">
        <f t="shared" si="0"/>
        <v>14</v>
      </c>
      <c r="B18" s="125" t="s">
        <v>18</v>
      </c>
      <c r="C18" s="457">
        <v>2000</v>
      </c>
      <c r="D18" s="458">
        <v>0.072</v>
      </c>
      <c r="E18" s="459">
        <v>35054</v>
      </c>
      <c r="F18" s="134">
        <f>DATE(2025,12,22)</f>
        <v>46013</v>
      </c>
      <c r="G18" s="460">
        <v>99.2116</v>
      </c>
      <c r="H18" s="234">
        <f t="shared" si="1"/>
        <v>0.0726487556743172</v>
      </c>
      <c r="I18" s="111">
        <f t="shared" si="2"/>
        <v>145297.51134863438</v>
      </c>
      <c r="J18" s="461">
        <v>2000000</v>
      </c>
      <c r="K18" s="461">
        <v>2000000</v>
      </c>
      <c r="L18" s="461">
        <v>2000000</v>
      </c>
      <c r="M18" s="461">
        <v>2000000</v>
      </c>
      <c r="N18" s="461">
        <v>2000000</v>
      </c>
      <c r="O18" s="461">
        <v>2000000</v>
      </c>
      <c r="P18" s="461">
        <v>2000000</v>
      </c>
      <c r="Q18" s="461">
        <v>2000000</v>
      </c>
      <c r="R18" s="461">
        <v>2000000</v>
      </c>
      <c r="S18" s="461">
        <v>2000000</v>
      </c>
      <c r="T18" s="461">
        <v>2000000</v>
      </c>
      <c r="U18" s="461">
        <v>2000000</v>
      </c>
      <c r="V18" s="461">
        <v>2000000</v>
      </c>
      <c r="W18" s="135">
        <f t="shared" si="3"/>
        <v>2000000</v>
      </c>
    </row>
    <row r="19" spans="1:23" ht="12.75">
      <c r="A19" s="120">
        <f t="shared" si="0"/>
        <v>15</v>
      </c>
      <c r="B19" s="125" t="s">
        <v>16</v>
      </c>
      <c r="C19" s="457">
        <v>300000</v>
      </c>
      <c r="D19" s="458">
        <v>0.0702</v>
      </c>
      <c r="E19" s="459">
        <v>35786</v>
      </c>
      <c r="F19" s="134">
        <f>DATE(2027,12,1)</f>
        <v>46722</v>
      </c>
      <c r="G19" s="460">
        <v>98.98573577666666</v>
      </c>
      <c r="H19" s="234">
        <f t="shared" si="1"/>
        <v>0.07101693407153808</v>
      </c>
      <c r="I19" s="111">
        <f t="shared" si="2"/>
        <v>21305080.221461426</v>
      </c>
      <c r="J19" s="461">
        <v>300000000</v>
      </c>
      <c r="K19" s="461">
        <v>300000000</v>
      </c>
      <c r="L19" s="461">
        <v>300000000</v>
      </c>
      <c r="M19" s="461">
        <v>300000000</v>
      </c>
      <c r="N19" s="461">
        <v>300000000</v>
      </c>
      <c r="O19" s="461">
        <v>300000000</v>
      </c>
      <c r="P19" s="461">
        <v>300000000</v>
      </c>
      <c r="Q19" s="461">
        <v>300000000</v>
      </c>
      <c r="R19" s="461">
        <v>300000000</v>
      </c>
      <c r="S19" s="461">
        <v>300000000</v>
      </c>
      <c r="T19" s="461">
        <v>300000000</v>
      </c>
      <c r="U19" s="461">
        <v>300000000</v>
      </c>
      <c r="V19" s="461">
        <v>300000000</v>
      </c>
      <c r="W19" s="135">
        <f t="shared" si="3"/>
        <v>300000000</v>
      </c>
    </row>
    <row r="20" spans="1:23" ht="12.75">
      <c r="A20" s="120">
        <f t="shared" si="0"/>
        <v>16</v>
      </c>
      <c r="B20" s="125" t="s">
        <v>17</v>
      </c>
      <c r="C20" s="457">
        <v>100000</v>
      </c>
      <c r="D20" s="458">
        <v>0.07</v>
      </c>
      <c r="E20" s="459">
        <v>36228</v>
      </c>
      <c r="F20" s="134">
        <v>47186</v>
      </c>
      <c r="G20" s="460">
        <v>99.04287054999999</v>
      </c>
      <c r="H20" s="234">
        <f t="shared" si="1"/>
        <v>0.07077338641641306</v>
      </c>
      <c r="I20" s="111">
        <f t="shared" si="2"/>
        <v>7077338.641641307</v>
      </c>
      <c r="J20" s="461">
        <v>100000000</v>
      </c>
      <c r="K20" s="461">
        <v>100000000</v>
      </c>
      <c r="L20" s="461">
        <v>100000000</v>
      </c>
      <c r="M20" s="461">
        <v>100000000</v>
      </c>
      <c r="N20" s="461">
        <v>100000000</v>
      </c>
      <c r="O20" s="461">
        <v>100000000</v>
      </c>
      <c r="P20" s="461">
        <v>100000000</v>
      </c>
      <c r="Q20" s="461">
        <v>100000000</v>
      </c>
      <c r="R20" s="461">
        <v>100000000</v>
      </c>
      <c r="S20" s="461">
        <v>100000000</v>
      </c>
      <c r="T20" s="461">
        <v>100000000</v>
      </c>
      <c r="U20" s="461">
        <v>100000000</v>
      </c>
      <c r="V20" s="461">
        <v>100000000</v>
      </c>
      <c r="W20" s="135">
        <f t="shared" si="3"/>
        <v>100000000</v>
      </c>
    </row>
    <row r="21" spans="1:23" ht="12.75">
      <c r="A21" s="536">
        <f t="shared" si="0"/>
        <v>17</v>
      </c>
      <c r="B21" s="537" t="s">
        <v>19</v>
      </c>
      <c r="C21" s="538">
        <v>23400</v>
      </c>
      <c r="D21" s="539">
        <v>0.04</v>
      </c>
      <c r="E21" s="540">
        <v>41423</v>
      </c>
      <c r="F21" s="541">
        <v>47908</v>
      </c>
      <c r="G21" s="542">
        <v>98.85</v>
      </c>
      <c r="H21" s="543">
        <f t="shared" si="1"/>
        <v>0.04091345804908873</v>
      </c>
      <c r="I21" s="544">
        <f t="shared" si="2"/>
        <v>957374.9183486763</v>
      </c>
      <c r="J21" s="545">
        <v>23400000</v>
      </c>
      <c r="K21" s="545">
        <v>23400000</v>
      </c>
      <c r="L21" s="545">
        <v>23400000</v>
      </c>
      <c r="M21" s="545">
        <v>23400000</v>
      </c>
      <c r="N21" s="545">
        <v>23400000</v>
      </c>
      <c r="O21" s="545">
        <v>23400000</v>
      </c>
      <c r="P21" s="545">
        <v>23400000</v>
      </c>
      <c r="Q21" s="545">
        <v>23400000</v>
      </c>
      <c r="R21" s="545">
        <v>23400000</v>
      </c>
      <c r="S21" s="545">
        <v>23400000</v>
      </c>
      <c r="T21" s="545">
        <v>23400000</v>
      </c>
      <c r="U21" s="545">
        <v>23400000</v>
      </c>
      <c r="V21" s="545">
        <v>23400000</v>
      </c>
      <c r="W21" s="546">
        <f t="shared" si="3"/>
        <v>23400000</v>
      </c>
    </row>
    <row r="22" spans="1:23" ht="12.75">
      <c r="A22" s="547">
        <f t="shared" si="0"/>
        <v>18</v>
      </c>
      <c r="B22" s="548" t="s">
        <v>19</v>
      </c>
      <c r="C22" s="549">
        <v>138460</v>
      </c>
      <c r="D22" s="550">
        <v>0.039</v>
      </c>
      <c r="E22" s="551">
        <v>41423</v>
      </c>
      <c r="F22" s="552">
        <v>47908</v>
      </c>
      <c r="G22" s="553">
        <v>98.85</v>
      </c>
      <c r="H22" s="554">
        <f t="shared" si="1"/>
        <v>0.03990639097174319</v>
      </c>
      <c r="I22" s="555">
        <f t="shared" si="2"/>
        <v>5525438.893947562</v>
      </c>
      <c r="J22" s="556">
        <v>138460000</v>
      </c>
      <c r="K22" s="556">
        <v>138460000</v>
      </c>
      <c r="L22" s="556">
        <v>138460000</v>
      </c>
      <c r="M22" s="556">
        <v>138460000</v>
      </c>
      <c r="N22" s="556">
        <v>138460000</v>
      </c>
      <c r="O22" s="556">
        <v>138460000</v>
      </c>
      <c r="P22" s="556">
        <v>138460000</v>
      </c>
      <c r="Q22" s="556">
        <v>138460000</v>
      </c>
      <c r="R22" s="556">
        <v>138460000</v>
      </c>
      <c r="S22" s="556">
        <v>138460000</v>
      </c>
      <c r="T22" s="556">
        <v>138460000</v>
      </c>
      <c r="U22" s="556">
        <v>138460000</v>
      </c>
      <c r="V22" s="556">
        <v>138460000</v>
      </c>
      <c r="W22" s="557">
        <f t="shared" si="3"/>
        <v>138460000</v>
      </c>
    </row>
    <row r="23" spans="1:23" ht="12.75">
      <c r="A23" s="120">
        <f t="shared" si="0"/>
        <v>19</v>
      </c>
      <c r="B23" s="168" t="s">
        <v>82</v>
      </c>
      <c r="C23" s="454">
        <v>250000</v>
      </c>
      <c r="D23" s="169">
        <v>0.05483</v>
      </c>
      <c r="E23" s="170">
        <v>38499</v>
      </c>
      <c r="F23" s="170">
        <v>49461</v>
      </c>
      <c r="G23" s="460">
        <v>84.886606836</v>
      </c>
      <c r="H23" s="234">
        <f t="shared" si="1"/>
        <v>0.06652406172991969</v>
      </c>
      <c r="I23" s="112">
        <f t="shared" si="2"/>
        <v>16631015.432479922</v>
      </c>
      <c r="J23" s="461">
        <v>250000000</v>
      </c>
      <c r="K23" s="461">
        <v>250000000</v>
      </c>
      <c r="L23" s="461">
        <v>250000000</v>
      </c>
      <c r="M23" s="461">
        <v>250000000</v>
      </c>
      <c r="N23" s="461">
        <v>250000000</v>
      </c>
      <c r="O23" s="461">
        <v>250000000</v>
      </c>
      <c r="P23" s="461">
        <v>250000000</v>
      </c>
      <c r="Q23" s="461">
        <v>250000000</v>
      </c>
      <c r="R23" s="461">
        <v>250000000</v>
      </c>
      <c r="S23" s="461">
        <v>250000000</v>
      </c>
      <c r="T23" s="461">
        <v>250000000</v>
      </c>
      <c r="U23" s="461">
        <v>250000000</v>
      </c>
      <c r="V23" s="461">
        <v>250000000</v>
      </c>
      <c r="W23" s="135">
        <f t="shared" si="3"/>
        <v>250000000</v>
      </c>
    </row>
    <row r="24" spans="1:23" ht="12.75">
      <c r="A24" s="120">
        <f t="shared" si="0"/>
        <v>20</v>
      </c>
      <c r="B24" s="168" t="s">
        <v>82</v>
      </c>
      <c r="C24" s="454">
        <v>250000</v>
      </c>
      <c r="D24" s="169">
        <v>0.06724</v>
      </c>
      <c r="E24" s="170">
        <v>38898</v>
      </c>
      <c r="F24" s="170">
        <v>49841</v>
      </c>
      <c r="G24" s="460">
        <v>107.515271756</v>
      </c>
      <c r="H24" s="234">
        <f t="shared" si="1"/>
        <v>0.06170394212842038</v>
      </c>
      <c r="I24" s="112">
        <f t="shared" si="2"/>
        <v>15425985.532105096</v>
      </c>
      <c r="J24" s="461">
        <v>250000000</v>
      </c>
      <c r="K24" s="461">
        <v>250000000</v>
      </c>
      <c r="L24" s="461">
        <v>250000000</v>
      </c>
      <c r="M24" s="461">
        <v>250000000</v>
      </c>
      <c r="N24" s="461">
        <v>250000000</v>
      </c>
      <c r="O24" s="461">
        <v>250000000</v>
      </c>
      <c r="P24" s="461">
        <v>250000000</v>
      </c>
      <c r="Q24" s="461">
        <v>250000000</v>
      </c>
      <c r="R24" s="461">
        <v>250000000</v>
      </c>
      <c r="S24" s="461">
        <v>250000000</v>
      </c>
      <c r="T24" s="461">
        <v>250000000</v>
      </c>
      <c r="U24" s="461">
        <v>250000000</v>
      </c>
      <c r="V24" s="461">
        <v>250000000</v>
      </c>
      <c r="W24" s="135">
        <f t="shared" si="3"/>
        <v>250000000</v>
      </c>
    </row>
    <row r="25" spans="1:23" ht="12.75">
      <c r="A25" s="120">
        <f t="shared" si="0"/>
        <v>21</v>
      </c>
      <c r="B25" s="168" t="s">
        <v>82</v>
      </c>
      <c r="C25" s="454">
        <v>300000</v>
      </c>
      <c r="D25" s="169">
        <v>0.06274</v>
      </c>
      <c r="E25" s="170">
        <v>38978</v>
      </c>
      <c r="F25" s="170">
        <v>50114</v>
      </c>
      <c r="G25" s="460">
        <v>98.81017431</v>
      </c>
      <c r="H25" s="234">
        <f t="shared" si="1"/>
        <v>0.06362807223047615</v>
      </c>
      <c r="I25" s="112">
        <f t="shared" si="2"/>
        <v>19088421.669142842</v>
      </c>
      <c r="J25" s="461">
        <v>300000000</v>
      </c>
      <c r="K25" s="461">
        <v>300000000</v>
      </c>
      <c r="L25" s="461">
        <v>300000000</v>
      </c>
      <c r="M25" s="461">
        <v>300000000</v>
      </c>
      <c r="N25" s="461">
        <v>300000000</v>
      </c>
      <c r="O25" s="461">
        <v>300000000</v>
      </c>
      <c r="P25" s="461">
        <v>300000000</v>
      </c>
      <c r="Q25" s="461">
        <v>300000000</v>
      </c>
      <c r="R25" s="461">
        <v>300000000</v>
      </c>
      <c r="S25" s="461">
        <v>300000000</v>
      </c>
      <c r="T25" s="461">
        <v>300000000</v>
      </c>
      <c r="U25" s="461">
        <v>300000000</v>
      </c>
      <c r="V25" s="461">
        <v>300000000</v>
      </c>
      <c r="W25" s="135">
        <f t="shared" si="3"/>
        <v>300000000</v>
      </c>
    </row>
    <row r="26" spans="1:23" ht="12.75">
      <c r="A26" s="120">
        <f t="shared" si="0"/>
        <v>22</v>
      </c>
      <c r="B26" s="168" t="s">
        <v>82</v>
      </c>
      <c r="C26" s="454">
        <v>350000</v>
      </c>
      <c r="D26" s="467">
        <v>0.05757</v>
      </c>
      <c r="E26" s="468">
        <v>40067</v>
      </c>
      <c r="F26" s="468">
        <v>51058</v>
      </c>
      <c r="G26" s="469">
        <v>98.9837</v>
      </c>
      <c r="H26" s="142">
        <f t="shared" si="1"/>
        <v>0.05828565551047507</v>
      </c>
      <c r="I26" s="211">
        <f t="shared" si="2"/>
        <v>20399979.428666275</v>
      </c>
      <c r="J26" s="462">
        <v>350000000</v>
      </c>
      <c r="K26" s="462">
        <v>350000000</v>
      </c>
      <c r="L26" s="462">
        <v>350000000</v>
      </c>
      <c r="M26" s="462">
        <v>350000000</v>
      </c>
      <c r="N26" s="462">
        <v>350000000</v>
      </c>
      <c r="O26" s="462">
        <v>350000000</v>
      </c>
      <c r="P26" s="462">
        <v>350000000</v>
      </c>
      <c r="Q26" s="462">
        <v>350000000</v>
      </c>
      <c r="R26" s="462">
        <v>350000000</v>
      </c>
      <c r="S26" s="462">
        <v>350000000</v>
      </c>
      <c r="T26" s="462">
        <v>350000000</v>
      </c>
      <c r="U26" s="462">
        <v>350000000</v>
      </c>
      <c r="V26" s="462">
        <v>350000000</v>
      </c>
      <c r="W26" s="440">
        <f t="shared" si="3"/>
        <v>350000000</v>
      </c>
    </row>
    <row r="27" spans="1:23" ht="12.75">
      <c r="A27" s="120">
        <f t="shared" si="0"/>
        <v>23</v>
      </c>
      <c r="B27" s="168" t="s">
        <v>82</v>
      </c>
      <c r="C27" s="454">
        <v>325000</v>
      </c>
      <c r="D27" s="467">
        <v>0.05795</v>
      </c>
      <c r="E27" s="477">
        <v>40245</v>
      </c>
      <c r="F27" s="477">
        <v>51210</v>
      </c>
      <c r="G27" s="469">
        <v>98.96</v>
      </c>
      <c r="H27" s="142">
        <f t="shared" si="1"/>
        <v>0.05868974934036638</v>
      </c>
      <c r="I27" s="211">
        <f t="shared" si="2"/>
        <v>19074168.535619073</v>
      </c>
      <c r="J27" s="462">
        <v>325000000</v>
      </c>
      <c r="K27" s="462">
        <v>325000000</v>
      </c>
      <c r="L27" s="462">
        <v>325000000</v>
      </c>
      <c r="M27" s="462">
        <v>325000000</v>
      </c>
      <c r="N27" s="462">
        <v>325000000</v>
      </c>
      <c r="O27" s="462">
        <v>325000000</v>
      </c>
      <c r="P27" s="462">
        <v>325000000</v>
      </c>
      <c r="Q27" s="462">
        <v>325000000</v>
      </c>
      <c r="R27" s="462">
        <v>325000000</v>
      </c>
      <c r="S27" s="462">
        <v>325000000</v>
      </c>
      <c r="T27" s="462">
        <v>325000000</v>
      </c>
      <c r="U27" s="462">
        <v>325000000</v>
      </c>
      <c r="V27" s="462">
        <v>325000000</v>
      </c>
      <c r="W27" s="440">
        <f t="shared" si="3"/>
        <v>325000000</v>
      </c>
    </row>
    <row r="28" spans="1:23" ht="12.75">
      <c r="A28" s="120">
        <f t="shared" si="0"/>
        <v>24</v>
      </c>
      <c r="B28" s="485" t="s">
        <v>82</v>
      </c>
      <c r="C28" s="454">
        <v>250000</v>
      </c>
      <c r="D28" s="467">
        <f>6.86%-1.096%</f>
        <v>0.05764000000000001</v>
      </c>
      <c r="E28" s="468">
        <v>40358</v>
      </c>
      <c r="F28" s="468">
        <v>51332</v>
      </c>
      <c r="G28" s="469">
        <v>98.97</v>
      </c>
      <c r="H28" s="142">
        <f t="shared" si="1"/>
        <v>0.0583685831133215</v>
      </c>
      <c r="I28" s="211">
        <f t="shared" si="2"/>
        <v>14592145.778330375</v>
      </c>
      <c r="J28" s="461">
        <v>250000000</v>
      </c>
      <c r="K28" s="461">
        <v>250000000</v>
      </c>
      <c r="L28" s="461">
        <v>250000000</v>
      </c>
      <c r="M28" s="461">
        <v>250000000</v>
      </c>
      <c r="N28" s="461">
        <v>250000000</v>
      </c>
      <c r="O28" s="461">
        <v>250000000</v>
      </c>
      <c r="P28" s="461">
        <v>250000000</v>
      </c>
      <c r="Q28" s="461">
        <v>250000000</v>
      </c>
      <c r="R28" s="461">
        <v>250000000</v>
      </c>
      <c r="S28" s="461">
        <v>250000000</v>
      </c>
      <c r="T28" s="461">
        <v>250000000</v>
      </c>
      <c r="U28" s="461">
        <v>250000000</v>
      </c>
      <c r="V28" s="461">
        <v>250000000</v>
      </c>
      <c r="W28" s="440">
        <f t="shared" si="3"/>
        <v>250000000</v>
      </c>
    </row>
    <row r="29" spans="1:23" ht="12.75">
      <c r="A29" s="120">
        <f t="shared" si="0"/>
        <v>25</v>
      </c>
      <c r="B29" s="485" t="s">
        <v>82</v>
      </c>
      <c r="C29" s="454">
        <v>300000</v>
      </c>
      <c r="D29" s="486">
        <v>0.05638</v>
      </c>
      <c r="E29" s="487">
        <v>40627</v>
      </c>
      <c r="F29" s="488">
        <v>51606</v>
      </c>
      <c r="G29" s="469">
        <v>98.945</v>
      </c>
      <c r="H29" s="142">
        <f t="shared" si="1"/>
        <v>0.057115729191407956</v>
      </c>
      <c r="I29" s="211">
        <f t="shared" si="2"/>
        <v>17134718.757422388</v>
      </c>
      <c r="J29" s="461">
        <v>300000000</v>
      </c>
      <c r="K29" s="461">
        <v>300000000</v>
      </c>
      <c r="L29" s="461">
        <v>300000000</v>
      </c>
      <c r="M29" s="461">
        <v>300000000</v>
      </c>
      <c r="N29" s="461">
        <v>300000000</v>
      </c>
      <c r="O29" s="461">
        <v>300000000</v>
      </c>
      <c r="P29" s="461">
        <v>300000000</v>
      </c>
      <c r="Q29" s="461">
        <v>300000000</v>
      </c>
      <c r="R29" s="461">
        <v>300000000</v>
      </c>
      <c r="S29" s="461">
        <v>300000000</v>
      </c>
      <c r="T29" s="461">
        <v>300000000</v>
      </c>
      <c r="U29" s="461">
        <v>300000000</v>
      </c>
      <c r="V29" s="461">
        <v>300000000</v>
      </c>
      <c r="W29" s="440">
        <f t="shared" si="3"/>
        <v>300000000</v>
      </c>
    </row>
    <row r="30" spans="1:23" ht="12.75">
      <c r="A30" s="120">
        <f t="shared" si="0"/>
        <v>26</v>
      </c>
      <c r="B30" s="168" t="s">
        <v>146</v>
      </c>
      <c r="C30" s="454">
        <v>250000</v>
      </c>
      <c r="D30" s="169">
        <v>0.06974</v>
      </c>
      <c r="E30" s="170">
        <v>39237</v>
      </c>
      <c r="F30" s="170">
        <v>42887</v>
      </c>
      <c r="G30" s="460">
        <v>98.2268</v>
      </c>
      <c r="H30" s="234">
        <f t="shared" si="1"/>
        <v>0.07226088639342501</v>
      </c>
      <c r="I30" s="112">
        <f t="shared" si="2"/>
        <v>18065221.598356254</v>
      </c>
      <c r="J30" s="461">
        <v>250000000</v>
      </c>
      <c r="K30" s="461">
        <v>250000000</v>
      </c>
      <c r="L30" s="461">
        <v>250000000</v>
      </c>
      <c r="M30" s="461">
        <v>250000000</v>
      </c>
      <c r="N30" s="461">
        <v>250000000</v>
      </c>
      <c r="O30" s="461">
        <v>250000000</v>
      </c>
      <c r="P30" s="461">
        <v>250000000</v>
      </c>
      <c r="Q30" s="461">
        <v>250000000</v>
      </c>
      <c r="R30" s="461">
        <v>250000000</v>
      </c>
      <c r="S30" s="461">
        <v>250000000</v>
      </c>
      <c r="T30" s="461">
        <v>250000000</v>
      </c>
      <c r="U30" s="461">
        <v>250000000</v>
      </c>
      <c r="V30" s="461">
        <v>250000000</v>
      </c>
      <c r="W30" s="135">
        <f t="shared" si="3"/>
        <v>250000000</v>
      </c>
    </row>
    <row r="31" spans="1:23" ht="12.75">
      <c r="A31" s="120">
        <f t="shared" si="0"/>
        <v>27</v>
      </c>
      <c r="B31" s="531" t="s">
        <v>82</v>
      </c>
      <c r="C31" s="454">
        <v>250000</v>
      </c>
      <c r="D31" s="467">
        <v>0.04434</v>
      </c>
      <c r="E31" s="468">
        <v>40862</v>
      </c>
      <c r="F31" s="468">
        <v>51820</v>
      </c>
      <c r="G31" s="469">
        <v>98.96</v>
      </c>
      <c r="H31" s="142">
        <f t="shared" si="1"/>
        <v>0.04497494795779782</v>
      </c>
      <c r="I31" s="211">
        <f t="shared" si="2"/>
        <v>11243736.989449454</v>
      </c>
      <c r="J31" s="462">
        <v>250000000</v>
      </c>
      <c r="K31" s="462">
        <v>250000000</v>
      </c>
      <c r="L31" s="462">
        <v>250000000</v>
      </c>
      <c r="M31" s="462">
        <v>250000000</v>
      </c>
      <c r="N31" s="462">
        <v>250000000</v>
      </c>
      <c r="O31" s="462">
        <v>250000000</v>
      </c>
      <c r="P31" s="462">
        <v>250000000</v>
      </c>
      <c r="Q31" s="462">
        <v>250000000</v>
      </c>
      <c r="R31" s="462">
        <v>250000000</v>
      </c>
      <c r="S31" s="462">
        <v>250000000</v>
      </c>
      <c r="T31" s="462">
        <v>250000000</v>
      </c>
      <c r="U31" s="462">
        <v>250000000</v>
      </c>
      <c r="V31" s="462">
        <v>250000000</v>
      </c>
      <c r="W31" s="440">
        <f t="shared" si="3"/>
        <v>250000000</v>
      </c>
    </row>
    <row r="32" spans="1:23" ht="12.75">
      <c r="A32" s="120">
        <f t="shared" si="0"/>
        <v>28</v>
      </c>
      <c r="B32" s="531" t="s">
        <v>82</v>
      </c>
      <c r="C32" s="454">
        <v>45000</v>
      </c>
      <c r="D32" s="467">
        <v>0.047</v>
      </c>
      <c r="E32" s="468">
        <v>40869</v>
      </c>
      <c r="F32" s="468">
        <v>55472</v>
      </c>
      <c r="G32" s="469">
        <f>100-1.5</f>
        <v>98.5</v>
      </c>
      <c r="H32" s="142">
        <f t="shared" si="1"/>
        <v>0.047844751292528805</v>
      </c>
      <c r="I32" s="211">
        <f t="shared" si="2"/>
        <v>2153013.808163796</v>
      </c>
      <c r="J32" s="462">
        <v>45000000</v>
      </c>
      <c r="K32" s="462">
        <v>45000000</v>
      </c>
      <c r="L32" s="462">
        <v>45000000</v>
      </c>
      <c r="M32" s="462">
        <v>45000000</v>
      </c>
      <c r="N32" s="462">
        <v>45000000</v>
      </c>
      <c r="O32" s="462">
        <v>45000000</v>
      </c>
      <c r="P32" s="462">
        <v>45000000</v>
      </c>
      <c r="Q32" s="462">
        <v>45000000</v>
      </c>
      <c r="R32" s="462">
        <v>45000000</v>
      </c>
      <c r="S32" s="462">
        <v>45000000</v>
      </c>
      <c r="T32" s="462">
        <v>45000000</v>
      </c>
      <c r="U32" s="462">
        <v>45000000</v>
      </c>
      <c r="V32" s="462">
        <v>45000000</v>
      </c>
      <c r="W32" s="530">
        <f t="shared" si="3"/>
        <v>45000000</v>
      </c>
    </row>
    <row r="33" spans="1:23" ht="12.75">
      <c r="A33" s="120">
        <f t="shared" si="0"/>
        <v>29</v>
      </c>
      <c r="C33" s="470"/>
      <c r="E33" s="133"/>
      <c r="G33" s="271" t="s">
        <v>331</v>
      </c>
      <c r="H33" s="471"/>
      <c r="I33" s="211">
        <v>1586065.51</v>
      </c>
      <c r="J33" s="472"/>
      <c r="K33" s="472"/>
      <c r="L33" s="472"/>
      <c r="M33" s="473"/>
      <c r="N33" s="472"/>
      <c r="P33" s="117"/>
      <c r="Q33" s="117"/>
      <c r="R33" s="117"/>
      <c r="S33" s="117"/>
      <c r="T33" s="117"/>
      <c r="U33" s="117"/>
      <c r="V33" s="117"/>
      <c r="W33" s="135"/>
    </row>
    <row r="34" spans="1:23" ht="12.75">
      <c r="A34" s="120">
        <f>+A33+1</f>
        <v>30</v>
      </c>
      <c r="C34" s="470"/>
      <c r="E34" s="133"/>
      <c r="G34" s="271" t="s">
        <v>329</v>
      </c>
      <c r="H34" s="471"/>
      <c r="I34" s="211">
        <f>I47</f>
        <v>350565.1408450704</v>
      </c>
      <c r="J34" s="472"/>
      <c r="K34" s="472"/>
      <c r="L34" s="472"/>
      <c r="M34" s="473"/>
      <c r="N34" s="472"/>
      <c r="P34" s="117"/>
      <c r="Q34" s="117"/>
      <c r="R34" s="117"/>
      <c r="S34" s="117"/>
      <c r="T34" s="117"/>
      <c r="U34" s="117"/>
      <c r="V34" s="117"/>
      <c r="W34" s="135"/>
    </row>
    <row r="35" spans="1:26" ht="13.5" thickBot="1">
      <c r="A35" s="120">
        <f>+A34+1</f>
        <v>31</v>
      </c>
      <c r="B35" s="527" t="s">
        <v>301</v>
      </c>
      <c r="C35" s="273"/>
      <c r="D35" s="120"/>
      <c r="E35" s="134"/>
      <c r="F35" s="134"/>
      <c r="G35" s="192"/>
      <c r="H35" s="558">
        <f>+I35/W35</f>
        <v>0.06159910062811252</v>
      </c>
      <c r="I35" s="391">
        <f>SUM(I10:I34)</f>
        <v>232466381.8964087</v>
      </c>
      <c r="J35" s="474">
        <f aca="true" t="shared" si="4" ref="J35:W35">SUM(J10:J33)</f>
        <v>3773860000</v>
      </c>
      <c r="K35" s="474">
        <f t="shared" si="4"/>
        <v>3773860000</v>
      </c>
      <c r="L35" s="474">
        <f t="shared" si="4"/>
        <v>3773860000</v>
      </c>
      <c r="M35" s="474">
        <f t="shared" si="4"/>
        <v>3773860000</v>
      </c>
      <c r="N35" s="474">
        <f t="shared" si="4"/>
        <v>3773860000</v>
      </c>
      <c r="O35" s="474">
        <f t="shared" si="4"/>
        <v>3773860000</v>
      </c>
      <c r="P35" s="475">
        <f t="shared" si="4"/>
        <v>3773860000</v>
      </c>
      <c r="Q35" s="475">
        <f t="shared" si="4"/>
        <v>3773860000</v>
      </c>
      <c r="R35" s="475">
        <f t="shared" si="4"/>
        <v>3773860000</v>
      </c>
      <c r="S35" s="475">
        <f t="shared" si="4"/>
        <v>3773860000</v>
      </c>
      <c r="T35" s="475">
        <f t="shared" si="4"/>
        <v>3773860000</v>
      </c>
      <c r="U35" s="475">
        <f t="shared" si="4"/>
        <v>3773860000</v>
      </c>
      <c r="V35" s="475">
        <f t="shared" si="4"/>
        <v>3773860000</v>
      </c>
      <c r="W35" s="441">
        <f t="shared" si="4"/>
        <v>3773860000</v>
      </c>
      <c r="Z35" s="272"/>
    </row>
    <row r="36" spans="1:26" ht="13.5" thickTop="1">
      <c r="A36" s="120">
        <f>+A35+1</f>
        <v>32</v>
      </c>
      <c r="B36" s="120"/>
      <c r="C36" s="126"/>
      <c r="D36" s="120"/>
      <c r="E36" s="134"/>
      <c r="F36" s="134"/>
      <c r="G36" s="127"/>
      <c r="H36" s="481"/>
      <c r="I36" s="482"/>
      <c r="J36" s="476"/>
      <c r="K36" s="476"/>
      <c r="L36" s="476"/>
      <c r="M36" s="476"/>
      <c r="N36" s="476"/>
      <c r="O36" s="476"/>
      <c r="P36" s="476"/>
      <c r="Q36" s="476"/>
      <c r="R36" s="476"/>
      <c r="S36" s="476"/>
      <c r="T36" s="476"/>
      <c r="U36" s="476"/>
      <c r="V36" s="476"/>
      <c r="W36" s="451"/>
      <c r="Z36" s="272"/>
    </row>
    <row r="37" spans="1:26" ht="12.75">
      <c r="A37" s="120">
        <f>+A36+1</f>
        <v>33</v>
      </c>
      <c r="B37" s="120"/>
      <c r="C37" s="126"/>
      <c r="D37" s="120"/>
      <c r="E37" s="134"/>
      <c r="F37" s="134"/>
      <c r="G37" s="127"/>
      <c r="H37" s="481"/>
      <c r="I37" s="482"/>
      <c r="J37" s="476"/>
      <c r="K37" s="476"/>
      <c r="L37" s="476"/>
      <c r="M37" s="476"/>
      <c r="N37" s="476"/>
      <c r="O37" s="476"/>
      <c r="P37" s="476"/>
      <c r="Q37" s="476"/>
      <c r="R37" s="476"/>
      <c r="S37" s="476"/>
      <c r="T37" s="476"/>
      <c r="U37" s="476"/>
      <c r="V37" s="476"/>
      <c r="W37" s="451"/>
      <c r="Z37" s="272"/>
    </row>
    <row r="38" spans="1:26" ht="12.75">
      <c r="A38" s="144" t="s">
        <v>273</v>
      </c>
      <c r="C38" s="126"/>
      <c r="D38" s="120"/>
      <c r="E38" s="134"/>
      <c r="F38" s="134"/>
      <c r="G38" s="127"/>
      <c r="H38" s="481"/>
      <c r="I38" s="482"/>
      <c r="J38" s="476"/>
      <c r="K38" s="476"/>
      <c r="L38" s="476"/>
      <c r="M38" s="476"/>
      <c r="N38" s="476"/>
      <c r="O38" s="476"/>
      <c r="P38" s="476"/>
      <c r="Q38" s="476"/>
      <c r="R38" s="476"/>
      <c r="S38" s="476"/>
      <c r="T38" s="476"/>
      <c r="U38" s="476"/>
      <c r="V38" s="476"/>
      <c r="W38" s="451"/>
      <c r="Z38" s="272"/>
    </row>
    <row r="39" spans="1:26" ht="12.75">
      <c r="A39" s="144" t="s">
        <v>320</v>
      </c>
      <c r="C39" s="126"/>
      <c r="D39" s="120"/>
      <c r="E39" s="134"/>
      <c r="F39" s="134"/>
      <c r="G39" s="127"/>
      <c r="H39" s="481"/>
      <c r="I39" s="482"/>
      <c r="J39" s="476"/>
      <c r="K39" s="476"/>
      <c r="L39" s="476"/>
      <c r="M39" s="476"/>
      <c r="N39" s="476"/>
      <c r="O39" s="476"/>
      <c r="P39" s="476"/>
      <c r="Q39" s="476"/>
      <c r="R39" s="476"/>
      <c r="S39" s="476"/>
      <c r="T39" s="476"/>
      <c r="U39" s="476"/>
      <c r="V39" s="476"/>
      <c r="W39" s="451"/>
      <c r="Z39" s="272"/>
    </row>
    <row r="40" spans="1:26" ht="12.75">
      <c r="A40" s="191" t="s">
        <v>321</v>
      </c>
      <c r="C40" s="126"/>
      <c r="D40" s="120"/>
      <c r="E40" s="134"/>
      <c r="F40" s="134"/>
      <c r="G40" s="127"/>
      <c r="H40" s="481"/>
      <c r="I40" s="482"/>
      <c r="J40" s="476"/>
      <c r="K40" s="476"/>
      <c r="L40" s="476"/>
      <c r="M40" s="476"/>
      <c r="N40" s="476"/>
      <c r="O40" s="476"/>
      <c r="P40" s="476"/>
      <c r="Q40" s="476"/>
      <c r="R40" s="476"/>
      <c r="S40" s="476"/>
      <c r="T40" s="476"/>
      <c r="U40" s="476"/>
      <c r="V40" s="476"/>
      <c r="W40" s="451"/>
      <c r="Z40" s="272"/>
    </row>
    <row r="41" spans="1:26" ht="12.75">
      <c r="A41" s="191"/>
      <c r="C41" s="126"/>
      <c r="D41" s="120"/>
      <c r="E41" s="134"/>
      <c r="F41" s="134"/>
      <c r="G41" s="127"/>
      <c r="H41" s="481"/>
      <c r="I41" s="482"/>
      <c r="J41" s="476"/>
      <c r="K41" s="476"/>
      <c r="L41" s="476"/>
      <c r="M41" s="476"/>
      <c r="N41" s="476"/>
      <c r="O41" s="476"/>
      <c r="P41" s="476"/>
      <c r="Q41" s="476"/>
      <c r="R41" s="476"/>
      <c r="S41" s="476"/>
      <c r="T41" s="476"/>
      <c r="U41" s="476"/>
      <c r="V41" s="476"/>
      <c r="W41" s="451"/>
      <c r="Z41" s="272"/>
    </row>
    <row r="42" spans="1:26" ht="12.75">
      <c r="A42" s="120" t="s">
        <v>328</v>
      </c>
      <c r="B42" s="120"/>
      <c r="C42" s="126"/>
      <c r="D42" s="120"/>
      <c r="E42" s="134"/>
      <c r="F42" s="134"/>
      <c r="G42" s="127"/>
      <c r="H42" s="559" t="s">
        <v>322</v>
      </c>
      <c r="I42" s="112">
        <f>3938343.78+665587.47</f>
        <v>4603931.25</v>
      </c>
      <c r="J42" s="476"/>
      <c r="K42" s="476"/>
      <c r="L42" s="476"/>
      <c r="M42" s="476"/>
      <c r="N42" s="476"/>
      <c r="O42" s="476"/>
      <c r="P42" s="476"/>
      <c r="Q42" s="476"/>
      <c r="R42" s="476"/>
      <c r="S42" s="476"/>
      <c r="T42" s="476"/>
      <c r="U42" s="476"/>
      <c r="V42" s="476"/>
      <c r="W42" s="451"/>
      <c r="Z42" s="272"/>
    </row>
    <row r="43" spans="1:26" ht="12.75">
      <c r="A43" s="120"/>
      <c r="B43" s="120"/>
      <c r="C43" s="126"/>
      <c r="D43" s="120"/>
      <c r="E43" s="134"/>
      <c r="F43" s="134"/>
      <c r="G43" s="127"/>
      <c r="H43" s="559" t="s">
        <v>323</v>
      </c>
      <c r="I43" s="112">
        <v>1618600</v>
      </c>
      <c r="J43" s="476"/>
      <c r="K43" s="476"/>
      <c r="L43" s="476"/>
      <c r="M43" s="476"/>
      <c r="N43" s="476"/>
      <c r="O43" s="476"/>
      <c r="P43" s="476"/>
      <c r="Q43" s="476"/>
      <c r="R43" s="476"/>
      <c r="S43" s="476"/>
      <c r="T43" s="476"/>
      <c r="U43" s="476"/>
      <c r="V43" s="476"/>
      <c r="W43" s="451"/>
      <c r="Z43" s="272"/>
    </row>
    <row r="44" spans="1:26" ht="12.75">
      <c r="A44" s="120"/>
      <c r="B44" s="120"/>
      <c r="C44" s="126"/>
      <c r="D44" s="120"/>
      <c r="E44" s="134"/>
      <c r="F44" s="134"/>
      <c r="G44" s="127"/>
      <c r="H44" s="559" t="s">
        <v>324</v>
      </c>
      <c r="I44" s="544">
        <f>SUM(I42:I43)</f>
        <v>6222531.25</v>
      </c>
      <c r="J44" s="476"/>
      <c r="K44" s="476"/>
      <c r="L44" s="476"/>
      <c r="M44" s="476"/>
      <c r="N44" s="476"/>
      <c r="O44" s="476"/>
      <c r="P44" s="476"/>
      <c r="Q44" s="476"/>
      <c r="R44" s="476"/>
      <c r="S44" s="476"/>
      <c r="T44" s="476"/>
      <c r="U44" s="476"/>
      <c r="V44" s="476"/>
      <c r="W44" s="451"/>
      <c r="Z44" s="272"/>
    </row>
    <row r="45" spans="1:26" ht="12.75">
      <c r="A45" s="120"/>
      <c r="B45" s="120"/>
      <c r="C45" s="126"/>
      <c r="D45" s="120"/>
      <c r="E45" s="134"/>
      <c r="F45" s="134"/>
      <c r="G45" s="127"/>
      <c r="H45" s="559" t="s">
        <v>325</v>
      </c>
      <c r="I45" s="560">
        <f>(18*12)-3</f>
        <v>213</v>
      </c>
      <c r="J45" s="476"/>
      <c r="K45" s="476"/>
      <c r="L45" s="476"/>
      <c r="M45" s="476"/>
      <c r="N45" s="476"/>
      <c r="O45" s="476"/>
      <c r="P45" s="476"/>
      <c r="Q45" s="476"/>
      <c r="R45" s="476"/>
      <c r="S45" s="476"/>
      <c r="T45" s="476"/>
      <c r="U45" s="476"/>
      <c r="V45" s="476"/>
      <c r="W45" s="451"/>
      <c r="Z45" s="272"/>
    </row>
    <row r="46" spans="1:26" ht="12.75">
      <c r="A46" s="120"/>
      <c r="B46" s="120"/>
      <c r="C46" s="126"/>
      <c r="D46" s="120"/>
      <c r="E46" s="134"/>
      <c r="F46" s="134"/>
      <c r="G46" s="127"/>
      <c r="H46" s="559" t="s">
        <v>326</v>
      </c>
      <c r="I46" s="560">
        <f>I44/I45</f>
        <v>29213.7617370892</v>
      </c>
      <c r="J46" s="476"/>
      <c r="K46" s="476"/>
      <c r="L46" s="476"/>
      <c r="M46" s="476"/>
      <c r="N46" s="476"/>
      <c r="O46" s="476"/>
      <c r="P46" s="476"/>
      <c r="Q46" s="476"/>
      <c r="R46" s="476"/>
      <c r="S46" s="476"/>
      <c r="T46" s="476"/>
      <c r="U46" s="476"/>
      <c r="V46" s="476"/>
      <c r="W46" s="451"/>
      <c r="Z46" s="272"/>
    </row>
    <row r="47" spans="1:26" ht="12.75">
      <c r="A47" s="120"/>
      <c r="B47" s="120"/>
      <c r="C47" s="126"/>
      <c r="D47" s="120"/>
      <c r="E47" s="134"/>
      <c r="F47" s="134"/>
      <c r="G47" s="127"/>
      <c r="H47" s="559" t="s">
        <v>327</v>
      </c>
      <c r="I47" s="560">
        <f>I46*12</f>
        <v>350565.1408450704</v>
      </c>
      <c r="J47" s="476"/>
      <c r="K47" s="476"/>
      <c r="L47" s="476"/>
      <c r="M47" s="476"/>
      <c r="N47" s="476"/>
      <c r="O47" s="476"/>
      <c r="P47" s="476"/>
      <c r="Q47" s="476"/>
      <c r="R47" s="476"/>
      <c r="S47" s="476"/>
      <c r="T47" s="476"/>
      <c r="U47" s="476"/>
      <c r="V47" s="476"/>
      <c r="W47" s="451"/>
      <c r="Z47" s="272"/>
    </row>
    <row r="48" spans="2:26" ht="12.75">
      <c r="B48" s="120"/>
      <c r="C48" s="126"/>
      <c r="D48" s="120"/>
      <c r="E48" s="134"/>
      <c r="F48" s="134"/>
      <c r="G48" s="127"/>
      <c r="H48" s="481"/>
      <c r="I48" s="482"/>
      <c r="J48" s="476"/>
      <c r="K48" s="476"/>
      <c r="L48" s="476"/>
      <c r="M48" s="476"/>
      <c r="N48" s="476"/>
      <c r="O48" s="476"/>
      <c r="P48" s="476"/>
      <c r="Q48" s="476"/>
      <c r="R48" s="476"/>
      <c r="S48" s="476"/>
      <c r="T48" s="476"/>
      <c r="U48" s="476"/>
      <c r="V48" s="476"/>
      <c r="W48" s="451"/>
      <c r="Z48" s="272"/>
    </row>
    <row r="49" spans="2:26" ht="12.75">
      <c r="B49" s="120"/>
      <c r="C49" s="126"/>
      <c r="D49" s="120"/>
      <c r="E49" s="134"/>
      <c r="F49" s="134"/>
      <c r="G49" s="127"/>
      <c r="H49" s="481"/>
      <c r="I49" s="482"/>
      <c r="J49" s="476"/>
      <c r="K49" s="476"/>
      <c r="L49" s="476"/>
      <c r="M49" s="476"/>
      <c r="N49" s="476"/>
      <c r="O49" s="476"/>
      <c r="P49" s="476"/>
      <c r="Q49" s="476"/>
      <c r="R49" s="476"/>
      <c r="S49" s="476"/>
      <c r="T49" s="476"/>
      <c r="U49" s="476"/>
      <c r="V49" s="476"/>
      <c r="W49" s="451"/>
      <c r="Z49" s="272"/>
    </row>
    <row r="50" spans="3:23" ht="12.75">
      <c r="C50" s="117"/>
      <c r="J50" s="497"/>
      <c r="K50" s="497"/>
      <c r="L50" s="497"/>
      <c r="M50" s="497"/>
      <c r="N50" s="497"/>
      <c r="O50" s="497"/>
      <c r="P50" s="497"/>
      <c r="Q50" s="497"/>
      <c r="R50" s="497"/>
      <c r="S50" s="497"/>
      <c r="T50" s="497"/>
      <c r="U50" s="497"/>
      <c r="V50" s="497"/>
      <c r="W50" s="299"/>
    </row>
    <row r="51" spans="3:23" ht="12.75">
      <c r="C51" s="117"/>
      <c r="J51" s="517"/>
      <c r="K51" s="518"/>
      <c r="L51" s="518"/>
      <c r="M51" s="518"/>
      <c r="N51" s="518"/>
      <c r="O51" s="518"/>
      <c r="P51" s="518"/>
      <c r="Q51" s="518"/>
      <c r="R51" s="518"/>
      <c r="S51" s="518"/>
      <c r="T51" s="518"/>
      <c r="U51" s="518"/>
      <c r="V51" s="518"/>
      <c r="W51" s="519"/>
    </row>
    <row r="52" spans="3:23" ht="12.75">
      <c r="C52" s="117"/>
      <c r="J52" s="517"/>
      <c r="K52" s="520"/>
      <c r="L52" s="520"/>
      <c r="M52" s="520"/>
      <c r="N52" s="520"/>
      <c r="O52" s="520"/>
      <c r="P52" s="520"/>
      <c r="Q52" s="520"/>
      <c r="R52" s="520"/>
      <c r="S52" s="520"/>
      <c r="T52" s="520"/>
      <c r="U52" s="520"/>
      <c r="V52" s="521"/>
      <c r="W52" s="520"/>
    </row>
    <row r="53" ht="12.75">
      <c r="V53" s="135"/>
    </row>
    <row r="54" spans="2:22" ht="15.75" customHeight="1">
      <c r="B54" s="203"/>
      <c r="I54" s="484"/>
      <c r="V54" s="135"/>
    </row>
    <row r="55" spans="7:23" ht="12.75">
      <c r="G55" s="173"/>
      <c r="H55" s="171"/>
      <c r="I55" s="484"/>
      <c r="W55" s="400"/>
    </row>
    <row r="57" spans="7:8" ht="12.75">
      <c r="G57" s="173"/>
      <c r="H57" s="171"/>
    </row>
    <row r="58" spans="8:9" ht="12.75">
      <c r="H58" s="171"/>
      <c r="I58" s="309"/>
    </row>
    <row r="59" spans="8:9" ht="12.75">
      <c r="H59" s="171"/>
      <c r="I59" s="309"/>
    </row>
    <row r="60" ht="12.75">
      <c r="H60" s="171"/>
    </row>
    <row r="61" ht="12.75">
      <c r="H61" s="171"/>
    </row>
  </sheetData>
  <sheetProtection/>
  <mergeCells count="8">
    <mergeCell ref="C7:C9"/>
    <mergeCell ref="W6:W9"/>
    <mergeCell ref="H8:H9"/>
    <mergeCell ref="I8:I9"/>
    <mergeCell ref="G6:G9"/>
    <mergeCell ref="A1:W1"/>
    <mergeCell ref="A2:W2"/>
    <mergeCell ref="A3:W3"/>
  </mergeCells>
  <printOptions horizontalCentered="1" verticalCentered="1"/>
  <pageMargins left="0.28" right="0.25" top="0.61" bottom="0.77" header="0.27" footer="0.27"/>
  <pageSetup horizontalDpi="600" verticalDpi="600" orientation="landscape" scale="78" r:id="rId1"/>
  <rowBreaks count="1" manualBreakCount="1">
    <brk id="53" max="22" man="1"/>
  </rowBreaks>
</worksheet>
</file>

<file path=xl/worksheets/sheet9.xml><?xml version="1.0" encoding="utf-8"?>
<worksheet xmlns="http://schemas.openxmlformats.org/spreadsheetml/2006/main" xmlns:r="http://schemas.openxmlformats.org/officeDocument/2006/relationships">
  <dimension ref="A1:P44"/>
  <sheetViews>
    <sheetView zoomScalePageLayoutView="0" workbookViewId="0" topLeftCell="A1">
      <pane xSplit="1" ySplit="7" topLeftCell="B8" activePane="bottomRight" state="frozen"/>
      <selection pane="topLeft" activeCell="E18" sqref="E18"/>
      <selection pane="topRight" activeCell="E18" sqref="E18"/>
      <selection pane="bottomLeft" activeCell="E18" sqref="E18"/>
      <selection pane="bottomRight" activeCell="A3" sqref="A3:L3"/>
    </sheetView>
  </sheetViews>
  <sheetFormatPr defaultColWidth="7.57421875" defaultRowHeight="12"/>
  <cols>
    <col min="1" max="1" width="4.00390625" style="18" customWidth="1"/>
    <col min="2" max="2" width="26.00390625" style="18" customWidth="1"/>
    <col min="3" max="3" width="11.00390625" style="18" customWidth="1"/>
    <col min="4" max="4" width="10.7109375" style="18" customWidth="1"/>
    <col min="5" max="5" width="11.8515625" style="18" customWidth="1"/>
    <col min="6" max="6" width="14.28125" style="18" customWidth="1"/>
    <col min="7" max="7" width="10.8515625" style="18" customWidth="1"/>
    <col min="8" max="8" width="10.140625" style="18" customWidth="1"/>
    <col min="9" max="9" width="11.7109375" style="18" customWidth="1"/>
    <col min="10" max="10" width="9.421875" style="18" customWidth="1"/>
    <col min="11" max="11" width="12.7109375" style="18" customWidth="1"/>
    <col min="12" max="12" width="9.57421875" style="18" customWidth="1"/>
    <col min="13" max="16384" width="7.57421875" style="18" customWidth="1"/>
  </cols>
  <sheetData>
    <row r="1" spans="1:16" ht="12.75" customHeight="1">
      <c r="A1" s="582" t="s">
        <v>20</v>
      </c>
      <c r="B1" s="582"/>
      <c r="C1" s="582"/>
      <c r="D1" s="582"/>
      <c r="E1" s="582"/>
      <c r="F1" s="582"/>
      <c r="G1" s="582"/>
      <c r="H1" s="582"/>
      <c r="I1" s="582"/>
      <c r="J1" s="582"/>
      <c r="K1" s="582"/>
      <c r="L1" s="582"/>
      <c r="M1" s="34"/>
      <c r="N1" s="34"/>
      <c r="O1" s="34"/>
      <c r="P1" s="34"/>
    </row>
    <row r="2" spans="1:16" s="19" customFormat="1" ht="13.5" customHeight="1">
      <c r="A2" s="582" t="s">
        <v>21</v>
      </c>
      <c r="B2" s="582"/>
      <c r="C2" s="582"/>
      <c r="D2" s="582"/>
      <c r="E2" s="582"/>
      <c r="F2" s="582"/>
      <c r="G2" s="582"/>
      <c r="H2" s="582"/>
      <c r="I2" s="582"/>
      <c r="J2" s="582"/>
      <c r="K2" s="582"/>
      <c r="L2" s="582"/>
      <c r="M2" s="34"/>
      <c r="N2" s="34"/>
      <c r="O2" s="34"/>
      <c r="P2" s="34"/>
    </row>
    <row r="3" spans="1:16" s="19" customFormat="1" ht="14.25" customHeight="1">
      <c r="A3" s="582" t="str">
        <f>'STD Cost Rate'!A3</f>
        <v>For The 12 Months Ended April 30, 2013</v>
      </c>
      <c r="B3" s="582"/>
      <c r="C3" s="582"/>
      <c r="D3" s="582"/>
      <c r="E3" s="582"/>
      <c r="F3" s="582"/>
      <c r="G3" s="582"/>
      <c r="H3" s="582"/>
      <c r="I3" s="582"/>
      <c r="J3" s="582"/>
      <c r="K3" s="582"/>
      <c r="L3" s="582"/>
      <c r="M3" s="34"/>
      <c r="N3" s="34"/>
      <c r="O3" s="34"/>
      <c r="P3" s="34"/>
    </row>
    <row r="4" spans="2:16" s="19" customFormat="1" ht="17.25" customHeight="1">
      <c r="B4" s="64"/>
      <c r="C4" s="64"/>
      <c r="D4" s="64"/>
      <c r="E4" s="35"/>
      <c r="F4" s="35"/>
      <c r="G4" s="35"/>
      <c r="H4" s="35"/>
      <c r="I4" s="35"/>
      <c r="J4" s="35"/>
      <c r="K4" s="35"/>
      <c r="L4" s="160"/>
      <c r="M4" s="34"/>
      <c r="N4" s="34"/>
      <c r="O4" s="34"/>
      <c r="P4" s="34"/>
    </row>
    <row r="5" spans="1:16" s="19" customFormat="1" ht="15" customHeight="1">
      <c r="A5" s="37">
        <v>1</v>
      </c>
      <c r="B5" s="131" t="s">
        <v>1</v>
      </c>
      <c r="C5" s="131" t="s">
        <v>22</v>
      </c>
      <c r="D5" s="131" t="s">
        <v>38</v>
      </c>
      <c r="E5" s="131" t="s">
        <v>50</v>
      </c>
      <c r="F5" s="131" t="s">
        <v>51</v>
      </c>
      <c r="G5" s="131" t="s">
        <v>52</v>
      </c>
      <c r="H5" s="131" t="s">
        <v>53</v>
      </c>
      <c r="I5" s="131" t="s">
        <v>54</v>
      </c>
      <c r="J5" s="131" t="s">
        <v>55</v>
      </c>
      <c r="K5" s="131" t="s">
        <v>61</v>
      </c>
      <c r="L5" s="131" t="s">
        <v>62</v>
      </c>
      <c r="M5" s="34"/>
      <c r="N5" s="34"/>
      <c r="O5" s="34"/>
      <c r="P5" s="34"/>
    </row>
    <row r="6" spans="1:16" s="19" customFormat="1" ht="18" customHeight="1">
      <c r="A6" s="37">
        <f aca="true" t="shared" si="0" ref="A6:A29">A5+1</f>
        <v>2</v>
      </c>
      <c r="B6" s="36" t="s">
        <v>0</v>
      </c>
      <c r="C6" s="583" t="s">
        <v>298</v>
      </c>
      <c r="D6" s="583" t="s">
        <v>151</v>
      </c>
      <c r="E6" s="583" t="s">
        <v>41</v>
      </c>
      <c r="F6" s="583" t="s">
        <v>112</v>
      </c>
      <c r="G6" s="583" t="s">
        <v>113</v>
      </c>
      <c r="H6" s="583" t="s">
        <v>114</v>
      </c>
      <c r="I6" s="584" t="s">
        <v>132</v>
      </c>
      <c r="J6" s="584" t="s">
        <v>152</v>
      </c>
      <c r="K6" s="584" t="s">
        <v>126</v>
      </c>
      <c r="L6" s="512"/>
      <c r="M6" s="34"/>
      <c r="N6" s="34"/>
      <c r="O6" s="34"/>
      <c r="P6" s="34"/>
    </row>
    <row r="7" spans="1:16" s="19" customFormat="1" ht="18" customHeight="1">
      <c r="A7" s="37">
        <f t="shared" si="0"/>
        <v>3</v>
      </c>
      <c r="B7" s="513" t="s">
        <v>12</v>
      </c>
      <c r="C7" s="584" t="s">
        <v>40</v>
      </c>
      <c r="D7" s="584"/>
      <c r="E7" s="584"/>
      <c r="F7" s="584"/>
      <c r="G7" s="584"/>
      <c r="H7" s="584"/>
      <c r="I7" s="584"/>
      <c r="J7" s="584"/>
      <c r="K7" s="584"/>
      <c r="L7" s="523" t="s">
        <v>115</v>
      </c>
      <c r="M7" s="34"/>
      <c r="N7" s="34"/>
      <c r="O7" s="34"/>
      <c r="P7" s="34"/>
    </row>
    <row r="8" spans="1:16" s="19" customFormat="1" ht="14.25" customHeight="1">
      <c r="A8" s="37">
        <f t="shared" si="0"/>
        <v>4</v>
      </c>
      <c r="B8" s="276"/>
      <c r="C8" s="241"/>
      <c r="D8" s="241"/>
      <c r="E8" s="241"/>
      <c r="F8" s="241"/>
      <c r="G8" s="241"/>
      <c r="H8" s="241"/>
      <c r="I8" s="241"/>
      <c r="J8" s="241"/>
      <c r="K8" s="241"/>
      <c r="L8" s="277"/>
      <c r="M8" s="34"/>
      <c r="N8" s="34"/>
      <c r="O8" s="34"/>
      <c r="P8" s="34"/>
    </row>
    <row r="9" spans="1:12" s="19" customFormat="1" ht="12.75" customHeight="1">
      <c r="A9" s="37">
        <f t="shared" si="0"/>
        <v>5</v>
      </c>
      <c r="B9" s="59" t="s">
        <v>124</v>
      </c>
      <c r="C9" s="57">
        <v>33959</v>
      </c>
      <c r="D9" s="57">
        <v>41264</v>
      </c>
      <c r="E9" s="60">
        <v>37770</v>
      </c>
      <c r="F9" s="60"/>
      <c r="G9" s="60"/>
      <c r="H9" s="161">
        <v>41264</v>
      </c>
      <c r="I9" s="436">
        <v>8236.59</v>
      </c>
      <c r="J9" s="185">
        <v>8</v>
      </c>
      <c r="K9" s="275">
        <f aca="true" t="shared" si="1" ref="K9:K25">+J9*I9</f>
        <v>65892.72</v>
      </c>
      <c r="L9" s="162">
        <v>18900333</v>
      </c>
    </row>
    <row r="10" spans="1:12" s="19" customFormat="1" ht="12.75" customHeight="1">
      <c r="A10" s="37">
        <f t="shared" si="0"/>
        <v>6</v>
      </c>
      <c r="B10" s="56">
        <v>0.1025</v>
      </c>
      <c r="C10" s="57">
        <v>32140</v>
      </c>
      <c r="D10" s="57">
        <v>35779</v>
      </c>
      <c r="E10" s="57">
        <v>35048</v>
      </c>
      <c r="F10" s="57"/>
      <c r="G10" s="57"/>
      <c r="H10" s="161">
        <v>42684</v>
      </c>
      <c r="I10" s="436">
        <v>1528</v>
      </c>
      <c r="J10" s="185">
        <v>12</v>
      </c>
      <c r="K10" s="275">
        <f t="shared" si="1"/>
        <v>18336</v>
      </c>
      <c r="L10" s="162">
        <v>18900013</v>
      </c>
    </row>
    <row r="11" spans="1:12" s="19" customFormat="1" ht="12.75" customHeight="1">
      <c r="A11" s="37">
        <f t="shared" si="0"/>
        <v>7</v>
      </c>
      <c r="B11" s="56" t="s">
        <v>155</v>
      </c>
      <c r="C11" s="57">
        <v>35587</v>
      </c>
      <c r="D11" s="57">
        <v>46539</v>
      </c>
      <c r="E11" s="57">
        <v>39234</v>
      </c>
      <c r="F11" s="57" t="s">
        <v>232</v>
      </c>
      <c r="G11" s="57">
        <v>39237</v>
      </c>
      <c r="H11" s="161">
        <v>42887</v>
      </c>
      <c r="I11" s="436">
        <v>15912.9</v>
      </c>
      <c r="J11" s="185">
        <v>12</v>
      </c>
      <c r="K11" s="275">
        <f t="shared" si="1"/>
        <v>190954.8</v>
      </c>
      <c r="L11" s="162">
        <v>18900383</v>
      </c>
    </row>
    <row r="12" spans="1:12" s="19" customFormat="1" ht="12.75" customHeight="1">
      <c r="A12" s="37">
        <f t="shared" si="0"/>
        <v>8</v>
      </c>
      <c r="B12" s="56">
        <v>0.0914</v>
      </c>
      <c r="C12" s="57">
        <v>33410</v>
      </c>
      <c r="D12" s="57">
        <v>37063</v>
      </c>
      <c r="E12" s="57">
        <v>35961</v>
      </c>
      <c r="F12" s="57" t="s">
        <v>233</v>
      </c>
      <c r="G12" s="57">
        <v>35961</v>
      </c>
      <c r="H12" s="161">
        <v>43266</v>
      </c>
      <c r="I12" s="436">
        <v>291.57</v>
      </c>
      <c r="J12" s="185">
        <v>12</v>
      </c>
      <c r="K12" s="275">
        <f t="shared" si="1"/>
        <v>3498.84</v>
      </c>
      <c r="L12" s="162">
        <v>18900243</v>
      </c>
    </row>
    <row r="13" spans="1:12" s="19" customFormat="1" ht="12.75" customHeight="1">
      <c r="A13" s="37">
        <f t="shared" si="0"/>
        <v>9</v>
      </c>
      <c r="B13" s="59" t="s">
        <v>122</v>
      </c>
      <c r="C13" s="57">
        <v>33616</v>
      </c>
      <c r="D13" s="57">
        <f>DATE(2022,1,12)</f>
        <v>44573</v>
      </c>
      <c r="E13" s="60">
        <v>37701</v>
      </c>
      <c r="F13" s="60"/>
      <c r="G13" s="60"/>
      <c r="H13" s="161">
        <f>DATE(2022,1,12)</f>
        <v>44573</v>
      </c>
      <c r="I13" s="436">
        <v>95.09</v>
      </c>
      <c r="J13" s="185">
        <v>12</v>
      </c>
      <c r="K13" s="275">
        <f t="shared" si="1"/>
        <v>1141.08</v>
      </c>
      <c r="L13" s="162">
        <v>18900293</v>
      </c>
    </row>
    <row r="14" spans="1:12" s="19" customFormat="1" ht="12.75" customHeight="1">
      <c r="A14" s="37">
        <f t="shared" si="0"/>
        <v>10</v>
      </c>
      <c r="B14" s="59" t="s">
        <v>123</v>
      </c>
      <c r="C14" s="57">
        <v>33616</v>
      </c>
      <c r="D14" s="57">
        <f>DATE(2022,1,13)</f>
        <v>44574</v>
      </c>
      <c r="E14" s="60">
        <v>37701</v>
      </c>
      <c r="F14" s="60"/>
      <c r="G14" s="60"/>
      <c r="H14" s="161">
        <f>DATE(2022,1,13)</f>
        <v>44574</v>
      </c>
      <c r="I14" s="436">
        <v>221.88</v>
      </c>
      <c r="J14" s="185">
        <v>12</v>
      </c>
      <c r="K14" s="275">
        <f t="shared" si="1"/>
        <v>2662.56</v>
      </c>
      <c r="L14" s="162">
        <v>18900303</v>
      </c>
    </row>
    <row r="15" spans="1:12" s="19" customFormat="1" ht="12.75" customHeight="1">
      <c r="A15" s="37">
        <f t="shared" si="0"/>
        <v>11</v>
      </c>
      <c r="B15" s="59" t="s">
        <v>149</v>
      </c>
      <c r="C15" s="57">
        <v>33828</v>
      </c>
      <c r="D15" s="57">
        <v>44785</v>
      </c>
      <c r="E15" s="60">
        <v>37770</v>
      </c>
      <c r="F15" s="60"/>
      <c r="G15" s="60"/>
      <c r="H15" s="161">
        <v>44785</v>
      </c>
      <c r="I15" s="436">
        <v>5207.14</v>
      </c>
      <c r="J15" s="185">
        <v>12</v>
      </c>
      <c r="K15" s="275">
        <f t="shared" si="1"/>
        <v>62485.68000000001</v>
      </c>
      <c r="L15" s="162">
        <v>18900323</v>
      </c>
    </row>
    <row r="16" spans="1:12" s="19" customFormat="1" ht="12.75" customHeight="1">
      <c r="A16" s="37">
        <f t="shared" si="0"/>
        <v>12</v>
      </c>
      <c r="B16" s="59" t="s">
        <v>150</v>
      </c>
      <c r="C16" s="57">
        <v>34199</v>
      </c>
      <c r="D16" s="57">
        <v>45156</v>
      </c>
      <c r="E16" s="60">
        <v>37851</v>
      </c>
      <c r="H16" s="161">
        <v>45156</v>
      </c>
      <c r="I16" s="436">
        <v>887.99</v>
      </c>
      <c r="J16" s="185">
        <v>12</v>
      </c>
      <c r="K16" s="275">
        <f t="shared" si="1"/>
        <v>10655.880000000001</v>
      </c>
      <c r="L16" s="162">
        <v>18900353</v>
      </c>
    </row>
    <row r="17" spans="1:12" s="19" customFormat="1" ht="12.75" customHeight="1">
      <c r="A17" s="37">
        <f t="shared" si="0"/>
        <v>13</v>
      </c>
      <c r="B17" s="56">
        <v>0.09625</v>
      </c>
      <c r="C17" s="57">
        <v>33161</v>
      </c>
      <c r="D17" s="57">
        <v>35718</v>
      </c>
      <c r="E17" s="57">
        <v>34372</v>
      </c>
      <c r="F17" s="57" t="s">
        <v>235</v>
      </c>
      <c r="G17" s="57">
        <v>34366</v>
      </c>
      <c r="H17" s="161">
        <v>45323</v>
      </c>
      <c r="I17" s="436">
        <v>14073.35</v>
      </c>
      <c r="J17" s="185">
        <v>12</v>
      </c>
      <c r="K17" s="275">
        <f t="shared" si="1"/>
        <v>168880.2</v>
      </c>
      <c r="L17" s="162">
        <v>18900173</v>
      </c>
    </row>
    <row r="18" spans="1:12" s="19" customFormat="1" ht="12.75" customHeight="1">
      <c r="A18" s="37">
        <f t="shared" si="0"/>
        <v>14</v>
      </c>
      <c r="B18" s="56" t="s">
        <v>153</v>
      </c>
      <c r="C18" s="57">
        <v>35587</v>
      </c>
      <c r="D18" s="57">
        <v>46539</v>
      </c>
      <c r="E18" s="57">
        <v>38504</v>
      </c>
      <c r="F18" s="57"/>
      <c r="G18" s="57"/>
      <c r="H18" s="161">
        <v>46539</v>
      </c>
      <c r="I18" s="436">
        <f>229804.18/12</f>
        <v>19150.34833333333</v>
      </c>
      <c r="J18" s="185">
        <v>12</v>
      </c>
      <c r="K18" s="275">
        <f t="shared" si="1"/>
        <v>229804.18</v>
      </c>
      <c r="L18" s="162">
        <v>18900193</v>
      </c>
    </row>
    <row r="19" spans="1:12" s="19" customFormat="1" ht="12.75" customHeight="1">
      <c r="A19" s="37">
        <f t="shared" si="0"/>
        <v>15</v>
      </c>
      <c r="B19" s="59" t="s">
        <v>118</v>
      </c>
      <c r="C19" s="57">
        <v>33457</v>
      </c>
      <c r="D19" s="57">
        <f>DATE(2021,8,1)</f>
        <v>44409</v>
      </c>
      <c r="E19" s="60">
        <v>37691</v>
      </c>
      <c r="F19" s="60" t="s">
        <v>234</v>
      </c>
      <c r="G19" s="60">
        <v>37691</v>
      </c>
      <c r="H19" s="161">
        <v>47908</v>
      </c>
      <c r="I19" s="436">
        <v>3790.04</v>
      </c>
      <c r="J19" s="185">
        <v>12</v>
      </c>
      <c r="K19" s="275">
        <f t="shared" si="1"/>
        <v>45480.479999999996</v>
      </c>
      <c r="L19" s="162">
        <v>18900253</v>
      </c>
    </row>
    <row r="20" spans="1:12" s="19" customFormat="1" ht="12.75" customHeight="1">
      <c r="A20" s="37">
        <f t="shared" si="0"/>
        <v>16</v>
      </c>
      <c r="B20" s="59" t="s">
        <v>119</v>
      </c>
      <c r="C20" s="57">
        <v>33457</v>
      </c>
      <c r="D20" s="57">
        <f>DATE(2021,8,1)</f>
        <v>44409</v>
      </c>
      <c r="E20" s="60">
        <v>37691</v>
      </c>
      <c r="F20" s="60" t="s">
        <v>234</v>
      </c>
      <c r="G20" s="60">
        <v>37691</v>
      </c>
      <c r="H20" s="161">
        <v>47908</v>
      </c>
      <c r="I20" s="436">
        <v>2880.12</v>
      </c>
      <c r="J20" s="185">
        <v>12</v>
      </c>
      <c r="K20" s="275">
        <f t="shared" si="1"/>
        <v>34561.44</v>
      </c>
      <c r="L20" s="162">
        <v>18900263</v>
      </c>
    </row>
    <row r="21" spans="1:12" s="19" customFormat="1" ht="12" customHeight="1">
      <c r="A21" s="37">
        <f t="shared" si="0"/>
        <v>17</v>
      </c>
      <c r="B21" s="59" t="s">
        <v>120</v>
      </c>
      <c r="C21" s="57">
        <v>33664</v>
      </c>
      <c r="D21" s="57">
        <f>DATE(2022,3,1)</f>
        <v>44621</v>
      </c>
      <c r="E21" s="60">
        <v>37691</v>
      </c>
      <c r="F21" s="60" t="s">
        <v>234</v>
      </c>
      <c r="G21" s="60">
        <v>37691</v>
      </c>
      <c r="H21" s="161">
        <v>47908</v>
      </c>
      <c r="I21" s="436">
        <v>8818.79</v>
      </c>
      <c r="J21" s="185">
        <v>12</v>
      </c>
      <c r="K21" s="275">
        <f t="shared" si="1"/>
        <v>105825.48000000001</v>
      </c>
      <c r="L21" s="162">
        <v>18900273</v>
      </c>
    </row>
    <row r="22" spans="1:12" s="19" customFormat="1" ht="12" customHeight="1">
      <c r="A22" s="37">
        <f t="shared" si="0"/>
        <v>18</v>
      </c>
      <c r="B22" s="59" t="s">
        <v>121</v>
      </c>
      <c r="C22" s="57">
        <v>34088</v>
      </c>
      <c r="D22" s="57">
        <f>DATE(2020,4,1)</f>
        <v>43922</v>
      </c>
      <c r="E22" s="60">
        <v>37691</v>
      </c>
      <c r="F22" s="60" t="s">
        <v>234</v>
      </c>
      <c r="G22" s="60">
        <v>37691</v>
      </c>
      <c r="H22" s="161">
        <v>47908</v>
      </c>
      <c r="I22" s="436">
        <v>2691.48</v>
      </c>
      <c r="J22" s="185">
        <v>12</v>
      </c>
      <c r="K22" s="275">
        <f t="shared" si="1"/>
        <v>32297.760000000002</v>
      </c>
      <c r="L22" s="162">
        <v>18900283</v>
      </c>
    </row>
    <row r="23" spans="1:12" s="19" customFormat="1" ht="12" customHeight="1">
      <c r="A23" s="37">
        <f t="shared" si="0"/>
        <v>19</v>
      </c>
      <c r="B23" s="56" t="s">
        <v>116</v>
      </c>
      <c r="C23" s="57">
        <v>38183</v>
      </c>
      <c r="D23" s="57">
        <v>38913</v>
      </c>
      <c r="E23" s="57">
        <v>38499</v>
      </c>
      <c r="F23" s="57" t="s">
        <v>117</v>
      </c>
      <c r="G23" s="57">
        <v>38499</v>
      </c>
      <c r="H23" s="161">
        <v>49456</v>
      </c>
      <c r="I23" s="436">
        <v>1423.88</v>
      </c>
      <c r="J23" s="185">
        <v>12</v>
      </c>
      <c r="K23" s="275">
        <f t="shared" si="1"/>
        <v>17086.56</v>
      </c>
      <c r="L23" s="162">
        <v>18900183</v>
      </c>
    </row>
    <row r="24" spans="1:12" s="19" customFormat="1" ht="12" customHeight="1">
      <c r="A24" s="37">
        <f t="shared" si="0"/>
        <v>20</v>
      </c>
      <c r="B24" s="56" t="s">
        <v>154</v>
      </c>
      <c r="C24" s="57">
        <v>37035</v>
      </c>
      <c r="D24" s="57">
        <v>51682</v>
      </c>
      <c r="E24" s="57">
        <v>38898</v>
      </c>
      <c r="F24" s="57" t="s">
        <v>231</v>
      </c>
      <c r="G24" s="57">
        <v>38898</v>
      </c>
      <c r="H24" s="161">
        <v>49841</v>
      </c>
      <c r="I24" s="436">
        <v>16418.45</v>
      </c>
      <c r="J24" s="185">
        <v>12</v>
      </c>
      <c r="K24" s="275">
        <f t="shared" si="1"/>
        <v>197021.40000000002</v>
      </c>
      <c r="L24" s="162">
        <v>18900373</v>
      </c>
    </row>
    <row r="25" spans="1:12" s="19" customFormat="1" ht="12" customHeight="1">
      <c r="A25" s="37">
        <f t="shared" si="0"/>
        <v>21</v>
      </c>
      <c r="B25" s="56" t="s">
        <v>304</v>
      </c>
      <c r="C25" s="57">
        <v>33117</v>
      </c>
      <c r="D25" s="57">
        <v>44075</v>
      </c>
      <c r="E25" s="57">
        <v>40900</v>
      </c>
      <c r="F25" s="57" t="s">
        <v>305</v>
      </c>
      <c r="G25" s="57">
        <v>40869</v>
      </c>
      <c r="H25" s="161">
        <v>18947</v>
      </c>
      <c r="I25" s="436">
        <f>15979218/(40*12)</f>
        <v>33290.0375</v>
      </c>
      <c r="J25" s="185">
        <v>12</v>
      </c>
      <c r="K25" s="275">
        <f t="shared" si="1"/>
        <v>399480.44999999995</v>
      </c>
      <c r="L25" s="162"/>
    </row>
    <row r="26" spans="1:12" s="19" customFormat="1" ht="12.75" customHeight="1" thickBot="1">
      <c r="A26" s="37">
        <f t="shared" si="0"/>
        <v>22</v>
      </c>
      <c r="B26" s="55" t="s">
        <v>23</v>
      </c>
      <c r="C26" s="61"/>
      <c r="D26" s="61"/>
      <c r="E26" s="61"/>
      <c r="F26" s="61"/>
      <c r="G26" s="61"/>
      <c r="H26" s="61"/>
      <c r="I26" s="437">
        <f>SUM(I8:I25)</f>
        <v>134917.65583333332</v>
      </c>
      <c r="J26" s="61"/>
      <c r="K26" s="362">
        <f>SUM(K8:K25)</f>
        <v>1586065.51</v>
      </c>
      <c r="L26" s="163"/>
    </row>
    <row r="27" spans="1:12" s="19" customFormat="1" ht="12.75" customHeight="1" thickTop="1">
      <c r="A27" s="37">
        <f t="shared" si="0"/>
        <v>23</v>
      </c>
      <c r="B27" s="164"/>
      <c r="C27" s="165"/>
      <c r="D27" s="165"/>
      <c r="E27" s="165"/>
      <c r="F27" s="165"/>
      <c r="G27" s="165"/>
      <c r="H27" s="165"/>
      <c r="I27" s="165"/>
      <c r="J27" s="165"/>
      <c r="K27" s="165"/>
      <c r="L27" s="166"/>
    </row>
    <row r="28" spans="1:12" s="19" customFormat="1" ht="12.75" customHeight="1">
      <c r="A28" s="37">
        <f t="shared" si="0"/>
        <v>24</v>
      </c>
      <c r="C28" s="34"/>
      <c r="D28" s="34"/>
      <c r="E28" s="34"/>
      <c r="F28" s="34"/>
      <c r="G28" s="34"/>
      <c r="H28" s="129"/>
      <c r="I28" s="435"/>
      <c r="J28" s="129"/>
      <c r="K28" s="129"/>
      <c r="L28" s="167"/>
    </row>
    <row r="29" spans="1:12" s="19" customFormat="1" ht="12.75" customHeight="1">
      <c r="A29" s="37">
        <f t="shared" si="0"/>
        <v>25</v>
      </c>
      <c r="B29" s="82" t="s">
        <v>127</v>
      </c>
      <c r="C29" s="130"/>
      <c r="D29" s="34"/>
      <c r="E29" s="34"/>
      <c r="F29" s="34"/>
      <c r="G29" s="34"/>
      <c r="H29" s="129"/>
      <c r="I29" s="129"/>
      <c r="J29" s="129"/>
      <c r="K29" s="129"/>
      <c r="L29" s="167"/>
    </row>
    <row r="30" spans="1:12" s="19" customFormat="1" ht="12.75" customHeight="1">
      <c r="A30" s="37"/>
      <c r="C30" s="34"/>
      <c r="D30" s="34"/>
      <c r="E30" s="34"/>
      <c r="F30" s="34"/>
      <c r="G30" s="34"/>
      <c r="H30" s="129"/>
      <c r="I30" s="129"/>
      <c r="J30" s="129"/>
      <c r="K30" s="274"/>
      <c r="L30" s="166"/>
    </row>
    <row r="31" spans="1:11" s="19" customFormat="1" ht="12.75" customHeight="1">
      <c r="A31" s="37"/>
      <c r="H31" s="20"/>
      <c r="I31" s="20"/>
      <c r="J31" s="20"/>
      <c r="K31" s="20"/>
    </row>
    <row r="32" spans="1:12" s="19" customFormat="1" ht="12.75" customHeight="1">
      <c r="A32" s="37"/>
      <c r="B32" s="83"/>
      <c r="H32" s="20"/>
      <c r="I32" s="20"/>
      <c r="J32" s="20"/>
      <c r="K32" s="20"/>
      <c r="L32" s="162"/>
    </row>
    <row r="33" spans="1:11" s="19" customFormat="1" ht="12.75" customHeight="1">
      <c r="A33" s="37"/>
      <c r="B33" s="83"/>
      <c r="H33" s="20"/>
      <c r="I33" s="20"/>
      <c r="J33" s="20"/>
      <c r="K33" s="20"/>
    </row>
    <row r="34" spans="2:11" s="19" customFormat="1" ht="12.75" customHeight="1">
      <c r="B34" s="526"/>
      <c r="H34" s="20"/>
      <c r="I34" s="20"/>
      <c r="J34" s="20"/>
      <c r="K34" s="20"/>
    </row>
    <row r="35" spans="8:11" s="19" customFormat="1" ht="12.75" customHeight="1">
      <c r="H35" s="20"/>
      <c r="I35" s="20"/>
      <c r="J35" s="20"/>
      <c r="K35" s="20"/>
    </row>
    <row r="36" spans="8:11" s="19" customFormat="1" ht="12.75" customHeight="1">
      <c r="H36" s="20"/>
      <c r="I36" s="20"/>
      <c r="J36" s="20"/>
      <c r="K36" s="20"/>
    </row>
    <row r="37" spans="8:11" s="19" customFormat="1" ht="12.75" customHeight="1">
      <c r="H37" s="20"/>
      <c r="I37" s="20"/>
      <c r="J37" s="20"/>
      <c r="K37" s="20"/>
    </row>
    <row r="38" spans="8:11" s="19" customFormat="1" ht="12.75" customHeight="1">
      <c r="H38" s="20"/>
      <c r="I38" s="20"/>
      <c r="J38" s="20"/>
      <c r="K38" s="20"/>
    </row>
    <row r="39" spans="8:11" s="19" customFormat="1" ht="12.75" customHeight="1">
      <c r="H39" s="20"/>
      <c r="I39" s="20"/>
      <c r="J39" s="20"/>
      <c r="K39" s="20"/>
    </row>
    <row r="40" spans="8:11" s="19" customFormat="1" ht="12.75" customHeight="1">
      <c r="H40" s="20"/>
      <c r="I40" s="20"/>
      <c r="J40" s="20"/>
      <c r="K40" s="20"/>
    </row>
    <row r="41" spans="8:11" s="19" customFormat="1" ht="12.75" customHeight="1">
      <c r="H41" s="20"/>
      <c r="I41" s="20"/>
      <c r="J41" s="20"/>
      <c r="K41" s="20"/>
    </row>
    <row r="42" spans="8:11" s="19" customFormat="1" ht="12.75" customHeight="1">
      <c r="H42" s="20"/>
      <c r="I42" s="20"/>
      <c r="J42" s="20"/>
      <c r="K42" s="20"/>
    </row>
    <row r="43" spans="8:11" s="19" customFormat="1" ht="12.75" customHeight="1">
      <c r="H43" s="20"/>
      <c r="I43" s="20"/>
      <c r="J43" s="20"/>
      <c r="K43" s="20"/>
    </row>
    <row r="44" spans="8:11" s="19" customFormat="1" ht="12.75" customHeight="1">
      <c r="H44" s="20"/>
      <c r="I44" s="20"/>
      <c r="J44" s="20"/>
      <c r="K44" s="20"/>
    </row>
    <row r="45" s="19" customFormat="1" ht="12.75" customHeight="1"/>
    <row r="46" s="19" customFormat="1" ht="12.75" customHeight="1"/>
    <row r="47" s="19" customFormat="1" ht="12.75" customHeight="1"/>
    <row r="48" s="19" customFormat="1" ht="12.75" customHeight="1"/>
    <row r="49" s="19" customFormat="1" ht="12.75" customHeight="1"/>
    <row r="50" s="19" customFormat="1" ht="12.75" customHeight="1"/>
    <row r="51" s="19" customFormat="1" ht="12.75" customHeight="1"/>
    <row r="52" s="19" customFormat="1" ht="15.75"/>
    <row r="53" s="19" customFormat="1" ht="15.75"/>
    <row r="54" s="19" customFormat="1" ht="15.75"/>
    <row r="55" s="19" customFormat="1" ht="15.75"/>
    <row r="56" s="19" customFormat="1" ht="15.75"/>
    <row r="57" s="19" customFormat="1" ht="15.75"/>
    <row r="58" s="19" customFormat="1" ht="15.75"/>
    <row r="59" s="19" customFormat="1" ht="15.75"/>
    <row r="60" s="19" customFormat="1" ht="15.75"/>
    <row r="61" s="19" customFormat="1" ht="15.75"/>
    <row r="62" s="19" customFormat="1" ht="15.75"/>
    <row r="63" s="19" customFormat="1" ht="15.75"/>
    <row r="64" s="19" customFormat="1" ht="15.75"/>
    <row r="65" s="19" customFormat="1" ht="15.75"/>
    <row r="66" s="19" customFormat="1" ht="15.75"/>
    <row r="67" s="19" customFormat="1" ht="15.75"/>
    <row r="68" s="19" customFormat="1" ht="15.75"/>
    <row r="69" s="19" customFormat="1" ht="15.75"/>
    <row r="70" s="19" customFormat="1" ht="15.75"/>
    <row r="71" s="19" customFormat="1" ht="15.75"/>
    <row r="72" s="19" customFormat="1" ht="15.75"/>
    <row r="73" s="19" customFormat="1" ht="15.75"/>
    <row r="74" s="19" customFormat="1" ht="15.75"/>
    <row r="75" s="19" customFormat="1" ht="15.75"/>
    <row r="76" s="19" customFormat="1" ht="15.75"/>
  </sheetData>
  <sheetProtection/>
  <mergeCells count="12">
    <mergeCell ref="F6:F7"/>
    <mergeCell ref="G6:G7"/>
    <mergeCell ref="A1:L1"/>
    <mergeCell ref="A2:L2"/>
    <mergeCell ref="A3:L3"/>
    <mergeCell ref="C6:C7"/>
    <mergeCell ref="D6:D7"/>
    <mergeCell ref="I6:I7"/>
    <mergeCell ref="J6:J7"/>
    <mergeCell ref="K6:K7"/>
    <mergeCell ref="E6:E7"/>
    <mergeCell ref="H6:H7"/>
  </mergeCells>
  <printOptions horizontalCentered="1" verticalCentered="1"/>
  <pageMargins left="0.5" right="0.53" top="0.61" bottom="0.77" header="0.27" footer="0.27"/>
  <pageSetup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 Name</cp:lastModifiedBy>
  <cp:lastPrinted>2014-11-04T18:38:01Z</cp:lastPrinted>
  <dcterms:created xsi:type="dcterms:W3CDTF">2014-10-31T23:30:52Z</dcterms:created>
  <dcterms:modified xsi:type="dcterms:W3CDTF">2014-11-04T18:40:41Z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Testimony</vt:lpwstr>
  </property>
  <property fmtid="{D5CDD505-2E9C-101B-9397-08002B2CF9AE}" pid="4" name="IsHighlyConfidenti">
    <vt:lpwstr>0</vt:lpwstr>
  </property>
  <property fmtid="{D5CDD505-2E9C-101B-9397-08002B2CF9AE}" pid="5" name="DocketNumb">
    <vt:lpwstr>130137</vt:lpwstr>
  </property>
  <property fmtid="{D5CDD505-2E9C-101B-9397-08002B2CF9AE}" pid="6" name="IsConfidenti">
    <vt:lpwstr>0</vt:lpwstr>
  </property>
  <property fmtid="{D5CDD505-2E9C-101B-9397-08002B2CF9AE}" pid="7" name="Dat">
    <vt:lpwstr>2014-11-05T00:00:00Z</vt:lpwstr>
  </property>
  <property fmtid="{D5CDD505-2E9C-101B-9397-08002B2CF9AE}" pid="8" name="_docset_NoMedatataSyncRequir">
    <vt:lpwstr>False</vt:lpwstr>
  </property>
  <property fmtid="{D5CDD505-2E9C-101B-9397-08002B2CF9AE}" pid="9" name="Nickna">
    <vt:lpwstr/>
  </property>
  <property fmtid="{D5CDD505-2E9C-101B-9397-08002B2CF9AE}" pid="10" name="CaseCompanyNam">
    <vt:lpwstr>Puget Sound Energy</vt:lpwstr>
  </property>
  <property fmtid="{D5CDD505-2E9C-101B-9397-08002B2CF9AE}" pid="11" name="Proce">
    <vt:lpwstr/>
  </property>
  <property fmtid="{D5CDD505-2E9C-101B-9397-08002B2CF9AE}" pid="12" name="Visibili">
    <vt:lpwstr/>
  </property>
  <property fmtid="{D5CDD505-2E9C-101B-9397-08002B2CF9AE}" pid="13" name="DocumentGro">
    <vt:lpwstr/>
  </property>
  <property fmtid="{D5CDD505-2E9C-101B-9397-08002B2CF9AE}" pid="14" name="CaseTy">
    <vt:lpwstr>Tariff Revision</vt:lpwstr>
  </property>
  <property fmtid="{D5CDD505-2E9C-101B-9397-08002B2CF9AE}" pid="15" name="OpenedDa">
    <vt:lpwstr>2013-02-01T00:00:00Z</vt:lpwstr>
  </property>
  <property fmtid="{D5CDD505-2E9C-101B-9397-08002B2CF9AE}" pid="16" name="Pref">
    <vt:lpwstr>UE</vt:lpwstr>
  </property>
  <property fmtid="{D5CDD505-2E9C-101B-9397-08002B2CF9AE}" pid="17" name="IndustryCo">
    <vt:lpwstr>140</vt:lpwstr>
  </property>
  <property fmtid="{D5CDD505-2E9C-101B-9397-08002B2CF9AE}" pid="18" name="CaseStat">
    <vt:lpwstr>Closed</vt:lpwstr>
  </property>
</Properties>
</file>