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E:\nwrk\30_ava\AV17 - UE-240006 2024 WA GRC\dir\exh\"/>
    </mc:Choice>
  </mc:AlternateContent>
  <xr:revisionPtr revIDLastSave="0" documentId="13_ncr:1_{24940340-F561-4764-BE16-5438FF6F9E45}" xr6:coauthVersionLast="47" xr6:coauthVersionMax="47" xr10:uidLastSave="{00000000-0000-0000-0000-000000000000}"/>
  <bookViews>
    <workbookView xWindow="-120" yWindow="-120" windowWidth="29040" windowHeight="15060" xr2:uid="{B562ACC2-650B-4EA4-9957-E985C0EB5D45}"/>
  </bookViews>
  <sheets>
    <sheet name="Monthly ADJ (Electric)" sheetId="2" r:id="rId1"/>
    <sheet name="Monthly ADJ (Gas)" sheetId="1" r:id="rId2"/>
  </sheets>
  <externalReferences>
    <externalReference r:id="rId3"/>
    <externalReference r:id="rId4"/>
  </externalReferences>
  <definedNames>
    <definedName name="_xlnm._FilterDatabase" localSheetId="1" hidden="1">'Monthly ADJ (Gas)'!$B$4:$M$44</definedName>
    <definedName name="_xlnm.Print_Area" localSheetId="0">'Monthly ADJ (Electric)'!$A$1:$F$68</definedName>
    <definedName name="_xlnm.Print_Area" localSheetId="1">'Monthly ADJ (Gas)'!$A$1:$F$68</definedName>
    <definedName name="_xlnm.Print_Titles" localSheetId="0">'Monthly ADJ (Electric)'!$A:$B,'Monthly ADJ (Electric)'!$1:$4</definedName>
    <definedName name="_xlnm.Print_Titles" localSheetId="1">'Monthly ADJ (Gas)'!$A:$B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2" l="1"/>
  <c r="F5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I68" i="2"/>
  <c r="D68" i="2"/>
  <c r="I67" i="2"/>
  <c r="O67" i="2" s="1"/>
  <c r="P67" i="2" s="1"/>
  <c r="R67" i="2" s="1"/>
  <c r="Q67" i="2" s="1"/>
  <c r="D67" i="2"/>
  <c r="I66" i="2"/>
  <c r="D66" i="2"/>
  <c r="I65" i="2"/>
  <c r="O65" i="2" s="1"/>
  <c r="P65" i="2" s="1"/>
  <c r="R65" i="2" s="1"/>
  <c r="Q65" i="2" s="1"/>
  <c r="D65" i="2"/>
  <c r="I64" i="2"/>
  <c r="O64" i="2" s="1"/>
  <c r="P64" i="2" s="1"/>
  <c r="D64" i="2"/>
  <c r="I63" i="2"/>
  <c r="O63" i="2" s="1"/>
  <c r="P63" i="2" s="1"/>
  <c r="R63" i="2" s="1"/>
  <c r="Q63" i="2" s="1"/>
  <c r="D63" i="2"/>
  <c r="O62" i="2"/>
  <c r="P62" i="2" s="1"/>
  <c r="R62" i="2" s="1"/>
  <c r="Q62" i="2" s="1"/>
  <c r="I62" i="2"/>
  <c r="D62" i="2"/>
  <c r="I61" i="2"/>
  <c r="O61" i="2" s="1"/>
  <c r="P61" i="2" s="1"/>
  <c r="R61" i="2" s="1"/>
  <c r="Q61" i="2" s="1"/>
  <c r="D61" i="2"/>
  <c r="I60" i="2"/>
  <c r="D60" i="2"/>
  <c r="I59" i="2"/>
  <c r="O59" i="2" s="1"/>
  <c r="P59" i="2" s="1"/>
  <c r="R59" i="2" s="1"/>
  <c r="Q59" i="2" s="1"/>
  <c r="D59" i="2"/>
  <c r="B59" i="2"/>
  <c r="B60" i="2" s="1"/>
  <c r="B61" i="2" s="1"/>
  <c r="B62" i="2" s="1"/>
  <c r="B63" i="2" s="1"/>
  <c r="B64" i="2" s="1"/>
  <c r="B65" i="2" s="1"/>
  <c r="B66" i="2" s="1"/>
  <c r="B67" i="2" s="1"/>
  <c r="B68" i="2" s="1"/>
  <c r="O58" i="2"/>
  <c r="P58" i="2" s="1"/>
  <c r="I58" i="2"/>
  <c r="D58" i="2"/>
  <c r="B58" i="2"/>
  <c r="I57" i="2"/>
  <c r="O57" i="2" s="1"/>
  <c r="P57" i="2" s="1"/>
  <c r="R57" i="2" s="1"/>
  <c r="Q57" i="2" s="1"/>
  <c r="D57" i="2"/>
  <c r="I56" i="2"/>
  <c r="R55" i="2"/>
  <c r="Q55" i="2" s="1"/>
  <c r="P55" i="2"/>
  <c r="I55" i="2"/>
  <c r="O55" i="2" s="1"/>
  <c r="I54" i="2"/>
  <c r="O53" i="2"/>
  <c r="P53" i="2" s="1"/>
  <c r="R53" i="2" s="1"/>
  <c r="Q53" i="2" s="1"/>
  <c r="I53" i="2"/>
  <c r="I52" i="2"/>
  <c r="I51" i="2"/>
  <c r="O51" i="2" s="1"/>
  <c r="P51" i="2" s="1"/>
  <c r="I50" i="2"/>
  <c r="O49" i="2"/>
  <c r="P49" i="2" s="1"/>
  <c r="R49" i="2" s="1"/>
  <c r="Q49" i="2" s="1"/>
  <c r="I49" i="2"/>
  <c r="I48" i="2"/>
  <c r="I47" i="2"/>
  <c r="O47" i="2" s="1"/>
  <c r="P47" i="2" s="1"/>
  <c r="I46" i="2"/>
  <c r="O45" i="2"/>
  <c r="P45" i="2" s="1"/>
  <c r="R45" i="2" s="1"/>
  <c r="Q45" i="2" s="1"/>
  <c r="I45" i="2"/>
  <c r="I44" i="2"/>
  <c r="P43" i="2"/>
  <c r="R43" i="2" s="1"/>
  <c r="Q43" i="2" s="1"/>
  <c r="I43" i="2"/>
  <c r="O43" i="2" s="1"/>
  <c r="I42" i="2"/>
  <c r="O41" i="2"/>
  <c r="P41" i="2" s="1"/>
  <c r="R41" i="2" s="1"/>
  <c r="Q41" i="2" s="1"/>
  <c r="I41" i="2"/>
  <c r="D41" i="2"/>
  <c r="I40" i="2"/>
  <c r="P39" i="2"/>
  <c r="O39" i="2"/>
  <c r="I39" i="2"/>
  <c r="I38" i="2"/>
  <c r="O38" i="2" s="1"/>
  <c r="P38" i="2" s="1"/>
  <c r="R38" i="2" s="1"/>
  <c r="Q38" i="2" s="1"/>
  <c r="P37" i="2"/>
  <c r="O37" i="2"/>
  <c r="I37" i="2"/>
  <c r="I36" i="2"/>
  <c r="O35" i="2"/>
  <c r="P35" i="2" s="1"/>
  <c r="I35" i="2"/>
  <c r="I34" i="2"/>
  <c r="O34" i="2" s="1"/>
  <c r="P34" i="2" s="1"/>
  <c r="R34" i="2" s="1"/>
  <c r="Q34" i="2" s="1"/>
  <c r="I33" i="2"/>
  <c r="I32" i="2"/>
  <c r="O32" i="2" s="1"/>
  <c r="P32" i="2" s="1"/>
  <c r="O31" i="2"/>
  <c r="P31" i="2" s="1"/>
  <c r="I31" i="2"/>
  <c r="I30" i="2"/>
  <c r="O30" i="2" s="1"/>
  <c r="P30" i="2" s="1"/>
  <c r="O29" i="2"/>
  <c r="P29" i="2" s="1"/>
  <c r="I29" i="2"/>
  <c r="D29" i="2"/>
  <c r="O28" i="2"/>
  <c r="P28" i="2" s="1"/>
  <c r="I28" i="2"/>
  <c r="O27" i="2"/>
  <c r="P27" i="2" s="1"/>
  <c r="I27" i="2"/>
  <c r="I26" i="2"/>
  <c r="O26" i="2" s="1"/>
  <c r="P26" i="2" s="1"/>
  <c r="O25" i="2"/>
  <c r="P25" i="2" s="1"/>
  <c r="I25" i="2"/>
  <c r="O24" i="2"/>
  <c r="P24" i="2" s="1"/>
  <c r="I24" i="2"/>
  <c r="O23" i="2"/>
  <c r="P23" i="2" s="1"/>
  <c r="I23" i="2"/>
  <c r="I22" i="2"/>
  <c r="O22" i="2" s="1"/>
  <c r="P22" i="2" s="1"/>
  <c r="O21" i="2"/>
  <c r="P21" i="2" s="1"/>
  <c r="I21" i="2"/>
  <c r="O20" i="2"/>
  <c r="P20" i="2" s="1"/>
  <c r="I20" i="2"/>
  <c r="O19" i="2"/>
  <c r="P19" i="2" s="1"/>
  <c r="I19" i="2"/>
  <c r="D19" i="2"/>
  <c r="O18" i="2"/>
  <c r="P18" i="2" s="1"/>
  <c r="I18" i="2"/>
  <c r="D18" i="2"/>
  <c r="M18" i="2" s="1"/>
  <c r="C6" i="2"/>
  <c r="F6" i="2" s="1"/>
  <c r="S2" i="2"/>
  <c r="S2" i="1"/>
  <c r="F5" i="1"/>
  <c r="C6" i="1" s="1"/>
  <c r="G5" i="1"/>
  <c r="H5" i="1"/>
  <c r="F6" i="1"/>
  <c r="D18" i="1"/>
  <c r="I18" i="1"/>
  <c r="O18" i="1" s="1"/>
  <c r="P18" i="1" s="1"/>
  <c r="R18" i="1" s="1"/>
  <c r="Q18" i="1" s="1"/>
  <c r="D19" i="1"/>
  <c r="I19" i="1"/>
  <c r="O19" i="1"/>
  <c r="P19" i="1"/>
  <c r="I20" i="1"/>
  <c r="O20" i="1" s="1"/>
  <c r="P20" i="1"/>
  <c r="I21" i="1"/>
  <c r="O21" i="1"/>
  <c r="P21" i="1" s="1"/>
  <c r="R21" i="1" s="1"/>
  <c r="Q21" i="1" s="1"/>
  <c r="I22" i="1"/>
  <c r="I23" i="1"/>
  <c r="O23" i="1" s="1"/>
  <c r="P23" i="1" s="1"/>
  <c r="R23" i="1"/>
  <c r="Q23" i="1" s="1"/>
  <c r="I24" i="1"/>
  <c r="O24" i="1" s="1"/>
  <c r="P24" i="1"/>
  <c r="I25" i="1"/>
  <c r="O25" i="1"/>
  <c r="P25" i="1" s="1"/>
  <c r="I26" i="1"/>
  <c r="I27" i="1"/>
  <c r="O27" i="1"/>
  <c r="P27" i="1" s="1"/>
  <c r="I28" i="1"/>
  <c r="O28" i="1" s="1"/>
  <c r="P28" i="1" s="1"/>
  <c r="D29" i="1"/>
  <c r="I29" i="1"/>
  <c r="O29" i="1" s="1"/>
  <c r="P29" i="1" s="1"/>
  <c r="R29" i="1"/>
  <c r="Q29" i="1" s="1"/>
  <c r="I30" i="1"/>
  <c r="O30" i="1" s="1"/>
  <c r="P30" i="1"/>
  <c r="I31" i="1"/>
  <c r="O31" i="1"/>
  <c r="P31" i="1" s="1"/>
  <c r="I32" i="1"/>
  <c r="O32" i="1"/>
  <c r="P32" i="1" s="1"/>
  <c r="I33" i="1"/>
  <c r="O33" i="1" s="1"/>
  <c r="P33" i="1" s="1"/>
  <c r="I34" i="1"/>
  <c r="O34" i="1" s="1"/>
  <c r="P34" i="1"/>
  <c r="I35" i="1"/>
  <c r="O35" i="1"/>
  <c r="P35" i="1" s="1"/>
  <c r="R35" i="1"/>
  <c r="Q35" i="1" s="1"/>
  <c r="I36" i="1"/>
  <c r="O36" i="1"/>
  <c r="P36" i="1" s="1"/>
  <c r="I37" i="1"/>
  <c r="I38" i="1"/>
  <c r="O38" i="1" s="1"/>
  <c r="P38" i="1" s="1"/>
  <c r="I39" i="1"/>
  <c r="O39" i="1" s="1"/>
  <c r="P39" i="1" s="1"/>
  <c r="R39" i="1" s="1"/>
  <c r="Q39" i="1" s="1"/>
  <c r="I40" i="1"/>
  <c r="O40" i="1"/>
  <c r="P40" i="1" s="1"/>
  <c r="D41" i="1"/>
  <c r="I41" i="1"/>
  <c r="I42" i="1"/>
  <c r="O42" i="1"/>
  <c r="P42" i="1" s="1"/>
  <c r="I43" i="1"/>
  <c r="O43" i="1"/>
  <c r="P43" i="1"/>
  <c r="R43" i="1" s="1"/>
  <c r="Q43" i="1"/>
  <c r="I44" i="1"/>
  <c r="O44" i="1"/>
  <c r="P44" i="1" s="1"/>
  <c r="I45" i="1"/>
  <c r="I46" i="1"/>
  <c r="I47" i="1"/>
  <c r="O47" i="1"/>
  <c r="P47" i="1"/>
  <c r="R47" i="1" s="1"/>
  <c r="Q47" i="1"/>
  <c r="I48" i="1"/>
  <c r="O48" i="1"/>
  <c r="P48" i="1" s="1"/>
  <c r="I49" i="1"/>
  <c r="O49" i="1" s="1"/>
  <c r="P49" i="1" s="1"/>
  <c r="R49" i="1"/>
  <c r="Q49" i="1" s="1"/>
  <c r="I50" i="1"/>
  <c r="O50" i="1"/>
  <c r="P50" i="1"/>
  <c r="R50" i="1" s="1"/>
  <c r="Q50" i="1" s="1"/>
  <c r="I51" i="1"/>
  <c r="O51" i="1"/>
  <c r="P51" i="1" s="1"/>
  <c r="R51" i="1" s="1"/>
  <c r="Q51" i="1" s="1"/>
  <c r="I52" i="1"/>
  <c r="O52" i="1"/>
  <c r="P52" i="1" s="1"/>
  <c r="R52" i="1" s="1"/>
  <c r="Q52" i="1" s="1"/>
  <c r="I53" i="1"/>
  <c r="I54" i="1"/>
  <c r="O54" i="1" s="1"/>
  <c r="P54" i="1"/>
  <c r="I55" i="1"/>
  <c r="O55" i="1"/>
  <c r="P55" i="1" s="1"/>
  <c r="I56" i="1"/>
  <c r="D57" i="1"/>
  <c r="I57" i="1"/>
  <c r="O57" i="1" s="1"/>
  <c r="P57" i="1" s="1"/>
  <c r="R57" i="1"/>
  <c r="Q57" i="1" s="1"/>
  <c r="B58" i="1"/>
  <c r="D58" i="1"/>
  <c r="I58" i="1"/>
  <c r="O58" i="1"/>
  <c r="P58" i="1" s="1"/>
  <c r="R58" i="1" s="1"/>
  <c r="Q58" i="1"/>
  <c r="B59" i="1"/>
  <c r="B60" i="1" s="1"/>
  <c r="D59" i="1"/>
  <c r="I59" i="1"/>
  <c r="O59" i="1" s="1"/>
  <c r="P59" i="1" s="1"/>
  <c r="D60" i="1"/>
  <c r="I60" i="1"/>
  <c r="O60" i="1"/>
  <c r="P60" i="1" s="1"/>
  <c r="R60" i="1" s="1"/>
  <c r="Q60" i="1"/>
  <c r="B61" i="1"/>
  <c r="B62" i="1" s="1"/>
  <c r="D61" i="1"/>
  <c r="I61" i="1"/>
  <c r="O61" i="1" s="1"/>
  <c r="P61" i="1" s="1"/>
  <c r="D62" i="1"/>
  <c r="I62" i="1"/>
  <c r="O62" i="1"/>
  <c r="P62" i="1" s="1"/>
  <c r="R62" i="1" s="1"/>
  <c r="Q62" i="1" s="1"/>
  <c r="B63" i="1"/>
  <c r="B64" i="1" s="1"/>
  <c r="D63" i="1"/>
  <c r="I63" i="1"/>
  <c r="O63" i="1" s="1"/>
  <c r="P63" i="1" s="1"/>
  <c r="R63" i="1"/>
  <c r="Q63" i="1" s="1"/>
  <c r="D64" i="1"/>
  <c r="I64" i="1"/>
  <c r="O64" i="1"/>
  <c r="P64" i="1" s="1"/>
  <c r="R64" i="1" s="1"/>
  <c r="Q64" i="1"/>
  <c r="B65" i="1"/>
  <c r="B66" i="1" s="1"/>
  <c r="B67" i="1" s="1"/>
  <c r="B68" i="1" s="1"/>
  <c r="D65" i="1"/>
  <c r="I65" i="1"/>
  <c r="O65" i="1" s="1"/>
  <c r="P65" i="1" s="1"/>
  <c r="R65" i="1"/>
  <c r="Q65" i="1" s="1"/>
  <c r="D66" i="1"/>
  <c r="I66" i="1"/>
  <c r="O66" i="1"/>
  <c r="P66" i="1" s="1"/>
  <c r="R66" i="1" s="1"/>
  <c r="Q66" i="1"/>
  <c r="D67" i="1"/>
  <c r="I67" i="1"/>
  <c r="O67" i="1" s="1"/>
  <c r="P67" i="1" s="1"/>
  <c r="D68" i="1"/>
  <c r="I68" i="1"/>
  <c r="R26" i="2" l="1"/>
  <c r="Q26" i="2" s="1"/>
  <c r="R30" i="2"/>
  <c r="Q30" i="2" s="1"/>
  <c r="R51" i="2"/>
  <c r="Q51" i="2" s="1"/>
  <c r="G6" i="2"/>
  <c r="C7" i="2"/>
  <c r="F7" i="2" s="1"/>
  <c r="H6" i="2"/>
  <c r="S18" i="2"/>
  <c r="R25" i="2"/>
  <c r="Q25" i="2" s="1"/>
  <c r="R22" i="2"/>
  <c r="Q22" i="2" s="1"/>
  <c r="R27" i="2"/>
  <c r="Q27" i="2" s="1"/>
  <c r="R31" i="2"/>
  <c r="Q31" i="2" s="1"/>
  <c r="R29" i="2"/>
  <c r="Q29" i="2" s="1"/>
  <c r="R21" i="2"/>
  <c r="Q21" i="2" s="1"/>
  <c r="R18" i="2"/>
  <c r="Q18" i="2" s="1"/>
  <c r="R24" i="2"/>
  <c r="Q24" i="2" s="1"/>
  <c r="R32" i="2"/>
  <c r="Q32" i="2" s="1"/>
  <c r="R47" i="2"/>
  <c r="Q47" i="2" s="1"/>
  <c r="R23" i="2"/>
  <c r="Q23" i="2" s="1"/>
  <c r="R19" i="2"/>
  <c r="Q19" i="2" s="1"/>
  <c r="R20" i="2"/>
  <c r="Q20" i="2" s="1"/>
  <c r="R28" i="2"/>
  <c r="Q28" i="2" s="1"/>
  <c r="R64" i="2"/>
  <c r="Q64" i="2" s="1"/>
  <c r="O36" i="2"/>
  <c r="P36" i="2" s="1"/>
  <c r="O40" i="2"/>
  <c r="P40" i="2" s="1"/>
  <c r="O50" i="2"/>
  <c r="P50" i="2" s="1"/>
  <c r="O60" i="2"/>
  <c r="P60" i="2" s="1"/>
  <c r="R37" i="2"/>
  <c r="Q37" i="2" s="1"/>
  <c r="O46" i="2"/>
  <c r="P46" i="2" s="1"/>
  <c r="O66" i="2"/>
  <c r="P66" i="2" s="1"/>
  <c r="O33" i="2"/>
  <c r="P33" i="2" s="1"/>
  <c r="R58" i="2"/>
  <c r="Q58" i="2" s="1"/>
  <c r="O68" i="2"/>
  <c r="P68" i="2" s="1"/>
  <c r="G5" i="2"/>
  <c r="H5" i="2" s="1"/>
  <c r="O54" i="2"/>
  <c r="P54" i="2" s="1"/>
  <c r="R35" i="2"/>
  <c r="Q35" i="2" s="1"/>
  <c r="O42" i="2"/>
  <c r="P42" i="2" s="1"/>
  <c r="R39" i="2"/>
  <c r="Q39" i="2" s="1"/>
  <c r="O44" i="2"/>
  <c r="P44" i="2" s="1"/>
  <c r="O48" i="2"/>
  <c r="P48" i="2" s="1"/>
  <c r="O52" i="2"/>
  <c r="P52" i="2" s="1"/>
  <c r="O56" i="2"/>
  <c r="P56" i="2" s="1"/>
  <c r="R55" i="1"/>
  <c r="Q55" i="1" s="1"/>
  <c r="R67" i="1"/>
  <c r="Q67" i="1" s="1"/>
  <c r="R38" i="1"/>
  <c r="Q38" i="1" s="1"/>
  <c r="R19" i="1"/>
  <c r="Q19" i="1" s="1"/>
  <c r="H6" i="1"/>
  <c r="C7" i="1"/>
  <c r="F7" i="1" s="1"/>
  <c r="G6" i="1"/>
  <c r="R44" i="1"/>
  <c r="Q44" i="1" s="1"/>
  <c r="O41" i="1"/>
  <c r="P41" i="1" s="1"/>
  <c r="R28" i="1"/>
  <c r="Q28" i="1" s="1"/>
  <c r="R33" i="1"/>
  <c r="Q33" i="1" s="1"/>
  <c r="R59" i="1"/>
  <c r="Q59" i="1" s="1"/>
  <c r="R54" i="1"/>
  <c r="Q54" i="1" s="1"/>
  <c r="R42" i="1"/>
  <c r="Q42" i="1" s="1"/>
  <c r="R40" i="1"/>
  <c r="Q40" i="1" s="1"/>
  <c r="R36" i="1"/>
  <c r="Q36" i="1" s="1"/>
  <c r="O22" i="1"/>
  <c r="P22" i="1" s="1"/>
  <c r="M18" i="1"/>
  <c r="S18" i="1"/>
  <c r="O53" i="1"/>
  <c r="P53" i="1" s="1"/>
  <c r="O37" i="1"/>
  <c r="P37" i="1" s="1"/>
  <c r="R31" i="1"/>
  <c r="Q31" i="1" s="1"/>
  <c r="R24" i="1"/>
  <c r="Q24" i="1" s="1"/>
  <c r="R61" i="1"/>
  <c r="Q61" i="1" s="1"/>
  <c r="O46" i="1"/>
  <c r="P46" i="1" s="1"/>
  <c r="O26" i="1"/>
  <c r="P26" i="1" s="1"/>
  <c r="R20" i="1"/>
  <c r="Q20" i="1" s="1"/>
  <c r="O68" i="1"/>
  <c r="P68" i="1" s="1"/>
  <c r="R48" i="1"/>
  <c r="Q48" i="1" s="1"/>
  <c r="R34" i="1"/>
  <c r="Q34" i="1" s="1"/>
  <c r="R32" i="1"/>
  <c r="Q32" i="1" s="1"/>
  <c r="R27" i="1"/>
  <c r="Q27" i="1" s="1"/>
  <c r="R25" i="1"/>
  <c r="Q25" i="1" s="1"/>
  <c r="O56" i="1"/>
  <c r="P56" i="1" s="1"/>
  <c r="R30" i="1"/>
  <c r="Q30" i="1" s="1"/>
  <c r="O45" i="1"/>
  <c r="P45" i="1" s="1"/>
  <c r="R50" i="2" l="1"/>
  <c r="Q50" i="2" s="1"/>
  <c r="R48" i="2"/>
  <c r="Q48" i="2" s="1"/>
  <c r="R54" i="2"/>
  <c r="Q54" i="2" s="1"/>
  <c r="R40" i="2"/>
  <c r="Q40" i="2" s="1"/>
  <c r="R52" i="2"/>
  <c r="Q52" i="2" s="1"/>
  <c r="R66" i="2"/>
  <c r="Q66" i="2" s="1"/>
  <c r="R44" i="2"/>
  <c r="Q44" i="2" s="1"/>
  <c r="R36" i="2"/>
  <c r="Q36" i="2" s="1"/>
  <c r="T18" i="2"/>
  <c r="U18" i="2" s="1"/>
  <c r="V18" i="2" s="1"/>
  <c r="R68" i="2"/>
  <c r="Q68" i="2" s="1"/>
  <c r="R46" i="2"/>
  <c r="Q46" i="2" s="1"/>
  <c r="G7" i="2"/>
  <c r="H7" i="2" s="1"/>
  <c r="C8" i="2"/>
  <c r="F8" i="2" s="1"/>
  <c r="R42" i="2"/>
  <c r="Q42" i="2" s="1"/>
  <c r="R33" i="2"/>
  <c r="Q33" i="2" s="1"/>
  <c r="R60" i="2"/>
  <c r="Q60" i="2" s="1"/>
  <c r="R56" i="2"/>
  <c r="Q56" i="2" s="1"/>
  <c r="R37" i="1"/>
  <c r="Q37" i="1" s="1"/>
  <c r="R22" i="1"/>
  <c r="Q22" i="1" s="1"/>
  <c r="R53" i="1"/>
  <c r="Q53" i="1" s="1"/>
  <c r="R45" i="1"/>
  <c r="Q45" i="1" s="1"/>
  <c r="T18" i="1"/>
  <c r="U18" i="1" s="1"/>
  <c r="V18" i="1" s="1"/>
  <c r="E18" i="1"/>
  <c r="R56" i="1"/>
  <c r="Q56" i="1" s="1"/>
  <c r="R68" i="1"/>
  <c r="Q68" i="1" s="1"/>
  <c r="R26" i="1"/>
  <c r="Q26" i="1" s="1"/>
  <c r="R41" i="1"/>
  <c r="Q41" i="1" s="1"/>
  <c r="R46" i="1"/>
  <c r="Q46" i="1" s="1"/>
  <c r="C8" i="1"/>
  <c r="F8" i="1" s="1"/>
  <c r="G7" i="1"/>
  <c r="H7" i="1" s="1"/>
  <c r="G8" i="2" l="1"/>
  <c r="C9" i="2"/>
  <c r="F9" i="2" s="1"/>
  <c r="H8" i="2"/>
  <c r="C9" i="1"/>
  <c r="F9" i="1" s="1"/>
  <c r="G8" i="1"/>
  <c r="H8" i="1" s="1"/>
  <c r="G9" i="2" l="1"/>
  <c r="H9" i="2" s="1"/>
  <c r="C10" i="2"/>
  <c r="F10" i="2" s="1"/>
  <c r="C10" i="1"/>
  <c r="F10" i="1" s="1"/>
  <c r="G9" i="1"/>
  <c r="H9" i="1"/>
  <c r="G10" i="2" l="1"/>
  <c r="C11" i="2"/>
  <c r="F11" i="2" s="1"/>
  <c r="H10" i="2"/>
  <c r="C11" i="1"/>
  <c r="F11" i="1" s="1"/>
  <c r="G10" i="1"/>
  <c r="H10" i="1" s="1"/>
  <c r="G11" i="2" l="1"/>
  <c r="H11" i="2" s="1"/>
  <c r="C12" i="2"/>
  <c r="F12" i="2" s="1"/>
  <c r="C12" i="1"/>
  <c r="F12" i="1" s="1"/>
  <c r="H11" i="1"/>
  <c r="G11" i="1"/>
  <c r="C13" i="2" l="1"/>
  <c r="F13" i="2" s="1"/>
  <c r="G12" i="2"/>
  <c r="H12" i="2" s="1"/>
  <c r="H12" i="1"/>
  <c r="C13" i="1"/>
  <c r="F13" i="1" s="1"/>
  <c r="G12" i="1"/>
  <c r="G13" i="2" l="1"/>
  <c r="H13" i="2" s="1"/>
  <c r="C14" i="2"/>
  <c r="F14" i="2" s="1"/>
  <c r="C14" i="1"/>
  <c r="F14" i="1" s="1"/>
  <c r="G13" i="1"/>
  <c r="H13" i="1" s="1"/>
  <c r="G14" i="2" l="1"/>
  <c r="C15" i="2"/>
  <c r="F15" i="2" s="1"/>
  <c r="H14" i="2"/>
  <c r="C15" i="1"/>
  <c r="F15" i="1" s="1"/>
  <c r="G14" i="1"/>
  <c r="H14" i="1" s="1"/>
  <c r="G15" i="2" l="1"/>
  <c r="H15" i="2" s="1"/>
  <c r="C16" i="2"/>
  <c r="F16" i="2" s="1"/>
  <c r="C16" i="1"/>
  <c r="F16" i="1" s="1"/>
  <c r="G15" i="1"/>
  <c r="H15" i="1" s="1"/>
  <c r="C17" i="2" l="1"/>
  <c r="F17" i="2" s="1"/>
  <c r="G16" i="2"/>
  <c r="H16" i="2"/>
  <c r="H16" i="1"/>
  <c r="C17" i="1"/>
  <c r="F17" i="1" s="1"/>
  <c r="G16" i="1"/>
  <c r="G17" i="2" l="1"/>
  <c r="H17" i="2" s="1"/>
  <c r="C18" i="2"/>
  <c r="F18" i="2" s="1"/>
  <c r="C18" i="1"/>
  <c r="F18" i="1" s="1"/>
  <c r="G17" i="1"/>
  <c r="H17" i="1"/>
  <c r="G18" i="2" l="1"/>
  <c r="H18" i="2" s="1"/>
  <c r="C19" i="2"/>
  <c r="F19" i="2" s="1"/>
  <c r="C19" i="1"/>
  <c r="G18" i="1"/>
  <c r="H18" i="1" s="1"/>
  <c r="K18" i="2" l="1"/>
  <c r="J18" i="2"/>
  <c r="K18" i="1"/>
  <c r="J18" i="1"/>
  <c r="S19" i="2" l="1"/>
  <c r="M19" i="2"/>
  <c r="S19" i="1"/>
  <c r="M19" i="1"/>
  <c r="T19" i="2" l="1"/>
  <c r="U19" i="2" s="1"/>
  <c r="V19" i="2" s="1"/>
  <c r="T19" i="1"/>
  <c r="U19" i="1" s="1"/>
  <c r="V19" i="1" s="1"/>
  <c r="E19" i="1"/>
  <c r="F19" i="1" s="1"/>
  <c r="G19" i="2" l="1"/>
  <c r="C20" i="2"/>
  <c r="F20" i="2" s="1"/>
  <c r="H19" i="2"/>
  <c r="C20" i="1"/>
  <c r="G19" i="1"/>
  <c r="H19" i="1" s="1"/>
  <c r="K19" i="2" l="1"/>
  <c r="J19" i="2"/>
  <c r="K19" i="1"/>
  <c r="J19" i="1"/>
  <c r="S20" i="2" l="1"/>
  <c r="M20" i="2"/>
  <c r="S20" i="1"/>
  <c r="M20" i="1"/>
  <c r="T20" i="2" l="1"/>
  <c r="U20" i="2" s="1"/>
  <c r="V20" i="2" s="1"/>
  <c r="T20" i="1"/>
  <c r="E20" i="1"/>
  <c r="F20" i="1" s="1"/>
  <c r="U20" i="1"/>
  <c r="V20" i="1" s="1"/>
  <c r="G20" i="2" l="1"/>
  <c r="H20" i="2" s="1"/>
  <c r="C21" i="2"/>
  <c r="F21" i="2" s="1"/>
  <c r="C21" i="1"/>
  <c r="G20" i="1"/>
  <c r="H20" i="1" s="1"/>
  <c r="K20" i="2" l="1"/>
  <c r="J20" i="2"/>
  <c r="K20" i="1"/>
  <c r="J20" i="1"/>
  <c r="S21" i="2" l="1"/>
  <c r="M21" i="2"/>
  <c r="S21" i="1"/>
  <c r="M21" i="1"/>
  <c r="T21" i="2" l="1"/>
  <c r="U21" i="2"/>
  <c r="V21" i="2" s="1"/>
  <c r="E21" i="1"/>
  <c r="F21" i="1" s="1"/>
  <c r="T21" i="1"/>
  <c r="U21" i="1" s="1"/>
  <c r="V21" i="1" s="1"/>
  <c r="C22" i="2" l="1"/>
  <c r="F22" i="2" s="1"/>
  <c r="G21" i="2"/>
  <c r="H21" i="2" s="1"/>
  <c r="G21" i="1"/>
  <c r="H21" i="1"/>
  <c r="C22" i="1"/>
  <c r="K21" i="2" l="1"/>
  <c r="J21" i="2"/>
  <c r="K21" i="1"/>
  <c r="J21" i="1"/>
  <c r="S22" i="2" l="1"/>
  <c r="M22" i="2"/>
  <c r="S22" i="1"/>
  <c r="M22" i="1"/>
  <c r="T22" i="2" l="1"/>
  <c r="U22" i="2" s="1"/>
  <c r="V22" i="2" s="1"/>
  <c r="E22" i="1"/>
  <c r="F22" i="1" s="1"/>
  <c r="T22" i="1"/>
  <c r="U22" i="1" s="1"/>
  <c r="V22" i="1" s="1"/>
  <c r="G22" i="2" l="1"/>
  <c r="H22" i="2" s="1"/>
  <c r="C23" i="2"/>
  <c r="F23" i="2" s="1"/>
  <c r="C23" i="1"/>
  <c r="G22" i="1"/>
  <c r="H22" i="1"/>
  <c r="K22" i="2" l="1"/>
  <c r="J22" i="2"/>
  <c r="K22" i="1"/>
  <c r="J22" i="1"/>
  <c r="S23" i="2" l="1"/>
  <c r="M23" i="2"/>
  <c r="S23" i="1"/>
  <c r="M23" i="1"/>
  <c r="T23" i="2" l="1"/>
  <c r="U23" i="2" s="1"/>
  <c r="V23" i="2" s="1"/>
  <c r="T23" i="1"/>
  <c r="U23" i="1"/>
  <c r="V23" i="1" s="1"/>
  <c r="E23" i="1"/>
  <c r="F23" i="1" s="1"/>
  <c r="G23" i="2" l="1"/>
  <c r="H23" i="2" s="1"/>
  <c r="C24" i="2"/>
  <c r="F24" i="2" s="1"/>
  <c r="C24" i="1"/>
  <c r="G23" i="1"/>
  <c r="H23" i="1" s="1"/>
  <c r="K23" i="2" l="1"/>
  <c r="J23" i="2"/>
  <c r="K23" i="1"/>
  <c r="J23" i="1"/>
  <c r="S24" i="2" l="1"/>
  <c r="M24" i="2"/>
  <c r="S24" i="1"/>
  <c r="M24" i="1"/>
  <c r="T24" i="2" l="1"/>
  <c r="U24" i="2" s="1"/>
  <c r="V24" i="2" s="1"/>
  <c r="T24" i="1"/>
  <c r="E24" i="1"/>
  <c r="F24" i="1" s="1"/>
  <c r="U24" i="1"/>
  <c r="V24" i="1" s="1"/>
  <c r="G24" i="2" l="1"/>
  <c r="H24" i="2" s="1"/>
  <c r="C25" i="2"/>
  <c r="F25" i="2" s="1"/>
  <c r="C25" i="1"/>
  <c r="G24" i="1"/>
  <c r="H24" i="1"/>
  <c r="K24" i="2" l="1"/>
  <c r="J24" i="2"/>
  <c r="K24" i="1"/>
  <c r="J24" i="1"/>
  <c r="S25" i="2" l="1"/>
  <c r="M25" i="2"/>
  <c r="S25" i="1"/>
  <c r="M25" i="1"/>
  <c r="T25" i="2" l="1"/>
  <c r="U25" i="2"/>
  <c r="V25" i="2" s="1"/>
  <c r="E25" i="1"/>
  <c r="F25" i="1" s="1"/>
  <c r="T25" i="1"/>
  <c r="U25" i="1" s="1"/>
  <c r="V25" i="1" s="1"/>
  <c r="C26" i="2" l="1"/>
  <c r="F26" i="2" s="1"/>
  <c r="G25" i="2"/>
  <c r="H25" i="2" s="1"/>
  <c r="G25" i="1"/>
  <c r="H25" i="1"/>
  <c r="C26" i="1"/>
  <c r="K25" i="2" l="1"/>
  <c r="J25" i="2"/>
  <c r="K25" i="1"/>
  <c r="J25" i="1"/>
  <c r="S26" i="2" l="1"/>
  <c r="M26" i="2"/>
  <c r="S26" i="1"/>
  <c r="M26" i="1"/>
  <c r="T26" i="2" l="1"/>
  <c r="U26" i="2" s="1"/>
  <c r="V26" i="2" s="1"/>
  <c r="E26" i="1"/>
  <c r="F26" i="1" s="1"/>
  <c r="T26" i="1"/>
  <c r="U26" i="1" s="1"/>
  <c r="V26" i="1" s="1"/>
  <c r="G26" i="2" l="1"/>
  <c r="H26" i="2" s="1"/>
  <c r="C27" i="2"/>
  <c r="F27" i="2" s="1"/>
  <c r="C27" i="1"/>
  <c r="G26" i="1"/>
  <c r="H26" i="1"/>
  <c r="K26" i="2" l="1"/>
  <c r="J26" i="2"/>
  <c r="K26" i="1"/>
  <c r="J26" i="1"/>
  <c r="S27" i="2" l="1"/>
  <c r="M27" i="2"/>
  <c r="S27" i="1"/>
  <c r="M27" i="1"/>
  <c r="T27" i="2" l="1"/>
  <c r="U27" i="2" s="1"/>
  <c r="V27" i="2" s="1"/>
  <c r="T27" i="1"/>
  <c r="U27" i="1"/>
  <c r="V27" i="1" s="1"/>
  <c r="E27" i="1"/>
  <c r="F27" i="1" s="1"/>
  <c r="G27" i="2" l="1"/>
  <c r="C28" i="2"/>
  <c r="F28" i="2" s="1"/>
  <c r="H27" i="2"/>
  <c r="C28" i="1"/>
  <c r="G27" i="1"/>
  <c r="H27" i="1" s="1"/>
  <c r="K27" i="2" l="1"/>
  <c r="J27" i="2"/>
  <c r="K27" i="1"/>
  <c r="J27" i="1"/>
  <c r="S28" i="2" l="1"/>
  <c r="M28" i="2"/>
  <c r="S28" i="1"/>
  <c r="M28" i="1"/>
  <c r="T28" i="2" l="1"/>
  <c r="U28" i="2" s="1"/>
  <c r="V28" i="2" s="1"/>
  <c r="T28" i="1"/>
  <c r="E28" i="1"/>
  <c r="F28" i="1" s="1"/>
  <c r="U28" i="1"/>
  <c r="V28" i="1" s="1"/>
  <c r="C29" i="2" l="1"/>
  <c r="F29" i="2" s="1"/>
  <c r="G28" i="2"/>
  <c r="H28" i="2" s="1"/>
  <c r="C29" i="1"/>
  <c r="G28" i="1"/>
  <c r="H28" i="1"/>
  <c r="K28" i="2" l="1"/>
  <c r="J28" i="2"/>
  <c r="K28" i="1"/>
  <c r="J28" i="1"/>
  <c r="S29" i="2" l="1"/>
  <c r="M29" i="2"/>
  <c r="S29" i="1"/>
  <c r="M29" i="1"/>
  <c r="T29" i="2" l="1"/>
  <c r="U29" i="2" s="1"/>
  <c r="V29" i="2" s="1"/>
  <c r="T29" i="1"/>
  <c r="E29" i="1"/>
  <c r="F29" i="1" s="1"/>
  <c r="U29" i="1"/>
  <c r="V29" i="1" s="1"/>
  <c r="G29" i="2" l="1"/>
  <c r="H29" i="2" s="1"/>
  <c r="C30" i="2"/>
  <c r="F30" i="2" s="1"/>
  <c r="C30" i="1"/>
  <c r="G29" i="1"/>
  <c r="H29" i="1"/>
  <c r="K29" i="2" l="1"/>
  <c r="J29" i="2"/>
  <c r="K29" i="1"/>
  <c r="J29" i="1"/>
  <c r="S30" i="2" l="1"/>
  <c r="M30" i="2"/>
  <c r="S30" i="1"/>
  <c r="M30" i="1"/>
  <c r="T30" i="2" l="1"/>
  <c r="U30" i="2" s="1"/>
  <c r="V30" i="2" s="1"/>
  <c r="E30" i="1"/>
  <c r="F30" i="1" s="1"/>
  <c r="T30" i="1"/>
  <c r="U30" i="1" s="1"/>
  <c r="V30" i="1" s="1"/>
  <c r="C31" i="2" l="1"/>
  <c r="F31" i="2" s="1"/>
  <c r="G30" i="2"/>
  <c r="H30" i="2" s="1"/>
  <c r="C31" i="1"/>
  <c r="G30" i="1"/>
  <c r="H30" i="1"/>
  <c r="K30" i="2" l="1"/>
  <c r="J30" i="2"/>
  <c r="K30" i="1"/>
  <c r="J30" i="1"/>
  <c r="S31" i="2" l="1"/>
  <c r="M31" i="2"/>
  <c r="S31" i="1"/>
  <c r="M31" i="1"/>
  <c r="T31" i="2" l="1"/>
  <c r="U31" i="2" s="1"/>
  <c r="V31" i="2" s="1"/>
  <c r="T31" i="1"/>
  <c r="U31" i="1"/>
  <c r="V31" i="1" s="1"/>
  <c r="E31" i="1"/>
  <c r="F31" i="1" s="1"/>
  <c r="G31" i="2" l="1"/>
  <c r="H31" i="2" s="1"/>
  <c r="C32" i="2"/>
  <c r="F32" i="2" s="1"/>
  <c r="G31" i="1"/>
  <c r="C32" i="1"/>
  <c r="H31" i="1"/>
  <c r="K31" i="2" l="1"/>
  <c r="J31" i="2"/>
  <c r="K31" i="1"/>
  <c r="J31" i="1"/>
  <c r="S32" i="2" l="1"/>
  <c r="M32" i="2"/>
  <c r="S32" i="1"/>
  <c r="M32" i="1"/>
  <c r="T32" i="2" l="1"/>
  <c r="U32" i="2" s="1"/>
  <c r="V32" i="2" s="1"/>
  <c r="E32" i="1"/>
  <c r="F32" i="1" s="1"/>
  <c r="T32" i="1"/>
  <c r="U32" i="1" s="1"/>
  <c r="V32" i="1" s="1"/>
  <c r="G32" i="2" l="1"/>
  <c r="C33" i="2"/>
  <c r="F33" i="2" s="1"/>
  <c r="H32" i="2"/>
  <c r="C33" i="1"/>
  <c r="G32" i="1"/>
  <c r="H32" i="1" s="1"/>
  <c r="K32" i="2" l="1"/>
  <c r="J32" i="2"/>
  <c r="K32" i="1"/>
  <c r="J32" i="1"/>
  <c r="S33" i="2" l="1"/>
  <c r="M33" i="2"/>
  <c r="S33" i="1"/>
  <c r="M33" i="1"/>
  <c r="T33" i="2" l="1"/>
  <c r="U33" i="2"/>
  <c r="V33" i="2" s="1"/>
  <c r="T33" i="1"/>
  <c r="E33" i="1"/>
  <c r="F33" i="1" s="1"/>
  <c r="U33" i="1"/>
  <c r="V33" i="1" s="1"/>
  <c r="G33" i="2" l="1"/>
  <c r="H33" i="2" s="1"/>
  <c r="C34" i="2"/>
  <c r="F34" i="2" s="1"/>
  <c r="C34" i="1"/>
  <c r="G33" i="1"/>
  <c r="H33" i="1"/>
  <c r="K33" i="2" l="1"/>
  <c r="J33" i="2"/>
  <c r="K33" i="1"/>
  <c r="J33" i="1"/>
  <c r="S34" i="2" l="1"/>
  <c r="M34" i="2"/>
  <c r="S34" i="1"/>
  <c r="M34" i="1"/>
  <c r="T34" i="2" l="1"/>
  <c r="U34" i="2"/>
  <c r="V34" i="2" s="1"/>
  <c r="E34" i="1"/>
  <c r="F34" i="1" s="1"/>
  <c r="T34" i="1"/>
  <c r="U34" i="1" s="1"/>
  <c r="V34" i="1" s="1"/>
  <c r="G34" i="2" l="1"/>
  <c r="H34" i="2" s="1"/>
  <c r="C35" i="2"/>
  <c r="F35" i="2" s="1"/>
  <c r="C35" i="1"/>
  <c r="G34" i="1"/>
  <c r="H34" i="1" s="1"/>
  <c r="K34" i="2" l="1"/>
  <c r="J34" i="2"/>
  <c r="K34" i="1"/>
  <c r="J34" i="1"/>
  <c r="S35" i="2" l="1"/>
  <c r="M35" i="2"/>
  <c r="S35" i="1"/>
  <c r="M35" i="1"/>
  <c r="T35" i="2" l="1"/>
  <c r="U35" i="2" s="1"/>
  <c r="V35" i="2" s="1"/>
  <c r="T35" i="1"/>
  <c r="U35" i="1" s="1"/>
  <c r="V35" i="1" s="1"/>
  <c r="E35" i="1"/>
  <c r="F35" i="1" s="1"/>
  <c r="G35" i="2" l="1"/>
  <c r="C36" i="2"/>
  <c r="F36" i="2" s="1"/>
  <c r="H35" i="2"/>
  <c r="G35" i="1"/>
  <c r="C36" i="1"/>
  <c r="H35" i="1"/>
  <c r="K35" i="2" l="1"/>
  <c r="J35" i="2"/>
  <c r="K35" i="1"/>
  <c r="J35" i="1"/>
  <c r="S36" i="2" l="1"/>
  <c r="M36" i="2"/>
  <c r="S36" i="1"/>
  <c r="M36" i="1"/>
  <c r="T36" i="2" l="1"/>
  <c r="U36" i="2" s="1"/>
  <c r="V36" i="2" s="1"/>
  <c r="E36" i="1"/>
  <c r="F36" i="1" s="1"/>
  <c r="T36" i="1"/>
  <c r="U36" i="1" s="1"/>
  <c r="V36" i="1" s="1"/>
  <c r="G36" i="2" l="1"/>
  <c r="H36" i="2"/>
  <c r="C37" i="2"/>
  <c r="F37" i="2" s="1"/>
  <c r="G36" i="1"/>
  <c r="H36" i="1" s="1"/>
  <c r="C37" i="1"/>
  <c r="K36" i="2" l="1"/>
  <c r="J36" i="2"/>
  <c r="K36" i="1"/>
  <c r="J36" i="1"/>
  <c r="S37" i="2" l="1"/>
  <c r="M37" i="2"/>
  <c r="S37" i="1"/>
  <c r="M37" i="1"/>
  <c r="T37" i="2" l="1"/>
  <c r="U37" i="2"/>
  <c r="V37" i="2" s="1"/>
  <c r="T37" i="1"/>
  <c r="U37" i="1" s="1"/>
  <c r="V37" i="1" s="1"/>
  <c r="E37" i="1"/>
  <c r="F37" i="1" s="1"/>
  <c r="G37" i="2" l="1"/>
  <c r="H37" i="2" s="1"/>
  <c r="C38" i="2"/>
  <c r="F38" i="2" s="1"/>
  <c r="C38" i="1"/>
  <c r="G37" i="1"/>
  <c r="H37" i="1"/>
  <c r="K37" i="2" l="1"/>
  <c r="J37" i="2"/>
  <c r="K37" i="1"/>
  <c r="J37" i="1"/>
  <c r="S38" i="2" l="1"/>
  <c r="M38" i="2"/>
  <c r="S38" i="1"/>
  <c r="M38" i="1"/>
  <c r="T38" i="2" l="1"/>
  <c r="U38" i="2" s="1"/>
  <c r="V38" i="2" s="1"/>
  <c r="E38" i="1"/>
  <c r="F38" i="1" s="1"/>
  <c r="T38" i="1"/>
  <c r="U38" i="1" s="1"/>
  <c r="V38" i="1" s="1"/>
  <c r="G38" i="2" l="1"/>
  <c r="H38" i="2" s="1"/>
  <c r="C39" i="2"/>
  <c r="F39" i="2" s="1"/>
  <c r="C39" i="1"/>
  <c r="G38" i="1"/>
  <c r="H38" i="1" s="1"/>
  <c r="K38" i="2" l="1"/>
  <c r="J38" i="2"/>
  <c r="K38" i="1"/>
  <c r="J38" i="1"/>
  <c r="S39" i="2" l="1"/>
  <c r="M39" i="2"/>
  <c r="S39" i="1"/>
  <c r="M39" i="1"/>
  <c r="T39" i="2" l="1"/>
  <c r="U39" i="2" s="1"/>
  <c r="V39" i="2" s="1"/>
  <c r="T39" i="1"/>
  <c r="U39" i="1" s="1"/>
  <c r="V39" i="1" s="1"/>
  <c r="E39" i="1"/>
  <c r="F39" i="1" s="1"/>
  <c r="G39" i="2" l="1"/>
  <c r="H39" i="2" s="1"/>
  <c r="C40" i="2"/>
  <c r="F40" i="2" s="1"/>
  <c r="G39" i="1"/>
  <c r="H39" i="1"/>
  <c r="C40" i="1"/>
  <c r="K39" i="2" l="1"/>
  <c r="J39" i="2"/>
  <c r="K39" i="1"/>
  <c r="J39" i="1"/>
  <c r="S40" i="2" l="1"/>
  <c r="M40" i="2"/>
  <c r="S40" i="1"/>
  <c r="M40" i="1"/>
  <c r="T40" i="2" l="1"/>
  <c r="U40" i="2" s="1"/>
  <c r="V40" i="2" s="1"/>
  <c r="E40" i="1"/>
  <c r="F40" i="1" s="1"/>
  <c r="T40" i="1"/>
  <c r="U40" i="1" s="1"/>
  <c r="V40" i="1" s="1"/>
  <c r="G40" i="2" l="1"/>
  <c r="H40" i="2" s="1"/>
  <c r="C41" i="2"/>
  <c r="F41" i="2" s="1"/>
  <c r="G40" i="1"/>
  <c r="H40" i="1" s="1"/>
  <c r="C41" i="1"/>
  <c r="K40" i="2" l="1"/>
  <c r="J40" i="2"/>
  <c r="K40" i="1"/>
  <c r="J40" i="1"/>
  <c r="S41" i="2" l="1"/>
  <c r="M41" i="2"/>
  <c r="S41" i="1"/>
  <c r="M41" i="1"/>
  <c r="T41" i="2" l="1"/>
  <c r="U41" i="2" s="1"/>
  <c r="V41" i="2" s="1"/>
  <c r="E41" i="1"/>
  <c r="F41" i="1" s="1"/>
  <c r="T41" i="1"/>
  <c r="U41" i="1"/>
  <c r="V41" i="1" s="1"/>
  <c r="G41" i="2" l="1"/>
  <c r="H41" i="2" s="1"/>
  <c r="C42" i="2"/>
  <c r="F42" i="2" s="1"/>
  <c r="C42" i="1"/>
  <c r="G41" i="1"/>
  <c r="H41" i="1"/>
  <c r="K41" i="2" l="1"/>
  <c r="J41" i="2"/>
  <c r="K41" i="1"/>
  <c r="J41" i="1"/>
  <c r="S42" i="2" l="1"/>
  <c r="M42" i="2"/>
  <c r="S42" i="1"/>
  <c r="M42" i="1"/>
  <c r="T42" i="2" l="1"/>
  <c r="U42" i="2" s="1"/>
  <c r="V42" i="2" s="1"/>
  <c r="T42" i="1"/>
  <c r="U42" i="1" s="1"/>
  <c r="V42" i="1" s="1"/>
  <c r="E42" i="1"/>
  <c r="F42" i="1" s="1"/>
  <c r="G42" i="2" l="1"/>
  <c r="H42" i="2" s="1"/>
  <c r="C43" i="2"/>
  <c r="F43" i="2" s="1"/>
  <c r="C43" i="1"/>
  <c r="G42" i="1"/>
  <c r="H42" i="1" s="1"/>
  <c r="K42" i="2" l="1"/>
  <c r="J42" i="2"/>
  <c r="K42" i="1"/>
  <c r="J42" i="1"/>
  <c r="S43" i="2" l="1"/>
  <c r="M43" i="2"/>
  <c r="S43" i="1"/>
  <c r="M43" i="1"/>
  <c r="T43" i="2" l="1"/>
  <c r="U43" i="2" s="1"/>
  <c r="V43" i="2" s="1"/>
  <c r="T43" i="1"/>
  <c r="U43" i="1" s="1"/>
  <c r="V43" i="1" s="1"/>
  <c r="E43" i="1"/>
  <c r="F43" i="1" s="1"/>
  <c r="C44" i="2" l="1"/>
  <c r="F44" i="2" s="1"/>
  <c r="G43" i="2"/>
  <c r="H43" i="2" s="1"/>
  <c r="C44" i="1"/>
  <c r="G43" i="1"/>
  <c r="H43" i="1" s="1"/>
  <c r="K43" i="2" l="1"/>
  <c r="J43" i="2"/>
  <c r="K43" i="1"/>
  <c r="J43" i="1"/>
  <c r="S44" i="2" l="1"/>
  <c r="M44" i="2"/>
  <c r="S44" i="1"/>
  <c r="M44" i="1"/>
  <c r="T44" i="2" l="1"/>
  <c r="U44" i="2" s="1"/>
  <c r="V44" i="2" s="1"/>
  <c r="E44" i="1"/>
  <c r="F44" i="1" s="1"/>
  <c r="T44" i="1"/>
  <c r="U44" i="1" s="1"/>
  <c r="V44" i="1" s="1"/>
  <c r="C45" i="2" l="1"/>
  <c r="F45" i="2" s="1"/>
  <c r="G44" i="2"/>
  <c r="H44" i="2" s="1"/>
  <c r="G44" i="1"/>
  <c r="H44" i="1"/>
  <c r="C45" i="1"/>
  <c r="K44" i="2" l="1"/>
  <c r="J44" i="2"/>
  <c r="K44" i="1"/>
  <c r="J44" i="1"/>
  <c r="S45" i="2" l="1"/>
  <c r="M45" i="2"/>
  <c r="S45" i="1"/>
  <c r="M45" i="1"/>
  <c r="T45" i="2" l="1"/>
  <c r="U45" i="2" s="1"/>
  <c r="V45" i="2" s="1"/>
  <c r="E45" i="1"/>
  <c r="F45" i="1" s="1"/>
  <c r="T45" i="1"/>
  <c r="U45" i="1"/>
  <c r="V45" i="1" s="1"/>
  <c r="G45" i="2" l="1"/>
  <c r="H45" i="2" s="1"/>
  <c r="C46" i="2"/>
  <c r="F46" i="2" s="1"/>
  <c r="C46" i="1"/>
  <c r="G45" i="1"/>
  <c r="H45" i="1"/>
  <c r="K45" i="2" l="1"/>
  <c r="J45" i="2"/>
  <c r="K45" i="1"/>
  <c r="J45" i="1"/>
  <c r="S46" i="2" l="1"/>
  <c r="M46" i="2"/>
  <c r="S46" i="1"/>
  <c r="M46" i="1"/>
  <c r="T46" i="2" l="1"/>
  <c r="U46" i="2" s="1"/>
  <c r="V46" i="2" s="1"/>
  <c r="T46" i="1"/>
  <c r="U46" i="1" s="1"/>
  <c r="V46" i="1" s="1"/>
  <c r="E46" i="1"/>
  <c r="F46" i="1" s="1"/>
  <c r="G46" i="2" l="1"/>
  <c r="H46" i="2" s="1"/>
  <c r="C47" i="2"/>
  <c r="F47" i="2" s="1"/>
  <c r="C47" i="1"/>
  <c r="G46" i="1"/>
  <c r="H46" i="1" s="1"/>
  <c r="K46" i="2" l="1"/>
  <c r="J46" i="2"/>
  <c r="K46" i="1"/>
  <c r="J46" i="1"/>
  <c r="S47" i="2" l="1"/>
  <c r="M47" i="2"/>
  <c r="S47" i="1"/>
  <c r="M47" i="1"/>
  <c r="T47" i="2" l="1"/>
  <c r="U47" i="2" s="1"/>
  <c r="V47" i="2" s="1"/>
  <c r="T47" i="1"/>
  <c r="U47" i="1" s="1"/>
  <c r="V47" i="1" s="1"/>
  <c r="E47" i="1"/>
  <c r="F47" i="1" s="1"/>
  <c r="C48" i="2" l="1"/>
  <c r="F48" i="2" s="1"/>
  <c r="G47" i="2"/>
  <c r="H47" i="2" s="1"/>
  <c r="C48" i="1"/>
  <c r="G47" i="1"/>
  <c r="H47" i="1" s="1"/>
  <c r="K47" i="2" l="1"/>
  <c r="J47" i="2"/>
  <c r="K47" i="1"/>
  <c r="J47" i="1"/>
  <c r="S48" i="2" l="1"/>
  <c r="M48" i="2"/>
  <c r="S48" i="1"/>
  <c r="M48" i="1"/>
  <c r="T48" i="2" l="1"/>
  <c r="U48" i="2" s="1"/>
  <c r="V48" i="2" s="1"/>
  <c r="E48" i="1"/>
  <c r="F48" i="1" s="1"/>
  <c r="T48" i="1"/>
  <c r="U48" i="1" s="1"/>
  <c r="V48" i="1" s="1"/>
  <c r="C49" i="2" l="1"/>
  <c r="F49" i="2" s="1"/>
  <c r="G48" i="2"/>
  <c r="H48" i="2" s="1"/>
  <c r="G48" i="1"/>
  <c r="H48" i="1" s="1"/>
  <c r="C49" i="1"/>
  <c r="K48" i="2" l="1"/>
  <c r="J48" i="2"/>
  <c r="K48" i="1"/>
  <c r="J48" i="1"/>
  <c r="S49" i="2" l="1"/>
  <c r="M49" i="2"/>
  <c r="S49" i="1"/>
  <c r="M49" i="1"/>
  <c r="T49" i="2" l="1"/>
  <c r="U49" i="2" s="1"/>
  <c r="V49" i="2" s="1"/>
  <c r="E49" i="1"/>
  <c r="F49" i="1" s="1"/>
  <c r="T49" i="1"/>
  <c r="U49" i="1" s="1"/>
  <c r="V49" i="1" s="1"/>
  <c r="G49" i="2" l="1"/>
  <c r="H49" i="2" s="1"/>
  <c r="C50" i="2"/>
  <c r="F50" i="2" s="1"/>
  <c r="C50" i="1"/>
  <c r="G49" i="1"/>
  <c r="H49" i="1"/>
  <c r="K49" i="2" l="1"/>
  <c r="J49" i="2"/>
  <c r="K49" i="1"/>
  <c r="J49" i="1"/>
  <c r="S50" i="2" l="1"/>
  <c r="M50" i="2"/>
  <c r="S50" i="1"/>
  <c r="M50" i="1"/>
  <c r="T50" i="2" l="1"/>
  <c r="U50" i="2" s="1"/>
  <c r="V50" i="2" s="1"/>
  <c r="T50" i="1"/>
  <c r="U50" i="1" s="1"/>
  <c r="V50" i="1" s="1"/>
  <c r="E50" i="1"/>
  <c r="F50" i="1" s="1"/>
  <c r="G50" i="2" l="1"/>
  <c r="H50" i="2" s="1"/>
  <c r="C51" i="2"/>
  <c r="F51" i="2" s="1"/>
  <c r="G50" i="1"/>
  <c r="H50" i="1"/>
  <c r="C51" i="1"/>
  <c r="K50" i="2" l="1"/>
  <c r="J50" i="2"/>
  <c r="K50" i="1"/>
  <c r="J50" i="1"/>
  <c r="S51" i="2" l="1"/>
  <c r="M51" i="2"/>
  <c r="S51" i="1"/>
  <c r="M51" i="1"/>
  <c r="T51" i="2" l="1"/>
  <c r="U51" i="2" s="1"/>
  <c r="V51" i="2" s="1"/>
  <c r="T51" i="1"/>
  <c r="E51" i="1"/>
  <c r="F51" i="1" s="1"/>
  <c r="U51" i="1"/>
  <c r="V51" i="1" s="1"/>
  <c r="C52" i="2" l="1"/>
  <c r="F52" i="2" s="1"/>
  <c r="G51" i="2"/>
  <c r="H51" i="2" s="1"/>
  <c r="C52" i="1"/>
  <c r="G51" i="1"/>
  <c r="H51" i="1"/>
  <c r="K51" i="2" l="1"/>
  <c r="J51" i="2"/>
  <c r="K51" i="1"/>
  <c r="J51" i="1"/>
  <c r="S52" i="2" l="1"/>
  <c r="M52" i="2"/>
  <c r="S52" i="1"/>
  <c r="M52" i="1"/>
  <c r="T52" i="2" l="1"/>
  <c r="U52" i="2" s="1"/>
  <c r="V52" i="2" s="1"/>
  <c r="T52" i="1"/>
  <c r="U52" i="1" s="1"/>
  <c r="V52" i="1" s="1"/>
  <c r="E52" i="1"/>
  <c r="F52" i="1" s="1"/>
  <c r="C53" i="2" l="1"/>
  <c r="F53" i="2" s="1"/>
  <c r="G52" i="2"/>
  <c r="H52" i="2" s="1"/>
  <c r="G52" i="1"/>
  <c r="H52" i="1"/>
  <c r="C53" i="1"/>
  <c r="K52" i="2" l="1"/>
  <c r="J52" i="2"/>
  <c r="K52" i="1"/>
  <c r="J52" i="1"/>
  <c r="S53" i="2" l="1"/>
  <c r="M53" i="2"/>
  <c r="S53" i="1"/>
  <c r="M53" i="1"/>
  <c r="T53" i="2" l="1"/>
  <c r="U53" i="2" s="1"/>
  <c r="V53" i="2" s="1"/>
  <c r="E53" i="1"/>
  <c r="F53" i="1" s="1"/>
  <c r="T53" i="1"/>
  <c r="U53" i="1" s="1"/>
  <c r="V53" i="1" s="1"/>
  <c r="G53" i="2" l="1"/>
  <c r="H53" i="2" s="1"/>
  <c r="C54" i="2"/>
  <c r="F54" i="2" s="1"/>
  <c r="C54" i="1"/>
  <c r="G53" i="1"/>
  <c r="H53" i="1"/>
  <c r="K53" i="2" l="1"/>
  <c r="J53" i="2"/>
  <c r="K53" i="1"/>
  <c r="J53" i="1"/>
  <c r="S54" i="2" l="1"/>
  <c r="M54" i="2"/>
  <c r="S54" i="1"/>
  <c r="M54" i="1"/>
  <c r="T54" i="2" l="1"/>
  <c r="U54" i="2"/>
  <c r="V54" i="2" s="1"/>
  <c r="T54" i="1"/>
  <c r="E54" i="1"/>
  <c r="F54" i="1" s="1"/>
  <c r="U54" i="1"/>
  <c r="V54" i="1" s="1"/>
  <c r="G54" i="2" l="1"/>
  <c r="H54" i="2" s="1"/>
  <c r="C55" i="2"/>
  <c r="F55" i="2" s="1"/>
  <c r="C55" i="1"/>
  <c r="G54" i="1"/>
  <c r="H54" i="1" s="1"/>
  <c r="K54" i="2" l="1"/>
  <c r="J54" i="2"/>
  <c r="K54" i="1"/>
  <c r="J54" i="1"/>
  <c r="S55" i="2" l="1"/>
  <c r="M55" i="2"/>
  <c r="S55" i="1"/>
  <c r="M55" i="1"/>
  <c r="T55" i="2" l="1"/>
  <c r="U55" i="2" s="1"/>
  <c r="V55" i="2" s="1"/>
  <c r="T55" i="1"/>
  <c r="U55" i="1" s="1"/>
  <c r="V55" i="1" s="1"/>
  <c r="E55" i="1"/>
  <c r="F55" i="1" s="1"/>
  <c r="C56" i="2" l="1"/>
  <c r="F56" i="2" s="1"/>
  <c r="G55" i="2"/>
  <c r="H55" i="2" s="1"/>
  <c r="C56" i="1"/>
  <c r="G55" i="1"/>
  <c r="H55" i="1" s="1"/>
  <c r="J55" i="2" l="1"/>
  <c r="K55" i="1"/>
  <c r="J55" i="1"/>
  <c r="S56" i="2" l="1"/>
  <c r="M56" i="2"/>
  <c r="S56" i="1"/>
  <c r="M56" i="1"/>
  <c r="T56" i="2" l="1"/>
  <c r="U56" i="2" s="1"/>
  <c r="V56" i="2" s="1"/>
  <c r="T56" i="1"/>
  <c r="E56" i="1"/>
  <c r="F56" i="1" s="1"/>
  <c r="U56" i="1"/>
  <c r="V56" i="1" s="1"/>
  <c r="G56" i="2" l="1"/>
  <c r="H56" i="2" s="1"/>
  <c r="G56" i="1"/>
  <c r="H56" i="1" s="1"/>
  <c r="K56" i="2" l="1"/>
  <c r="J56" i="2"/>
  <c r="K56" i="1"/>
  <c r="J56" i="1"/>
  <c r="S57" i="2" l="1"/>
  <c r="M57" i="2"/>
  <c r="S57" i="1"/>
  <c r="M57" i="1"/>
  <c r="T57" i="2" l="1"/>
  <c r="U57" i="2"/>
  <c r="V57" i="2" s="1"/>
  <c r="T57" i="1"/>
  <c r="U57" i="1" s="1"/>
  <c r="V57" i="1" s="1"/>
  <c r="H57" i="2" l="1"/>
  <c r="J57" i="2" s="1"/>
  <c r="K57" i="2" s="1"/>
  <c r="H57" i="1"/>
  <c r="J57" i="1" s="1"/>
  <c r="K57" i="1" s="1"/>
  <c r="S58" i="2" l="1"/>
  <c r="M58" i="2"/>
  <c r="S58" i="1"/>
  <c r="M58" i="1"/>
  <c r="T58" i="2" l="1"/>
  <c r="U58" i="2" s="1"/>
  <c r="V58" i="2" s="1"/>
  <c r="T58" i="1"/>
  <c r="U58" i="1" s="1"/>
  <c r="V58" i="1" s="1"/>
  <c r="H58" i="2" l="1"/>
  <c r="J58" i="2" s="1"/>
  <c r="K58" i="2" s="1"/>
  <c r="H58" i="1"/>
  <c r="J58" i="1" s="1"/>
  <c r="K58" i="1" s="1"/>
  <c r="S59" i="2" l="1"/>
  <c r="M59" i="2"/>
  <c r="S59" i="1"/>
  <c r="M59" i="1"/>
  <c r="T59" i="2" l="1"/>
  <c r="U59" i="2"/>
  <c r="V59" i="2" s="1"/>
  <c r="T59" i="1"/>
  <c r="U59" i="1" s="1"/>
  <c r="V59" i="1" s="1"/>
  <c r="H59" i="2" l="1"/>
  <c r="J59" i="2" s="1"/>
  <c r="K59" i="2" s="1"/>
  <c r="G59" i="1"/>
  <c r="H59" i="1"/>
  <c r="J59" i="1" s="1"/>
  <c r="K59" i="1" s="1"/>
  <c r="S60" i="2" l="1"/>
  <c r="M60" i="2"/>
  <c r="S60" i="1"/>
  <c r="M60" i="1"/>
  <c r="T60" i="2" l="1"/>
  <c r="U60" i="2" s="1"/>
  <c r="V60" i="2" s="1"/>
  <c r="T60" i="1"/>
  <c r="U60" i="1" s="1"/>
  <c r="V60" i="1" s="1"/>
  <c r="H60" i="2" l="1"/>
  <c r="J60" i="2" s="1"/>
  <c r="K60" i="2" s="1"/>
  <c r="G60" i="1"/>
  <c r="H60" i="1"/>
  <c r="J60" i="1" s="1"/>
  <c r="K60" i="1" s="1"/>
  <c r="S61" i="2" l="1"/>
  <c r="M61" i="2"/>
  <c r="S61" i="1"/>
  <c r="M61" i="1"/>
  <c r="T61" i="2" l="1"/>
  <c r="U61" i="2"/>
  <c r="V61" i="2" s="1"/>
  <c r="T61" i="1"/>
  <c r="U61" i="1" s="1"/>
  <c r="V61" i="1" s="1"/>
  <c r="H61" i="2" l="1"/>
  <c r="J61" i="2" s="1"/>
  <c r="K61" i="2" s="1"/>
  <c r="G61" i="1"/>
  <c r="H61" i="1"/>
  <c r="J61" i="1" s="1"/>
  <c r="K61" i="1" s="1"/>
  <c r="S62" i="2" l="1"/>
  <c r="M62" i="2"/>
  <c r="S62" i="1"/>
  <c r="M62" i="1"/>
  <c r="T62" i="2" l="1"/>
  <c r="U62" i="2" s="1"/>
  <c r="V62" i="2" s="1"/>
  <c r="T62" i="1"/>
  <c r="U62" i="1" s="1"/>
  <c r="V62" i="1" s="1"/>
  <c r="H62" i="2" l="1"/>
  <c r="J62" i="2" s="1"/>
  <c r="K62" i="2" s="1"/>
  <c r="G62" i="1"/>
  <c r="H62" i="1"/>
  <c r="J62" i="1" s="1"/>
  <c r="K62" i="1" s="1"/>
  <c r="S63" i="2" l="1"/>
  <c r="M63" i="2"/>
  <c r="S63" i="1"/>
  <c r="M63" i="1"/>
  <c r="T63" i="2" l="1"/>
  <c r="U63" i="2"/>
  <c r="V63" i="2" s="1"/>
  <c r="T63" i="1"/>
  <c r="U63" i="1" s="1"/>
  <c r="V63" i="1" s="1"/>
  <c r="H63" i="2" l="1"/>
  <c r="J63" i="2" s="1"/>
  <c r="K63" i="2" s="1"/>
  <c r="G63" i="1"/>
  <c r="H63" i="1"/>
  <c r="J63" i="1" s="1"/>
  <c r="K63" i="1" s="1"/>
  <c r="S64" i="2" l="1"/>
  <c r="M64" i="2"/>
  <c r="S64" i="1"/>
  <c r="M64" i="1"/>
  <c r="T64" i="2" l="1"/>
  <c r="U64" i="2" s="1"/>
  <c r="V64" i="2" s="1"/>
  <c r="T64" i="1"/>
  <c r="U64" i="1" s="1"/>
  <c r="V64" i="1" s="1"/>
  <c r="H64" i="2" l="1"/>
  <c r="J64" i="2" s="1"/>
  <c r="K64" i="2" s="1"/>
  <c r="G64" i="1"/>
  <c r="H64" i="1"/>
  <c r="J64" i="1" s="1"/>
  <c r="K64" i="1" s="1"/>
  <c r="S65" i="2" l="1"/>
  <c r="M65" i="2"/>
  <c r="S65" i="1"/>
  <c r="M65" i="1"/>
  <c r="T65" i="2" l="1"/>
  <c r="U65" i="2"/>
  <c r="V65" i="2" s="1"/>
  <c r="T65" i="1"/>
  <c r="U65" i="1" s="1"/>
  <c r="V65" i="1" s="1"/>
  <c r="H65" i="2" l="1"/>
  <c r="J65" i="2" s="1"/>
  <c r="K65" i="2" s="1"/>
  <c r="G65" i="1"/>
  <c r="H65" i="1" s="1"/>
  <c r="J65" i="1" s="1"/>
  <c r="K65" i="1" s="1"/>
  <c r="S66" i="2" l="1"/>
  <c r="M66" i="2"/>
  <c r="S66" i="1"/>
  <c r="M66" i="1"/>
  <c r="T66" i="2" l="1"/>
  <c r="U66" i="2" s="1"/>
  <c r="V66" i="2" s="1"/>
  <c r="T66" i="1"/>
  <c r="U66" i="1" s="1"/>
  <c r="V66" i="1" s="1"/>
  <c r="H66" i="2" l="1"/>
  <c r="J66" i="2" s="1"/>
  <c r="K66" i="2" s="1"/>
  <c r="G66" i="1"/>
  <c r="H66" i="1"/>
  <c r="J66" i="1" s="1"/>
  <c r="K66" i="1" s="1"/>
  <c r="S67" i="2" l="1"/>
  <c r="M67" i="2"/>
  <c r="S67" i="1"/>
  <c r="M67" i="1"/>
  <c r="T67" i="2" l="1"/>
  <c r="U67" i="2" s="1"/>
  <c r="V67" i="2" s="1"/>
  <c r="T67" i="1"/>
  <c r="U67" i="1"/>
  <c r="V67" i="1" s="1"/>
  <c r="H67" i="2" l="1"/>
  <c r="J67" i="2" s="1"/>
  <c r="K67" i="2" s="1"/>
  <c r="G67" i="1"/>
  <c r="H67" i="1" s="1"/>
  <c r="J67" i="1" s="1"/>
  <c r="K67" i="1" s="1"/>
  <c r="S68" i="2" l="1"/>
  <c r="M68" i="2"/>
  <c r="S68" i="1"/>
  <c r="M68" i="1"/>
  <c r="T68" i="2" l="1"/>
  <c r="U68" i="2" s="1"/>
  <c r="V68" i="2" s="1"/>
  <c r="T68" i="1"/>
  <c r="U68" i="1" s="1"/>
  <c r="V68" i="1" s="1"/>
  <c r="H68" i="2" l="1"/>
  <c r="J68" i="2" s="1"/>
  <c r="K68" i="2" s="1"/>
  <c r="G68" i="1"/>
  <c r="H68" i="1"/>
  <c r="J68" i="1" s="1"/>
  <c r="K68" i="1" s="1"/>
</calcChain>
</file>

<file path=xl/sharedStrings.xml><?xml version="1.0" encoding="utf-8"?>
<sst xmlns="http://schemas.openxmlformats.org/spreadsheetml/2006/main" count="68" uniqueCount="27">
  <si>
    <t>NI Impact</t>
  </si>
  <si>
    <t>FIT</t>
  </si>
  <si>
    <t>FIT Payable</t>
  </si>
  <si>
    <t>Rev Net of Related Expenses</t>
  </si>
  <si>
    <t>A/R</t>
  </si>
  <si>
    <t>Cumulative Return</t>
  </si>
  <si>
    <t>Allowed Return on Rate Base</t>
  </si>
  <si>
    <t>Cumulative Change to Rate Base</t>
  </si>
  <si>
    <t>AMA Rate Base</t>
  </si>
  <si>
    <t>Net Tariff Rev Credit 
(pre-tax)</t>
  </si>
  <si>
    <t>Rate Base</t>
  </si>
  <si>
    <t>254393 
End Bal</t>
  </si>
  <si>
    <t>Amort</t>
  </si>
  <si>
    <t>Deferral /
True Up</t>
  </si>
  <si>
    <t>254393 
Beg Bal</t>
  </si>
  <si>
    <t>Month</t>
  </si>
  <si>
    <t>Rev Related Exp Factor</t>
  </si>
  <si>
    <t>Factor for Rev Req</t>
  </si>
  <si>
    <t>Tax Customer Credit</t>
  </si>
  <si>
    <t>WA Gas Sch 176 &amp; 178</t>
  </si>
  <si>
    <t>WA Electric Sch 76 &amp; 78</t>
  </si>
  <si>
    <t xml:space="preserve">Transition to </t>
  </si>
  <si>
    <t>Flow Through</t>
  </si>
  <si>
    <t>|</t>
  </si>
  <si>
    <t>/</t>
  </si>
  <si>
    <t>Due to</t>
  </si>
  <si>
    <t>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</si>
</sst>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4"/>
      <name val="Aptos Narrow"/>
      <family val="2"/>
      <scheme val="minor"/>
    </font>
    <font>
      <b/>
      <sz val="11"/>
      <color theme="4"/>
      <name val="Aptos Narrow"/>
      <family val="2"/>
      <scheme val="minor"/>
    </font>
    <font>
      <b/>
      <sz val="11"/>
      <color theme="4"/>
      <name val="Aptos Narrow"/>
      <scheme val="minor"/>
    </font>
    <font>
      <b/>
      <sz val="11"/>
      <color theme="4" tint="-0.249977111117893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0" xfId="0" applyNumberFormat="1"/>
    <xf numFmtId="164" fontId="4" fillId="0" borderId="0" xfId="1" applyNumberFormat="1" applyFont="1" applyFill="1" applyBorder="1"/>
    <xf numFmtId="164" fontId="0" fillId="0" borderId="0" xfId="1" applyNumberFormat="1" applyFont="1" applyFill="1"/>
    <xf numFmtId="164" fontId="4" fillId="0" borderId="0" xfId="0" applyNumberFormat="1" applyFont="1"/>
    <xf numFmtId="164" fontId="4" fillId="0" borderId="0" xfId="1" applyNumberFormat="1" applyFont="1" applyFill="1"/>
    <xf numFmtId="164" fontId="0" fillId="0" borderId="0" xfId="1" applyNumberFormat="1" applyFont="1"/>
    <xf numFmtId="0" fontId="5" fillId="0" borderId="0" xfId="0" applyFont="1"/>
    <xf numFmtId="43" fontId="0" fillId="0" borderId="0" xfId="1" applyFont="1" applyFill="1" applyBorder="1"/>
    <xf numFmtId="43" fontId="5" fillId="0" borderId="0" xfId="1" applyFont="1" applyFill="1" applyBorder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3" fillId="0" borderId="0" xfId="1" applyFont="1" applyAlignment="1">
      <alignment horizontal="center" wrapText="1"/>
    </xf>
    <xf numFmtId="165" fontId="0" fillId="0" borderId="0" xfId="2" applyNumberFormat="1" applyFont="1"/>
    <xf numFmtId="9" fontId="0" fillId="0" borderId="0" xfId="2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41" fontId="0" fillId="0" borderId="0" xfId="1" applyNumberFormat="1" applyFont="1"/>
    <xf numFmtId="41" fontId="0" fillId="0" borderId="0" xfId="1" applyNumberFormat="1" applyFont="1" applyBorder="1"/>
    <xf numFmtId="41" fontId="0" fillId="0" borderId="0" xfId="1" applyNumberFormat="1" applyFont="1" applyFill="1"/>
    <xf numFmtId="41" fontId="0" fillId="0" borderId="0" xfId="1" applyNumberFormat="1" applyFont="1" applyFill="1" applyBorder="1"/>
    <xf numFmtId="41" fontId="5" fillId="0" borderId="0" xfId="1" applyNumberFormat="1" applyFont="1" applyFill="1" applyBorder="1"/>
    <xf numFmtId="41" fontId="4" fillId="2" borderId="0" xfId="1" applyNumberFormat="1" applyFont="1" applyFill="1"/>
    <xf numFmtId="41" fontId="4" fillId="0" borderId="0" xfId="1" applyNumberFormat="1" applyFont="1"/>
    <xf numFmtId="41" fontId="4" fillId="0" borderId="0" xfId="1" applyNumberFormat="1" applyFont="1" applyFill="1"/>
    <xf numFmtId="41" fontId="7" fillId="0" borderId="1" xfId="1" applyNumberFormat="1" applyFont="1" applyFill="1" applyBorder="1"/>
    <xf numFmtId="41" fontId="0" fillId="0" borderId="0" xfId="1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41" fontId="0" fillId="2" borderId="0" xfId="1" applyNumberFormat="1" applyFont="1" applyFill="1"/>
    <xf numFmtId="41" fontId="0" fillId="2" borderId="0" xfId="1" quotePrefix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nwrk\30_ava\AV17%20-%20UE-240006%202024%20WA%20GRC\disc\Discovery\Avista%20Resp%20to%20AWEC\AWEC-DR-007%20Revised%20Attachment%20A.xlsx" TargetMode="External"/><Relationship Id="rId1" Type="http://schemas.openxmlformats.org/officeDocument/2006/relationships/externalLinkPath" Target="/nwrk/30_ava/AV17%20-%20UE-240006%202024%20WA%20GRC/disc/Discovery/Avista%20Resp%20to%20AWEC/AWEC-DR-007%20Revised%20Attachment%20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nwrk\30_ava\AV17%20-%20UE-240006%202024%20WA%20GRC\disc\Discovery\Avista%20Resp%20to%20AWEC\AWEC-DR-007%20Attachment%20B.xlsx" TargetMode="External"/><Relationship Id="rId1" Type="http://schemas.openxmlformats.org/officeDocument/2006/relationships/externalLinkPath" Target="/nwrk/30_ava/AV17%20-%20UE-240006%202024%20WA%20GRC/disc/Discovery/Avista%20Resp%20to%20AWEC/AWEC-DR-007%20Attachmen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ADJ"/>
      <sheetName val="Monthly Tariff Revenue"/>
      <sheetName val="Rev Req &amp; Conv Factor"/>
    </sheetNames>
    <sheetDataSet>
      <sheetData sheetId="0"/>
      <sheetData sheetId="1">
        <row r="5">
          <cell r="I5">
            <v>1111962.384278303</v>
          </cell>
        </row>
        <row r="6">
          <cell r="I6">
            <v>1251678.3130086437</v>
          </cell>
        </row>
        <row r="7">
          <cell r="I7">
            <v>1538943.9667269969</v>
          </cell>
        </row>
        <row r="8">
          <cell r="I8">
            <v>1709178.8369618549</v>
          </cell>
        </row>
        <row r="9">
          <cell r="I9">
            <v>1438668.0360374164</v>
          </cell>
        </row>
        <row r="10">
          <cell r="I10">
            <v>1403421.0582839609</v>
          </cell>
        </row>
        <row r="11">
          <cell r="I11">
            <v>1239425.5392221152</v>
          </cell>
        </row>
        <row r="12">
          <cell r="I12">
            <v>1089210.314232826</v>
          </cell>
        </row>
        <row r="13">
          <cell r="I13">
            <v>1037912.8193876272</v>
          </cell>
        </row>
        <row r="14">
          <cell r="I14">
            <v>1337408.5211430306</v>
          </cell>
        </row>
        <row r="15">
          <cell r="I15">
            <v>1487315.3566602247</v>
          </cell>
        </row>
        <row r="16">
          <cell r="I16">
            <v>1119111.9509554491</v>
          </cell>
        </row>
        <row r="17">
          <cell r="I17">
            <v>993624.55947752914</v>
          </cell>
        </row>
        <row r="18">
          <cell r="I18">
            <v>1604497.7917374196</v>
          </cell>
        </row>
        <row r="19">
          <cell r="I19">
            <v>2399609.4842832009</v>
          </cell>
        </row>
        <row r="20">
          <cell r="I20">
            <v>3603322.7626547189</v>
          </cell>
        </row>
        <row r="21">
          <cell r="I21">
            <v>2415943.9762487253</v>
          </cell>
        </row>
        <row r="22">
          <cell r="I22">
            <v>2830352.8652520604</v>
          </cell>
        </row>
        <row r="23">
          <cell r="I23">
            <v>2272951.3042098326</v>
          </cell>
        </row>
        <row r="24">
          <cell r="I24">
            <v>2139399.4936181563</v>
          </cell>
        </row>
        <row r="25">
          <cell r="I25">
            <v>2228547.9145247173</v>
          </cell>
        </row>
        <row r="26">
          <cell r="I26">
            <v>2702585.5753412084</v>
          </cell>
        </row>
        <row r="27">
          <cell r="I27">
            <v>2712814.6961880811</v>
          </cell>
        </row>
        <row r="28">
          <cell r="I28">
            <v>2034557.7810735779</v>
          </cell>
        </row>
        <row r="29">
          <cell r="I29">
            <v>1108626.9766034072</v>
          </cell>
        </row>
        <row r="30">
          <cell r="I30">
            <v>1174784.386812005</v>
          </cell>
        </row>
        <row r="31">
          <cell r="I31">
            <v>1356022.1624155154</v>
          </cell>
        </row>
        <row r="32">
          <cell r="I32">
            <v>1554720.8665598768</v>
          </cell>
        </row>
        <row r="33">
          <cell r="I33">
            <v>1248039.6690711479</v>
          </cell>
        </row>
        <row r="34">
          <cell r="I34">
            <v>1092291.0532373248</v>
          </cell>
        </row>
        <row r="35">
          <cell r="I35">
            <v>966654.81471332069</v>
          </cell>
        </row>
        <row r="36">
          <cell r="I36">
            <v>869927.58548069862</v>
          </cell>
        </row>
        <row r="37">
          <cell r="I37">
            <v>989313.13825229474</v>
          </cell>
        </row>
        <row r="38">
          <cell r="I38">
            <v>1226136.7469608006</v>
          </cell>
        </row>
        <row r="39">
          <cell r="I39">
            <v>1160035.0577549736</v>
          </cell>
        </row>
        <row r="40">
          <cell r="I40">
            <v>809946.19307685015</v>
          </cell>
        </row>
        <row r="41">
          <cell r="I41">
            <v>1000192.2875803312</v>
          </cell>
        </row>
        <row r="42">
          <cell r="I42">
            <v>1320616.2776210818</v>
          </cell>
        </row>
        <row r="43">
          <cell r="I43">
            <v>1065299.9810954279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</sheetData>
      <sheetData sheetId="2">
        <row r="4">
          <cell r="L4">
            <v>0.95606855188236617</v>
          </cell>
        </row>
        <row r="6">
          <cell r="L6">
            <v>0.95606855188236617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Tariff Revenue"/>
      <sheetName val="Rev Req &amp; Conv Factor"/>
    </sheetNames>
    <sheetDataSet>
      <sheetData sheetId="0">
        <row r="5">
          <cell r="I5">
            <v>452054.47468838131</v>
          </cell>
        </row>
        <row r="6">
          <cell r="I6">
            <v>798171.40744271874</v>
          </cell>
        </row>
        <row r="7">
          <cell r="I7">
            <v>1356742.6726585648</v>
          </cell>
        </row>
        <row r="8">
          <cell r="I8">
            <v>1418375.9355638942</v>
          </cell>
        </row>
        <row r="9">
          <cell r="I9">
            <v>1163238.3269680194</v>
          </cell>
        </row>
        <row r="10">
          <cell r="I10">
            <v>843437.17047547607</v>
          </cell>
        </row>
        <row r="11">
          <cell r="I11">
            <v>690747.70791529957</v>
          </cell>
        </row>
        <row r="12">
          <cell r="I12">
            <v>434420.70466662711</v>
          </cell>
        </row>
        <row r="13">
          <cell r="I13">
            <v>220782.25622802772</v>
          </cell>
        </row>
        <row r="14">
          <cell r="I14">
            <v>153725.70867775803</v>
          </cell>
        </row>
        <row r="15">
          <cell r="I15">
            <v>138340.50150186892</v>
          </cell>
        </row>
        <row r="16">
          <cell r="I16">
            <v>174507.08990868178</v>
          </cell>
        </row>
        <row r="17">
          <cell r="I17">
            <v>354880.14644745615</v>
          </cell>
        </row>
        <row r="18">
          <cell r="I18">
            <v>1270113.2737296047</v>
          </cell>
        </row>
        <row r="19">
          <cell r="I19">
            <v>1930258.6622048805</v>
          </cell>
        </row>
        <row r="20">
          <cell r="I20">
            <v>2542687.9406978334</v>
          </cell>
        </row>
        <row r="21">
          <cell r="I21">
            <v>2048829.6532780156</v>
          </cell>
        </row>
        <row r="22">
          <cell r="I22">
            <v>1779599.3767173279</v>
          </cell>
        </row>
        <row r="23">
          <cell r="I23">
            <v>1138173.0135167427</v>
          </cell>
        </row>
        <row r="24">
          <cell r="I24">
            <v>393140.45654607739</v>
          </cell>
        </row>
        <row r="25">
          <cell r="I25">
            <v>306022.12027980509</v>
          </cell>
        </row>
        <row r="26">
          <cell r="I26">
            <v>278788.09351554204</v>
          </cell>
        </row>
        <row r="27">
          <cell r="I27">
            <v>290535.49941575091</v>
          </cell>
        </row>
        <row r="28">
          <cell r="I28">
            <v>383701.3811061639</v>
          </cell>
        </row>
        <row r="29">
          <cell r="I29">
            <v>500795.47108556889</v>
          </cell>
        </row>
        <row r="30">
          <cell r="I30">
            <v>933757.176562818</v>
          </cell>
        </row>
        <row r="31">
          <cell r="I31">
            <v>842465.52119557094</v>
          </cell>
        </row>
        <row r="32">
          <cell r="I32">
            <v>1048405.7478904694</v>
          </cell>
        </row>
        <row r="33">
          <cell r="I33">
            <v>784307.08713784069</v>
          </cell>
        </row>
        <row r="34">
          <cell r="I34">
            <v>601553.76147478609</v>
          </cell>
        </row>
        <row r="35">
          <cell r="I35">
            <v>279550.92217087356</v>
          </cell>
        </row>
        <row r="36">
          <cell r="I36">
            <v>137997.88493046648</v>
          </cell>
        </row>
        <row r="37">
          <cell r="I37">
            <v>108217.236995838</v>
          </cell>
        </row>
        <row r="38">
          <cell r="I38">
            <v>85466.927743472377</v>
          </cell>
        </row>
        <row r="39">
          <cell r="I39">
            <v>105561.70148410169</v>
          </cell>
        </row>
        <row r="40">
          <cell r="I40">
            <v>174185.80361674982</v>
          </cell>
        </row>
        <row r="41">
          <cell r="I41">
            <v>540509.76384552568</v>
          </cell>
        </row>
        <row r="42">
          <cell r="I42">
            <v>907616.72388014605</v>
          </cell>
        </row>
        <row r="43">
          <cell r="I43">
            <v>713909.2357423635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</sheetData>
      <sheetData sheetId="1">
        <row r="4">
          <cell r="L4">
            <v>0.95628183088298646</v>
          </cell>
        </row>
        <row r="6">
          <cell r="L6">
            <v>0.95628183088298646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FBFAF7"/>
      </a:lt2>
      <a:accent1>
        <a:srgbClr val="B93C39"/>
      </a:accent1>
      <a:accent2>
        <a:srgbClr val="979CA7"/>
      </a:accent2>
      <a:accent3>
        <a:srgbClr val="97755B"/>
      </a:accent3>
      <a:accent4>
        <a:srgbClr val="54A5B0"/>
      </a:accent4>
      <a:accent5>
        <a:srgbClr val="E1B459"/>
      </a:accent5>
      <a:accent6>
        <a:srgbClr val="8C9DF4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1317-294D-422D-ABFF-F0E959B2F16E}">
  <sheetPr>
    <pageSetUpPr fitToPage="1"/>
  </sheetPr>
  <dimension ref="A1:X68"/>
  <sheetViews>
    <sheetView tabSelected="1" zoomScaleNormal="100" zoomScaleSheetLayoutView="85" workbookViewId="0">
      <pane xSplit="3" ySplit="4" topLeftCell="D5" activePane="bottomRight" state="frozen"/>
      <selection activeCell="D80" sqref="D80"/>
      <selection pane="topRight" activeCell="D80" sqref="D80"/>
      <selection pane="bottomLeft" activeCell="D80" sqref="D80"/>
      <selection pane="bottomRight" activeCell="D5" sqref="D5"/>
    </sheetView>
  </sheetViews>
  <sheetFormatPr defaultRowHeight="14.25" outlineLevelRow="1" outlineLevelCol="1"/>
  <cols>
    <col min="1" max="1" width="3.25" customWidth="1"/>
    <col min="2" max="2" width="7.625" customWidth="1"/>
    <col min="3" max="3" width="12.125" customWidth="1"/>
    <col min="4" max="5" width="14.25" style="1" customWidth="1"/>
    <col min="6" max="6" width="14.25" customWidth="1"/>
    <col min="7" max="10" width="10.75" customWidth="1"/>
    <col min="11" max="11" width="15.625" customWidth="1"/>
    <col min="12" max="13" width="10.75" customWidth="1"/>
    <col min="14" max="14" width="1" customWidth="1"/>
    <col min="15" max="18" width="10.75" customWidth="1" outlineLevel="1"/>
    <col min="19" max="21" width="10.75" customWidth="1"/>
    <col min="22" max="22" width="10.75" customWidth="1" outlineLevel="1"/>
    <col min="23" max="23" width="5" customWidth="1" outlineLevel="1"/>
    <col min="24" max="24" width="8" customWidth="1" outlineLevel="1"/>
  </cols>
  <sheetData>
    <row r="1" spans="1:22" ht="15">
      <c r="A1" s="20" t="s">
        <v>20</v>
      </c>
      <c r="C1" s="3"/>
      <c r="D1" s="11"/>
      <c r="E1" s="11"/>
      <c r="F1" s="3"/>
    </row>
    <row r="2" spans="1:22" ht="15">
      <c r="A2" s="20" t="s">
        <v>18</v>
      </c>
      <c r="C2" s="3"/>
      <c r="D2" s="11"/>
      <c r="E2" s="11"/>
      <c r="F2" s="3"/>
      <c r="K2" s="19" t="s">
        <v>17</v>
      </c>
      <c r="L2" s="16">
        <v>0</v>
      </c>
      <c r="P2" s="18"/>
      <c r="S2" s="16">
        <f>'[1]Rev Req &amp; Conv Factor'!L6</f>
        <v>0.95606855188236617</v>
      </c>
      <c r="T2" t="s">
        <v>16</v>
      </c>
    </row>
    <row r="3" spans="1:22">
      <c r="R3" s="17">
        <v>0.21</v>
      </c>
    </row>
    <row r="4" spans="1:22" s="13" customFormat="1" ht="45" customHeight="1">
      <c r="B4" s="13" t="s">
        <v>15</v>
      </c>
      <c r="C4" s="13" t="s">
        <v>14</v>
      </c>
      <c r="D4" s="15" t="s">
        <v>13</v>
      </c>
      <c r="E4" s="15" t="s">
        <v>12</v>
      </c>
      <c r="F4" s="13" t="s">
        <v>11</v>
      </c>
      <c r="G4" s="13">
        <v>190393</v>
      </c>
      <c r="H4" s="13" t="s">
        <v>10</v>
      </c>
      <c r="I4" s="13" t="s">
        <v>9</v>
      </c>
      <c r="J4" s="13" t="s">
        <v>8</v>
      </c>
      <c r="K4" s="13" t="s">
        <v>7</v>
      </c>
      <c r="L4" s="13" t="s">
        <v>6</v>
      </c>
      <c r="M4" s="13" t="s">
        <v>5</v>
      </c>
      <c r="O4" s="13" t="s">
        <v>4</v>
      </c>
      <c r="P4" s="13" t="s">
        <v>3</v>
      </c>
      <c r="Q4" s="13" t="s">
        <v>2</v>
      </c>
      <c r="R4" s="13" t="s">
        <v>1</v>
      </c>
      <c r="S4" s="13">
        <v>254393</v>
      </c>
      <c r="T4" s="13">
        <v>190393</v>
      </c>
      <c r="U4" s="13">
        <v>410</v>
      </c>
      <c r="V4" s="13" t="s">
        <v>0</v>
      </c>
    </row>
    <row r="5" spans="1:22" s="13" customFormat="1" ht="15" outlineLevel="1">
      <c r="B5">
        <v>202009</v>
      </c>
      <c r="C5" s="3">
        <v>-57426637.189999998</v>
      </c>
      <c r="D5" s="25"/>
      <c r="E5" s="24"/>
      <c r="F5" s="24">
        <f>SUM(C5:E5)</f>
        <v>-57426637.189999998</v>
      </c>
      <c r="G5" s="7">
        <f>F5*-0.21</f>
        <v>12059593.809899999</v>
      </c>
      <c r="H5" s="4">
        <f>SUM(F5:G5)</f>
        <v>-45367043.380099997</v>
      </c>
      <c r="I5" s="14"/>
    </row>
    <row r="6" spans="1:22" s="13" customFormat="1" ht="15" outlineLevel="1">
      <c r="B6">
        <v>202010</v>
      </c>
      <c r="C6" s="3">
        <f>F5</f>
        <v>-57426637.189999998</v>
      </c>
      <c r="D6" s="25"/>
      <c r="E6" s="24"/>
      <c r="F6" s="24">
        <f t="shared" ref="F6:F55" si="0">SUM(C6:E6)</f>
        <v>-57426637.189999998</v>
      </c>
      <c r="G6" s="4">
        <f t="shared" ref="G6:G39" si="1">F6*-0.21</f>
        <v>12059593.809899999</v>
      </c>
      <c r="H6" s="4">
        <f t="shared" ref="H6:H56" si="2">SUM(F6:G6)</f>
        <v>-45367043.380099997</v>
      </c>
      <c r="I6" s="14"/>
    </row>
    <row r="7" spans="1:22" s="13" customFormat="1" ht="15" outlineLevel="1">
      <c r="B7">
        <v>202011</v>
      </c>
      <c r="C7" s="3">
        <f t="shared" ref="C7:C56" si="3">F6</f>
        <v>-57426637.189999998</v>
      </c>
      <c r="D7" s="25"/>
      <c r="E7" s="24"/>
      <c r="F7" s="24">
        <f t="shared" si="0"/>
        <v>-57426637.189999998</v>
      </c>
      <c r="G7" s="4">
        <f t="shared" si="1"/>
        <v>12059593.809899999</v>
      </c>
      <c r="H7" s="4">
        <f t="shared" si="2"/>
        <v>-45367043.380099997</v>
      </c>
      <c r="I7" s="14"/>
    </row>
    <row r="8" spans="1:22" s="13" customFormat="1" ht="15" outlineLevel="1">
      <c r="B8">
        <v>202012</v>
      </c>
      <c r="C8" s="3">
        <f t="shared" si="3"/>
        <v>-57426637.189999998</v>
      </c>
      <c r="D8" s="25"/>
      <c r="E8" s="24"/>
      <c r="F8" s="24">
        <f t="shared" si="0"/>
        <v>-57426637.189999998</v>
      </c>
      <c r="G8" s="4">
        <f t="shared" si="1"/>
        <v>12059593.809899999</v>
      </c>
      <c r="H8" s="4">
        <f t="shared" si="2"/>
        <v>-45367043.380099997</v>
      </c>
      <c r="I8" s="14"/>
    </row>
    <row r="9" spans="1:22" s="13" customFormat="1" ht="15" outlineLevel="1">
      <c r="B9">
        <v>202101</v>
      </c>
      <c r="C9" s="3">
        <f t="shared" si="3"/>
        <v>-57426637.189999998</v>
      </c>
      <c r="D9" s="25"/>
      <c r="E9" s="24"/>
      <c r="F9" s="24">
        <f t="shared" si="0"/>
        <v>-57426637.189999998</v>
      </c>
      <c r="G9" s="4">
        <f t="shared" si="1"/>
        <v>12059593.809899999</v>
      </c>
      <c r="H9" s="4">
        <f t="shared" si="2"/>
        <v>-45367043.380099997</v>
      </c>
      <c r="I9" s="14"/>
    </row>
    <row r="10" spans="1:22" s="13" customFormat="1" ht="15" outlineLevel="1">
      <c r="B10">
        <v>202102</v>
      </c>
      <c r="C10" s="3">
        <f t="shared" si="3"/>
        <v>-57426637.189999998</v>
      </c>
      <c r="D10" s="25"/>
      <c r="E10" s="24"/>
      <c r="F10" s="24">
        <f t="shared" si="0"/>
        <v>-57426637.189999998</v>
      </c>
      <c r="G10" s="4">
        <f t="shared" si="1"/>
        <v>12059593.809899999</v>
      </c>
      <c r="H10" s="4">
        <f t="shared" si="2"/>
        <v>-45367043.380099997</v>
      </c>
      <c r="I10" s="14"/>
    </row>
    <row r="11" spans="1:22" s="13" customFormat="1" ht="15" outlineLevel="1">
      <c r="B11">
        <v>202103</v>
      </c>
      <c r="C11" s="3">
        <f t="shared" si="3"/>
        <v>-57426637.189999998</v>
      </c>
      <c r="D11" s="25"/>
      <c r="E11" s="24"/>
      <c r="F11" s="24">
        <f t="shared" si="0"/>
        <v>-57426637.189999998</v>
      </c>
      <c r="G11" s="4">
        <f t="shared" si="1"/>
        <v>12059593.809899999</v>
      </c>
      <c r="H11" s="4">
        <f t="shared" si="2"/>
        <v>-45367043.380099997</v>
      </c>
      <c r="I11" s="14"/>
    </row>
    <row r="12" spans="1:22" outlineLevel="1">
      <c r="B12">
        <v>202104</v>
      </c>
      <c r="C12" s="3">
        <f t="shared" si="3"/>
        <v>-57426637.189999998</v>
      </c>
      <c r="D12" s="25"/>
      <c r="E12" s="24"/>
      <c r="F12" s="24">
        <f t="shared" si="0"/>
        <v>-57426637.189999998</v>
      </c>
      <c r="G12" s="4">
        <f t="shared" si="1"/>
        <v>12059593.809899999</v>
      </c>
      <c r="H12" s="4">
        <f t="shared" si="2"/>
        <v>-45367043.380099997</v>
      </c>
      <c r="I12" s="10"/>
      <c r="J12" s="9"/>
    </row>
    <row r="13" spans="1:22" outlineLevel="1">
      <c r="B13">
        <v>202105</v>
      </c>
      <c r="C13" s="3">
        <f t="shared" si="3"/>
        <v>-57426637.189999998</v>
      </c>
      <c r="D13" s="27">
        <v>-105021.78</v>
      </c>
      <c r="E13" s="21"/>
      <c r="F13" s="24">
        <f t="shared" si="0"/>
        <v>-57531658.969999999</v>
      </c>
      <c r="G13" s="4">
        <f t="shared" si="1"/>
        <v>12081648.3837</v>
      </c>
      <c r="H13" s="4">
        <f t="shared" si="2"/>
        <v>-45450010.586300001</v>
      </c>
      <c r="I13" s="10"/>
      <c r="J13" s="9"/>
    </row>
    <row r="14" spans="1:22" outlineLevel="1">
      <c r="B14">
        <v>202106</v>
      </c>
      <c r="C14" s="3">
        <f t="shared" si="3"/>
        <v>-57531658.969999999</v>
      </c>
      <c r="D14" s="27">
        <v>-105021.78</v>
      </c>
      <c r="E14" s="21"/>
      <c r="F14" s="24">
        <f t="shared" si="0"/>
        <v>-57636680.75</v>
      </c>
      <c r="G14" s="4">
        <f t="shared" si="1"/>
        <v>12103702.9575</v>
      </c>
      <c r="H14" s="4">
        <f t="shared" si="2"/>
        <v>-45532977.792500004</v>
      </c>
      <c r="I14" s="10"/>
      <c r="J14" s="9"/>
    </row>
    <row r="15" spans="1:22" outlineLevel="1">
      <c r="B15">
        <v>202107</v>
      </c>
      <c r="C15" s="3">
        <f t="shared" si="3"/>
        <v>-57636680.75</v>
      </c>
      <c r="D15" s="27">
        <v>-105021.78</v>
      </c>
      <c r="E15" s="21"/>
      <c r="F15" s="24">
        <f t="shared" si="0"/>
        <v>-57741702.530000001</v>
      </c>
      <c r="G15" s="4">
        <f t="shared" si="1"/>
        <v>12125757.531299999</v>
      </c>
      <c r="H15" s="4">
        <f t="shared" si="2"/>
        <v>-45615944.9987</v>
      </c>
      <c r="I15" s="10"/>
      <c r="J15" s="9"/>
    </row>
    <row r="16" spans="1:22" outlineLevel="1">
      <c r="B16">
        <v>202108</v>
      </c>
      <c r="C16" s="3">
        <f t="shared" si="3"/>
        <v>-57741702.530000001</v>
      </c>
      <c r="D16" s="27">
        <v>-105021.78</v>
      </c>
      <c r="E16" s="21"/>
      <c r="F16" s="24">
        <f t="shared" si="0"/>
        <v>-57846724.310000002</v>
      </c>
      <c r="G16" s="4">
        <f t="shared" si="1"/>
        <v>12147812.1051</v>
      </c>
      <c r="H16" s="4">
        <f t="shared" ref="H16:H22" si="4">SUM(F16:G16)</f>
        <v>-45698912.204900004</v>
      </c>
      <c r="I16" s="10"/>
      <c r="J16" s="9"/>
    </row>
    <row r="17" spans="2:22" outlineLevel="1">
      <c r="B17">
        <v>202109</v>
      </c>
      <c r="C17" s="3">
        <f t="shared" si="3"/>
        <v>-57846724.310000002</v>
      </c>
      <c r="D17" s="27">
        <v>-105021.78</v>
      </c>
      <c r="E17" s="21"/>
      <c r="F17" s="24">
        <f t="shared" si="0"/>
        <v>-57951746.090000004</v>
      </c>
      <c r="G17" s="4">
        <f>F17*-0.21</f>
        <v>12169866.6789</v>
      </c>
      <c r="H17" s="4">
        <f t="shared" si="4"/>
        <v>-45781879.4111</v>
      </c>
      <c r="I17" s="10"/>
      <c r="J17" s="9"/>
    </row>
    <row r="18" spans="2:22" outlineLevel="1">
      <c r="B18">
        <v>202110</v>
      </c>
      <c r="C18" s="3">
        <f t="shared" si="3"/>
        <v>-57951746.090000004</v>
      </c>
      <c r="D18" s="27">
        <f>-105021.78-491.35-25314.53-24.11+30225.8</f>
        <v>-100625.97</v>
      </c>
      <c r="E18" s="21">
        <f>S18</f>
        <v>1111962.384278303</v>
      </c>
      <c r="F18" s="24">
        <f>SUM(C18:E18)</f>
        <v>-56940409.675721698</v>
      </c>
      <c r="G18" s="4">
        <f>F18*-0.21</f>
        <v>11957486.031901555</v>
      </c>
      <c r="H18" s="4">
        <f>SUM(F18:G18)</f>
        <v>-44982923.643820144</v>
      </c>
      <c r="I18" s="7">
        <f>'[1]Monthly Tariff Revenue'!I5</f>
        <v>1111962.384278303</v>
      </c>
      <c r="J18" s="6">
        <f t="shared" ref="J18:J68" si="5">(((H6+H18)/2)+H7+H8+H9+H10+H11+H12+H13+H14+H15+H16+H17)/12</f>
        <v>-45454747.398838349</v>
      </c>
      <c r="K18" s="6">
        <f t="shared" ref="K18:K38" si="6">H18-$H$17</f>
        <v>798955.76727985591</v>
      </c>
      <c r="L18" s="8"/>
      <c r="M18" s="4">
        <f t="shared" ref="M18:M55" si="7">M17+L18</f>
        <v>0</v>
      </c>
      <c r="O18" s="6">
        <f t="shared" ref="O18:O68" si="8">-I18</f>
        <v>-1111962.384278303</v>
      </c>
      <c r="P18" s="6">
        <f t="shared" ref="P18:P68" si="9">-O18</f>
        <v>1111962.384278303</v>
      </c>
      <c r="Q18" s="6">
        <f t="shared" ref="Q18:Q68" si="10">-R18</f>
        <v>233512.10069844362</v>
      </c>
      <c r="R18" s="6">
        <f t="shared" ref="R18:R68" si="11">P18*-$R$3</f>
        <v>-233512.10069844362</v>
      </c>
      <c r="S18" s="6">
        <f>I18+(L18*'[1]Rev Req &amp; Conv Factor'!$L$4)</f>
        <v>1111962.384278303</v>
      </c>
      <c r="T18" s="6">
        <f t="shared" ref="T18:T40" si="12">S18*-$R$3</f>
        <v>-233512.10069844362</v>
      </c>
      <c r="U18" s="6">
        <f t="shared" ref="U18:U68" si="13">-S18-T18</f>
        <v>-878450.28357985942</v>
      </c>
      <c r="V18" s="6">
        <f t="shared" ref="V18:V68" si="14">P18+R18+U18</f>
        <v>0</v>
      </c>
    </row>
    <row r="19" spans="2:22" outlineLevel="1">
      <c r="B19">
        <v>202111</v>
      </c>
      <c r="C19" s="3">
        <f t="shared" si="3"/>
        <v>-56940409.675721698</v>
      </c>
      <c r="D19" s="27">
        <f>15814.77-491.35-120836.55-25314.53</f>
        <v>-130827.66</v>
      </c>
      <c r="E19" s="21">
        <f t="shared" ref="E19:E56" si="15">S19</f>
        <v>1251678.3130086437</v>
      </c>
      <c r="F19" s="24">
        <f t="shared" si="0"/>
        <v>-55819559.02271305</v>
      </c>
      <c r="G19" s="4">
        <f t="shared" si="1"/>
        <v>11722107.394769739</v>
      </c>
      <c r="H19" s="4">
        <f t="shared" si="4"/>
        <v>-44097451.627943307</v>
      </c>
      <c r="I19" s="7">
        <f>'[1]Monthly Tariff Revenue'!I6</f>
        <v>1251678.3130086437</v>
      </c>
      <c r="J19" s="6">
        <f t="shared" si="5"/>
        <v>-45385842.753486834</v>
      </c>
      <c r="K19" s="6">
        <f t="shared" si="6"/>
        <v>1684427.783156693</v>
      </c>
      <c r="L19" s="8"/>
      <c r="M19" s="4">
        <f t="shared" si="7"/>
        <v>0</v>
      </c>
      <c r="O19" s="6">
        <f t="shared" si="8"/>
        <v>-1251678.3130086437</v>
      </c>
      <c r="P19" s="6">
        <f t="shared" si="9"/>
        <v>1251678.3130086437</v>
      </c>
      <c r="Q19" s="6">
        <f t="shared" si="10"/>
        <v>262852.44573181518</v>
      </c>
      <c r="R19" s="6">
        <f t="shared" si="11"/>
        <v>-262852.44573181518</v>
      </c>
      <c r="S19" s="6">
        <f>I19+(L19*'[1]Rev Req &amp; Conv Factor'!$L$4)</f>
        <v>1251678.3130086437</v>
      </c>
      <c r="T19" s="6">
        <f t="shared" si="12"/>
        <v>-262852.44573181518</v>
      </c>
      <c r="U19" s="6">
        <f t="shared" si="13"/>
        <v>-988825.8672768285</v>
      </c>
      <c r="V19" s="6">
        <f t="shared" si="14"/>
        <v>0</v>
      </c>
    </row>
    <row r="20" spans="2:22" outlineLevel="1">
      <c r="B20">
        <v>202112</v>
      </c>
      <c r="C20" s="3">
        <f>F19</f>
        <v>-55819559.02271305</v>
      </c>
      <c r="D20" s="28">
        <v>-861597.03</v>
      </c>
      <c r="E20" s="23">
        <f t="shared" si="15"/>
        <v>1538943.9667269969</v>
      </c>
      <c r="F20" s="24">
        <f>SUM(C20:E20)</f>
        <v>-55142212.085986055</v>
      </c>
      <c r="G20" s="4">
        <f t="shared" si="1"/>
        <v>11579864.538057072</v>
      </c>
      <c r="H20" s="4">
        <f t="shared" si="4"/>
        <v>-43562347.547928981</v>
      </c>
      <c r="I20" s="7">
        <f>'[1]Monthly Tariff Revenue'!I7</f>
        <v>1538943.9667269969</v>
      </c>
      <c r="J20" s="6">
        <f t="shared" si="5"/>
        <v>-45257747.43747317</v>
      </c>
      <c r="K20" s="6">
        <f t="shared" si="6"/>
        <v>2219531.8631710187</v>
      </c>
      <c r="L20" s="8"/>
      <c r="M20" s="4">
        <f t="shared" si="7"/>
        <v>0</v>
      </c>
      <c r="O20" s="6">
        <f t="shared" si="8"/>
        <v>-1538943.9667269969</v>
      </c>
      <c r="P20" s="6">
        <f t="shared" si="9"/>
        <v>1538943.9667269969</v>
      </c>
      <c r="Q20" s="6">
        <f t="shared" si="10"/>
        <v>323178.23301266937</v>
      </c>
      <c r="R20" s="6">
        <f t="shared" si="11"/>
        <v>-323178.23301266937</v>
      </c>
      <c r="S20" s="6">
        <f>I20+(L20*'[1]Rev Req &amp; Conv Factor'!$L$4)</f>
        <v>1538943.9667269969</v>
      </c>
      <c r="T20" s="6">
        <f t="shared" si="12"/>
        <v>-323178.23301266937</v>
      </c>
      <c r="U20" s="6">
        <f t="shared" si="13"/>
        <v>-1215765.7337143277</v>
      </c>
      <c r="V20" s="6">
        <f t="shared" si="14"/>
        <v>0</v>
      </c>
    </row>
    <row r="21" spans="2:22" outlineLevel="1">
      <c r="B21">
        <v>202201</v>
      </c>
      <c r="C21" s="3">
        <f t="shared" si="3"/>
        <v>-55142212.085986055</v>
      </c>
      <c r="D21" s="28">
        <v>-86819.6</v>
      </c>
      <c r="E21" s="23">
        <f>S21</f>
        <v>1709178.8369618549</v>
      </c>
      <c r="F21" s="24">
        <f>SUM(C21:E21)</f>
        <v>-53519852.849024199</v>
      </c>
      <c r="G21" s="4">
        <f t="shared" si="1"/>
        <v>11239169.098295081</v>
      </c>
      <c r="H21" s="4">
        <f t="shared" si="4"/>
        <v>-42280683.750729114</v>
      </c>
      <c r="I21" s="7">
        <f>'[1]Monthly Tariff Revenue'!I8</f>
        <v>1709178.8369618549</v>
      </c>
      <c r="J21" s="6">
        <f t="shared" si="5"/>
        <v>-45053953.459908925</v>
      </c>
      <c r="K21" s="6">
        <f t="shared" si="6"/>
        <v>3501195.6603708863</v>
      </c>
      <c r="L21" s="8"/>
      <c r="M21" s="4">
        <f t="shared" si="7"/>
        <v>0</v>
      </c>
      <c r="O21" s="6">
        <f t="shared" si="8"/>
        <v>-1709178.8369618549</v>
      </c>
      <c r="P21" s="6">
        <f t="shared" si="9"/>
        <v>1709178.8369618549</v>
      </c>
      <c r="Q21" s="6">
        <f t="shared" si="10"/>
        <v>358927.5557619895</v>
      </c>
      <c r="R21" s="6">
        <f t="shared" si="11"/>
        <v>-358927.5557619895</v>
      </c>
      <c r="S21" s="6">
        <f>I21+(L21*'[1]Rev Req &amp; Conv Factor'!$L$4)</f>
        <v>1709178.8369618549</v>
      </c>
      <c r="T21" s="6">
        <f t="shared" si="12"/>
        <v>-358927.5557619895</v>
      </c>
      <c r="U21" s="6">
        <f t="shared" si="13"/>
        <v>-1350251.2811998655</v>
      </c>
      <c r="V21" s="6">
        <f t="shared" si="14"/>
        <v>0</v>
      </c>
    </row>
    <row r="22" spans="2:22" outlineLevel="1">
      <c r="B22">
        <v>202202</v>
      </c>
      <c r="C22" s="3">
        <f t="shared" si="3"/>
        <v>-53519852.849024199</v>
      </c>
      <c r="D22" s="28">
        <v>-86819.6</v>
      </c>
      <c r="E22" s="23">
        <f t="shared" si="15"/>
        <v>1438668.0360374164</v>
      </c>
      <c r="F22" s="24">
        <f t="shared" si="0"/>
        <v>-52168004.412986785</v>
      </c>
      <c r="G22" s="4">
        <f t="shared" si="1"/>
        <v>10955280.926727224</v>
      </c>
      <c r="H22" s="4">
        <f t="shared" si="4"/>
        <v>-41212723.486259565</v>
      </c>
      <c r="I22" s="7">
        <f>'[1]Monthly Tariff Revenue'!I9</f>
        <v>1438668.0360374164</v>
      </c>
      <c r="J22" s="6">
        <f t="shared" si="5"/>
        <v>-44752258.479775123</v>
      </c>
      <c r="K22" s="6">
        <f t="shared" si="6"/>
        <v>4569155.9248404354</v>
      </c>
      <c r="L22" s="8"/>
      <c r="M22" s="4">
        <f t="shared" si="7"/>
        <v>0</v>
      </c>
      <c r="O22" s="6">
        <f t="shared" si="8"/>
        <v>-1438668.0360374164</v>
      </c>
      <c r="P22" s="6">
        <f t="shared" si="9"/>
        <v>1438668.0360374164</v>
      </c>
      <c r="Q22" s="6">
        <f t="shared" si="10"/>
        <v>302120.28756785742</v>
      </c>
      <c r="R22" s="6">
        <f t="shared" si="11"/>
        <v>-302120.28756785742</v>
      </c>
      <c r="S22" s="6">
        <f>I22+(L22*'[1]Rev Req &amp; Conv Factor'!$L$4)</f>
        <v>1438668.0360374164</v>
      </c>
      <c r="T22" s="6">
        <f t="shared" si="12"/>
        <v>-302120.28756785742</v>
      </c>
      <c r="U22" s="6">
        <f t="shared" si="13"/>
        <v>-1136547.748469559</v>
      </c>
      <c r="V22" s="6">
        <f t="shared" si="14"/>
        <v>0</v>
      </c>
    </row>
    <row r="23" spans="2:22" outlineLevel="1">
      <c r="B23">
        <v>202203</v>
      </c>
      <c r="C23" s="3">
        <f t="shared" si="3"/>
        <v>-52168004.412986785</v>
      </c>
      <c r="D23" s="28">
        <v>-86819.6</v>
      </c>
      <c r="E23" s="23">
        <f t="shared" si="15"/>
        <v>1403421.0582839609</v>
      </c>
      <c r="F23" s="24">
        <f t="shared" si="0"/>
        <v>-50851402.954702824</v>
      </c>
      <c r="G23" s="4">
        <f t="shared" si="1"/>
        <v>10678794.620487593</v>
      </c>
      <c r="H23" s="4">
        <f t="shared" si="2"/>
        <v>-40172608.334215231</v>
      </c>
      <c r="I23" s="7">
        <f>'[1]Monthly Tariff Revenue'!I10</f>
        <v>1403421.0582839609</v>
      </c>
      <c r="J23" s="6">
        <f t="shared" si="5"/>
        <v>-44362727.023953229</v>
      </c>
      <c r="K23" s="6">
        <f t="shared" si="6"/>
        <v>5609271.0768847689</v>
      </c>
      <c r="L23" s="8"/>
      <c r="M23" s="4">
        <f t="shared" si="7"/>
        <v>0</v>
      </c>
      <c r="O23" s="6">
        <f t="shared" si="8"/>
        <v>-1403421.0582839609</v>
      </c>
      <c r="P23" s="6">
        <f t="shared" si="9"/>
        <v>1403421.0582839609</v>
      </c>
      <c r="Q23" s="6">
        <f t="shared" si="10"/>
        <v>294718.42223963176</v>
      </c>
      <c r="R23" s="6">
        <f t="shared" si="11"/>
        <v>-294718.42223963176</v>
      </c>
      <c r="S23" s="6">
        <f>I23+(L23*'[1]Rev Req &amp; Conv Factor'!$L$4)</f>
        <v>1403421.0582839609</v>
      </c>
      <c r="T23" s="6">
        <f t="shared" si="12"/>
        <v>-294718.42223963176</v>
      </c>
      <c r="U23" s="6">
        <f t="shared" si="13"/>
        <v>-1108702.636044329</v>
      </c>
      <c r="V23" s="6">
        <f t="shared" si="14"/>
        <v>0</v>
      </c>
    </row>
    <row r="24" spans="2:22" outlineLevel="1">
      <c r="B24">
        <v>202204</v>
      </c>
      <c r="C24" s="3">
        <f>F23</f>
        <v>-50851402.954702824</v>
      </c>
      <c r="D24" s="28">
        <v>-86819.6</v>
      </c>
      <c r="E24" s="23">
        <f t="shared" si="15"/>
        <v>1239425.5392221152</v>
      </c>
      <c r="F24" s="24">
        <f t="shared" si="0"/>
        <v>-49698797.015480712</v>
      </c>
      <c r="G24" s="4">
        <f t="shared" si="1"/>
        <v>10436747.373250948</v>
      </c>
      <c r="H24" s="4">
        <f t="shared" si="2"/>
        <v>-39262049.642229766</v>
      </c>
      <c r="I24" s="7">
        <f>'[1]Monthly Tariff Revenue'!I11</f>
        <v>1239425.5392221152</v>
      </c>
      <c r="J24" s="6">
        <f t="shared" si="5"/>
        <v>-43891917.491296776</v>
      </c>
      <c r="K24" s="6">
        <f t="shared" si="6"/>
        <v>6519829.7688702345</v>
      </c>
      <c r="L24" s="8"/>
      <c r="M24" s="4">
        <f t="shared" si="7"/>
        <v>0</v>
      </c>
      <c r="O24" s="6">
        <f t="shared" si="8"/>
        <v>-1239425.5392221152</v>
      </c>
      <c r="P24" s="6">
        <f t="shared" si="9"/>
        <v>1239425.5392221152</v>
      </c>
      <c r="Q24" s="6">
        <f t="shared" si="10"/>
        <v>260279.36323664419</v>
      </c>
      <c r="R24" s="6">
        <f t="shared" si="11"/>
        <v>-260279.36323664419</v>
      </c>
      <c r="S24" s="6">
        <f>I24+(L24*'[1]Rev Req &amp; Conv Factor'!$L$4)</f>
        <v>1239425.5392221152</v>
      </c>
      <c r="T24" s="6">
        <f t="shared" si="12"/>
        <v>-260279.36323664419</v>
      </c>
      <c r="U24" s="6">
        <f t="shared" si="13"/>
        <v>-979146.175985471</v>
      </c>
      <c r="V24" s="6">
        <f t="shared" si="14"/>
        <v>0</v>
      </c>
    </row>
    <row r="25" spans="2:22" outlineLevel="1">
      <c r="B25">
        <v>202205</v>
      </c>
      <c r="C25" s="3">
        <f t="shared" si="3"/>
        <v>-49698797.015480712</v>
      </c>
      <c r="D25" s="28">
        <v>-86819.6</v>
      </c>
      <c r="E25" s="23">
        <f t="shared" si="15"/>
        <v>1089210.314232826</v>
      </c>
      <c r="F25" s="24">
        <f t="shared" si="0"/>
        <v>-48696406.301247887</v>
      </c>
      <c r="G25" s="4">
        <f t="shared" si="1"/>
        <v>10226245.323262056</v>
      </c>
      <c r="H25" s="4">
        <f t="shared" si="2"/>
        <v>-38470160.977985829</v>
      </c>
      <c r="I25" s="7">
        <f>'[1]Monthly Tariff Revenue'!I12</f>
        <v>1089210.314232826</v>
      </c>
      <c r="J25" s="6">
        <f t="shared" si="5"/>
        <v>-43346715.685205758</v>
      </c>
      <c r="K25" s="6">
        <f t="shared" si="6"/>
        <v>7311718.433114171</v>
      </c>
      <c r="L25" s="8"/>
      <c r="M25" s="4">
        <f t="shared" si="7"/>
        <v>0</v>
      </c>
      <c r="O25" s="6">
        <f t="shared" si="8"/>
        <v>-1089210.314232826</v>
      </c>
      <c r="P25" s="6">
        <f t="shared" si="9"/>
        <v>1089210.314232826</v>
      </c>
      <c r="Q25" s="6">
        <f t="shared" si="10"/>
        <v>228734.16598889345</v>
      </c>
      <c r="R25" s="6">
        <f t="shared" si="11"/>
        <v>-228734.16598889345</v>
      </c>
      <c r="S25" s="6">
        <f>I25+(L25*'[1]Rev Req &amp; Conv Factor'!$L$4)</f>
        <v>1089210.314232826</v>
      </c>
      <c r="T25" s="6">
        <f t="shared" si="12"/>
        <v>-228734.16598889345</v>
      </c>
      <c r="U25" s="6">
        <f t="shared" si="13"/>
        <v>-860476.14824393252</v>
      </c>
      <c r="V25" s="6">
        <f t="shared" si="14"/>
        <v>0</v>
      </c>
    </row>
    <row r="26" spans="2:22" outlineLevel="1">
      <c r="B26">
        <v>202206</v>
      </c>
      <c r="C26" s="3">
        <f>F25</f>
        <v>-48696406.301247887</v>
      </c>
      <c r="D26" s="28">
        <v>-86819.6</v>
      </c>
      <c r="E26" s="23">
        <f t="shared" si="15"/>
        <v>1037912.8193876272</v>
      </c>
      <c r="F26" s="24">
        <f t="shared" si="0"/>
        <v>-47745313.081860259</v>
      </c>
      <c r="G26" s="4">
        <f t="shared" si="1"/>
        <v>10026515.747190654</v>
      </c>
      <c r="H26" s="4">
        <f t="shared" si="2"/>
        <v>-37718797.334669605</v>
      </c>
      <c r="I26" s="7">
        <f>'[1]Monthly Tariff Revenue'!I13</f>
        <v>1037912.8193876272</v>
      </c>
      <c r="J26" s="6">
        <f t="shared" si="5"/>
        <v>-42730297.765783064</v>
      </c>
      <c r="K26" s="6">
        <f t="shared" si="6"/>
        <v>8063082.0764303952</v>
      </c>
      <c r="L26" s="8"/>
      <c r="M26" s="4">
        <f t="shared" si="7"/>
        <v>0</v>
      </c>
      <c r="O26" s="6">
        <f t="shared" si="8"/>
        <v>-1037912.8193876272</v>
      </c>
      <c r="P26" s="6">
        <f t="shared" si="9"/>
        <v>1037912.8193876272</v>
      </c>
      <c r="Q26" s="6">
        <f t="shared" si="10"/>
        <v>217961.69207140169</v>
      </c>
      <c r="R26" s="6">
        <f t="shared" si="11"/>
        <v>-217961.69207140169</v>
      </c>
      <c r="S26" s="6">
        <f>I26+(L26*'[1]Rev Req &amp; Conv Factor'!$L$4)</f>
        <v>1037912.8193876272</v>
      </c>
      <c r="T26" s="6">
        <f t="shared" si="12"/>
        <v>-217961.69207140169</v>
      </c>
      <c r="U26" s="6">
        <f t="shared" si="13"/>
        <v>-819951.12731622555</v>
      </c>
      <c r="V26" s="6">
        <f t="shared" si="14"/>
        <v>0</v>
      </c>
    </row>
    <row r="27" spans="2:22" outlineLevel="1">
      <c r="B27">
        <v>202207</v>
      </c>
      <c r="C27" s="3">
        <f t="shared" si="3"/>
        <v>-47745313.081860259</v>
      </c>
      <c r="D27" s="28">
        <v>-86819.6</v>
      </c>
      <c r="E27" s="23">
        <f>S27</f>
        <v>1337408.5211430306</v>
      </c>
      <c r="F27" s="24">
        <f>SUM(C27:E27)</f>
        <v>-46494724.160717227</v>
      </c>
      <c r="G27" s="4">
        <f>F27*-0.21</f>
        <v>9763892.073750617</v>
      </c>
      <c r="H27" s="4">
        <f>SUM(F27:G27)</f>
        <v>-36730832.086966611</v>
      </c>
      <c r="I27" s="7">
        <f>'[1]Monthly Tariff Revenue'!I14</f>
        <v>1337408.5211430306</v>
      </c>
      <c r="J27" s="6">
        <f>(((H15+H27)/2)+H16+H17+H18+H19+H20+H21+H22+H23+H24+H25+H26)/12</f>
        <v>-42034493.875384569</v>
      </c>
      <c r="K27" s="6">
        <f t="shared" si="6"/>
        <v>9051047.3241333887</v>
      </c>
      <c r="L27" s="8"/>
      <c r="M27" s="4">
        <f t="shared" si="7"/>
        <v>0</v>
      </c>
      <c r="O27" s="6">
        <f t="shared" si="8"/>
        <v>-1337408.5211430306</v>
      </c>
      <c r="P27" s="6">
        <f t="shared" si="9"/>
        <v>1337408.5211430306</v>
      </c>
      <c r="Q27" s="6">
        <f t="shared" si="10"/>
        <v>280855.7894400364</v>
      </c>
      <c r="R27" s="6">
        <f t="shared" si="11"/>
        <v>-280855.7894400364</v>
      </c>
      <c r="S27" s="6">
        <f>I27+(L27*'[1]Rev Req &amp; Conv Factor'!$L$4)</f>
        <v>1337408.5211430306</v>
      </c>
      <c r="T27" s="6">
        <f t="shared" si="12"/>
        <v>-280855.7894400364</v>
      </c>
      <c r="U27" s="6">
        <f t="shared" si="13"/>
        <v>-1056552.7317029941</v>
      </c>
      <c r="V27" s="6">
        <f t="shared" si="14"/>
        <v>0</v>
      </c>
    </row>
    <row r="28" spans="2:22">
      <c r="B28">
        <v>202208</v>
      </c>
      <c r="C28" s="3">
        <f t="shared" si="3"/>
        <v>-46494724.160717227</v>
      </c>
      <c r="D28" s="28">
        <v>-86819.6</v>
      </c>
      <c r="E28" s="23">
        <f t="shared" si="15"/>
        <v>1487315.3566602247</v>
      </c>
      <c r="F28" s="24">
        <f t="shared" si="0"/>
        <v>-45094228.404057004</v>
      </c>
      <c r="G28" s="4">
        <f t="shared" si="1"/>
        <v>9469787.9648519699</v>
      </c>
      <c r="H28" s="4">
        <f t="shared" si="2"/>
        <v>-35624440.439205036</v>
      </c>
      <c r="I28" s="7">
        <f>'[1]Monthly Tariff Revenue'!I15</f>
        <v>1487315.3566602247</v>
      </c>
      <c r="J28" s="6">
        <f t="shared" si="5"/>
        <v>-41244511.180491723</v>
      </c>
      <c r="K28" s="6">
        <f t="shared" si="6"/>
        <v>10157438.971894965</v>
      </c>
      <c r="L28" s="8"/>
      <c r="M28" s="4">
        <f t="shared" si="7"/>
        <v>0</v>
      </c>
      <c r="O28" s="6">
        <f t="shared" si="8"/>
        <v>-1487315.3566602247</v>
      </c>
      <c r="P28" s="6">
        <f t="shared" si="9"/>
        <v>1487315.3566602247</v>
      </c>
      <c r="Q28" s="6">
        <f t="shared" si="10"/>
        <v>312336.22489864717</v>
      </c>
      <c r="R28" s="6">
        <f t="shared" si="11"/>
        <v>-312336.22489864717</v>
      </c>
      <c r="S28" s="6">
        <f>I28+(L28*'[1]Rev Req &amp; Conv Factor'!$L$4)</f>
        <v>1487315.3566602247</v>
      </c>
      <c r="T28" s="6">
        <f t="shared" si="12"/>
        <v>-312336.22489864717</v>
      </c>
      <c r="U28" s="6">
        <f t="shared" si="13"/>
        <v>-1174979.1317615774</v>
      </c>
      <c r="V28" s="6">
        <f t="shared" si="14"/>
        <v>0</v>
      </c>
    </row>
    <row r="29" spans="2:22">
      <c r="B29">
        <v>202209</v>
      </c>
      <c r="C29" s="3">
        <f>F28</f>
        <v>-45094228.404057004</v>
      </c>
      <c r="D29" s="28">
        <f>-86819.6+13816.15</f>
        <v>-73003.450000000012</v>
      </c>
      <c r="E29" s="23">
        <f>S29</f>
        <v>1119111.9509554491</v>
      </c>
      <c r="F29" s="24">
        <f t="shared" si="0"/>
        <v>-44048119.903101556</v>
      </c>
      <c r="G29" s="4">
        <f t="shared" si="1"/>
        <v>9250105.1796513256</v>
      </c>
      <c r="H29" s="4">
        <f t="shared" si="2"/>
        <v>-34798014.723450229</v>
      </c>
      <c r="I29" s="7">
        <f>'[1]Monthly Tariff Revenue'!I16</f>
        <v>1119111.9509554491</v>
      </c>
      <c r="J29" s="6">
        <f t="shared" si="5"/>
        <v>-40367080.494935691</v>
      </c>
      <c r="K29" s="6">
        <f t="shared" si="6"/>
        <v>10983864.687649772</v>
      </c>
      <c r="L29" s="8"/>
      <c r="M29" s="4">
        <f t="shared" si="7"/>
        <v>0</v>
      </c>
      <c r="O29" s="6">
        <f t="shared" si="8"/>
        <v>-1119111.9509554491</v>
      </c>
      <c r="P29" s="6">
        <f t="shared" si="9"/>
        <v>1119111.9509554491</v>
      </c>
      <c r="Q29" s="6">
        <f t="shared" si="10"/>
        <v>235013.50970064432</v>
      </c>
      <c r="R29" s="6">
        <f t="shared" si="11"/>
        <v>-235013.50970064432</v>
      </c>
      <c r="S29" s="6">
        <f>I29+(L29*'[1]Rev Req &amp; Conv Factor'!$L$4)</f>
        <v>1119111.9509554491</v>
      </c>
      <c r="T29" s="6">
        <f t="shared" si="12"/>
        <v>-235013.50970064432</v>
      </c>
      <c r="U29" s="6">
        <f t="shared" si="13"/>
        <v>-884098.44125480484</v>
      </c>
      <c r="V29" s="6">
        <f t="shared" si="14"/>
        <v>0</v>
      </c>
    </row>
    <row r="30" spans="2:22">
      <c r="B30">
        <v>202210</v>
      </c>
      <c r="C30" s="3">
        <f t="shared" si="3"/>
        <v>-44048119.903101556</v>
      </c>
      <c r="D30" s="28">
        <v>-86819.6</v>
      </c>
      <c r="E30" s="23">
        <f>S30</f>
        <v>993624.55947752914</v>
      </c>
      <c r="F30" s="24">
        <f t="shared" si="0"/>
        <v>-43141314.943624027</v>
      </c>
      <c r="G30" s="4">
        <f t="shared" si="1"/>
        <v>9059676.1381610446</v>
      </c>
      <c r="H30" s="4">
        <f t="shared" si="2"/>
        <v>-34081638.805462986</v>
      </c>
      <c r="I30" s="7">
        <f>'[1]Monthly Tariff Revenue'!I17</f>
        <v>993624.55947752914</v>
      </c>
      <c r="J30" s="6">
        <f t="shared" si="5"/>
        <v>-39455199.264685407</v>
      </c>
      <c r="K30" s="6">
        <f t="shared" si="6"/>
        <v>11700240.605637014</v>
      </c>
      <c r="L30" s="8"/>
      <c r="M30" s="4">
        <f t="shared" si="7"/>
        <v>0</v>
      </c>
      <c r="O30" s="6">
        <f t="shared" si="8"/>
        <v>-993624.55947752914</v>
      </c>
      <c r="P30" s="6">
        <f t="shared" si="9"/>
        <v>993624.55947752914</v>
      </c>
      <c r="Q30" s="6">
        <f t="shared" si="10"/>
        <v>208661.1574902811</v>
      </c>
      <c r="R30" s="6">
        <f t="shared" si="11"/>
        <v>-208661.1574902811</v>
      </c>
      <c r="S30" s="6">
        <f>I30+(L30*'[1]Rev Req &amp; Conv Factor'!$L$4)</f>
        <v>993624.55947752914</v>
      </c>
      <c r="T30" s="6">
        <f t="shared" si="12"/>
        <v>-208661.1574902811</v>
      </c>
      <c r="U30" s="6">
        <f t="shared" si="13"/>
        <v>-784963.4019872481</v>
      </c>
      <c r="V30" s="6">
        <f t="shared" si="14"/>
        <v>0</v>
      </c>
    </row>
    <row r="31" spans="2:22">
      <c r="B31">
        <v>202211</v>
      </c>
      <c r="C31" s="3">
        <f t="shared" si="3"/>
        <v>-43141314.943624027</v>
      </c>
      <c r="D31" s="28">
        <v>-86819.6</v>
      </c>
      <c r="E31" s="23">
        <f t="shared" si="15"/>
        <v>1604497.7917374196</v>
      </c>
      <c r="F31" s="24">
        <f t="shared" si="0"/>
        <v>-41623636.751886606</v>
      </c>
      <c r="G31" s="4">
        <f t="shared" si="1"/>
        <v>8740963.7178961877</v>
      </c>
      <c r="H31" s="4">
        <f t="shared" si="2"/>
        <v>-32882673.03399042</v>
      </c>
      <c r="I31" s="7">
        <f>'[1]Monthly Tariff Revenue'!I18</f>
        <v>1604497.7917374196</v>
      </c>
      <c r="J31" s="6">
        <f t="shared" si="5"/>
        <v>-38533696.621672489</v>
      </c>
      <c r="K31" s="6">
        <f t="shared" si="6"/>
        <v>12899206.37710958</v>
      </c>
      <c r="L31" s="8"/>
      <c r="M31" s="4">
        <f t="shared" si="7"/>
        <v>0</v>
      </c>
      <c r="O31" s="6">
        <f t="shared" si="8"/>
        <v>-1604497.7917374196</v>
      </c>
      <c r="P31" s="6">
        <f t="shared" si="9"/>
        <v>1604497.7917374196</v>
      </c>
      <c r="Q31" s="6">
        <f t="shared" si="10"/>
        <v>336944.53626485809</v>
      </c>
      <c r="R31" s="6">
        <f t="shared" si="11"/>
        <v>-336944.53626485809</v>
      </c>
      <c r="S31" s="6">
        <f>I31+(L31*'[1]Rev Req &amp; Conv Factor'!$L$4)</f>
        <v>1604497.7917374196</v>
      </c>
      <c r="T31" s="6">
        <f t="shared" si="12"/>
        <v>-336944.53626485809</v>
      </c>
      <c r="U31" s="6">
        <f t="shared" si="13"/>
        <v>-1267553.2554725613</v>
      </c>
      <c r="V31" s="6">
        <f t="shared" si="14"/>
        <v>0</v>
      </c>
    </row>
    <row r="32" spans="2:22">
      <c r="B32">
        <v>202212</v>
      </c>
      <c r="C32" s="3">
        <f t="shared" si="3"/>
        <v>-41623636.751886606</v>
      </c>
      <c r="D32" s="28">
        <v>-1008341.86</v>
      </c>
      <c r="E32" s="23">
        <f t="shared" si="15"/>
        <v>2399609.4842832009</v>
      </c>
      <c r="F32" s="24">
        <f t="shared" si="0"/>
        <v>-40232369.127603404</v>
      </c>
      <c r="G32" s="4">
        <f t="shared" si="1"/>
        <v>8448797.5167967137</v>
      </c>
      <c r="H32" s="4">
        <f t="shared" si="2"/>
        <v>-31783571.610806689</v>
      </c>
      <c r="I32" s="7">
        <f>'[1]Monthly Tariff Revenue'!I19</f>
        <v>2399609.4842832009</v>
      </c>
      <c r="J32" s="6">
        <f t="shared" si="5"/>
        <v>-37575631.849544361</v>
      </c>
      <c r="K32" s="6">
        <f t="shared" si="6"/>
        <v>13998307.800293311</v>
      </c>
      <c r="L32" s="8"/>
      <c r="M32" s="4">
        <f t="shared" si="7"/>
        <v>0</v>
      </c>
      <c r="O32" s="6">
        <f t="shared" si="8"/>
        <v>-2399609.4842832009</v>
      </c>
      <c r="P32" s="6">
        <f t="shared" si="9"/>
        <v>2399609.4842832009</v>
      </c>
      <c r="Q32" s="6">
        <f t="shared" si="10"/>
        <v>503917.99169947219</v>
      </c>
      <c r="R32" s="6">
        <f t="shared" si="11"/>
        <v>-503917.99169947219</v>
      </c>
      <c r="S32" s="6">
        <f>I32+(L32*'[1]Rev Req &amp; Conv Factor'!$L$4)</f>
        <v>2399609.4842832009</v>
      </c>
      <c r="T32" s="6">
        <f t="shared" si="12"/>
        <v>-503917.99169947219</v>
      </c>
      <c r="U32" s="6">
        <f t="shared" si="13"/>
        <v>-1895691.4925837289</v>
      </c>
      <c r="V32" s="6">
        <f t="shared" si="14"/>
        <v>0</v>
      </c>
    </row>
    <row r="33" spans="2:22">
      <c r="B33">
        <v>202301</v>
      </c>
      <c r="C33" s="3">
        <f t="shared" si="3"/>
        <v>-40232369.127603404</v>
      </c>
      <c r="D33" s="28">
        <v>-268762.68</v>
      </c>
      <c r="E33" s="23">
        <f t="shared" si="15"/>
        <v>3603322.7626547189</v>
      </c>
      <c r="F33" s="24">
        <f t="shared" si="0"/>
        <v>-36897809.044948682</v>
      </c>
      <c r="G33" s="4">
        <f t="shared" si="1"/>
        <v>7748539.8994392231</v>
      </c>
      <c r="H33" s="4">
        <f t="shared" si="2"/>
        <v>-29149269.145509459</v>
      </c>
      <c r="I33" s="7">
        <f>'[1]Monthly Tariff Revenue'!I20</f>
        <v>3603322.7626547189</v>
      </c>
      <c r="J33" s="6">
        <f t="shared" si="5"/>
        <v>-36537707.243613444</v>
      </c>
      <c r="K33" s="6">
        <f t="shared" si="6"/>
        <v>16632610.265590541</v>
      </c>
      <c r="L33" s="8"/>
      <c r="M33" s="4">
        <f t="shared" si="7"/>
        <v>0</v>
      </c>
      <c r="O33" s="6">
        <f t="shared" si="8"/>
        <v>-3603322.7626547189</v>
      </c>
      <c r="P33" s="6">
        <f t="shared" si="9"/>
        <v>3603322.7626547189</v>
      </c>
      <c r="Q33" s="6">
        <f t="shared" si="10"/>
        <v>756697.78015749098</v>
      </c>
      <c r="R33" s="6">
        <f t="shared" si="11"/>
        <v>-756697.78015749098</v>
      </c>
      <c r="S33" s="6">
        <f t="shared" ref="S33:S40" si="16">I33+(L33*$S$2)</f>
        <v>3603322.7626547189</v>
      </c>
      <c r="T33" s="6">
        <f t="shared" si="12"/>
        <v>-756697.78015749098</v>
      </c>
      <c r="U33" s="6">
        <f t="shared" si="13"/>
        <v>-2846624.9824972278</v>
      </c>
      <c r="V33" s="6">
        <f t="shared" si="14"/>
        <v>0</v>
      </c>
    </row>
    <row r="34" spans="2:22">
      <c r="B34">
        <v>202302</v>
      </c>
      <c r="C34" s="3">
        <f t="shared" si="3"/>
        <v>-36897809.044948682</v>
      </c>
      <c r="D34" s="28">
        <v>-268762.68</v>
      </c>
      <c r="E34" s="23">
        <f t="shared" si="15"/>
        <v>2415943.9762487253</v>
      </c>
      <c r="F34" s="24">
        <f t="shared" si="0"/>
        <v>-34750627.748699956</v>
      </c>
      <c r="G34" s="4">
        <f t="shared" si="1"/>
        <v>7297631.8272269908</v>
      </c>
      <c r="H34" s="4">
        <f t="shared" si="2"/>
        <v>-27452995.921472967</v>
      </c>
      <c r="I34" s="7">
        <f>'[1]Monthly Tariff Revenue'!I21</f>
        <v>2415943.9762487253</v>
      </c>
      <c r="J34" s="6">
        <f t="shared" si="5"/>
        <v>-35417242.986529849</v>
      </c>
      <c r="K34" s="6">
        <f t="shared" si="6"/>
        <v>18328883.489627033</v>
      </c>
      <c r="L34" s="8"/>
      <c r="M34" s="4">
        <f>M33+L34</f>
        <v>0</v>
      </c>
      <c r="O34" s="6">
        <f t="shared" si="8"/>
        <v>-2415943.9762487253</v>
      </c>
      <c r="P34" s="6">
        <f t="shared" si="9"/>
        <v>2415943.9762487253</v>
      </c>
      <c r="Q34" s="6">
        <f t="shared" si="10"/>
        <v>507348.23501223233</v>
      </c>
      <c r="R34" s="6">
        <f t="shared" si="11"/>
        <v>-507348.23501223233</v>
      </c>
      <c r="S34" s="6">
        <f t="shared" si="16"/>
        <v>2415943.9762487253</v>
      </c>
      <c r="T34" s="6">
        <f t="shared" si="12"/>
        <v>-507348.23501223233</v>
      </c>
      <c r="U34" s="6">
        <f t="shared" si="13"/>
        <v>-1908595.741236493</v>
      </c>
      <c r="V34" s="6">
        <f t="shared" si="14"/>
        <v>0</v>
      </c>
    </row>
    <row r="35" spans="2:22">
      <c r="B35">
        <v>202303</v>
      </c>
      <c r="C35" s="3">
        <f t="shared" si="3"/>
        <v>-34750627.748699956</v>
      </c>
      <c r="D35" s="28">
        <v>-268762.68</v>
      </c>
      <c r="E35" s="23">
        <f t="shared" si="15"/>
        <v>2830352.8652520604</v>
      </c>
      <c r="F35" s="24">
        <f t="shared" si="0"/>
        <v>-32189037.563447896</v>
      </c>
      <c r="G35" s="4">
        <f t="shared" si="1"/>
        <v>6759697.8883240577</v>
      </c>
      <c r="H35" s="4">
        <f t="shared" si="2"/>
        <v>-25429339.675123841</v>
      </c>
      <c r="I35" s="7">
        <f>'[1]Monthly Tariff Revenue'!I22</f>
        <v>2830352.8652520604</v>
      </c>
      <c r="J35" s="6">
        <f t="shared" si="5"/>
        <v>-34229618.143868268</v>
      </c>
      <c r="K35" s="6">
        <f t="shared" si="6"/>
        <v>20352539.73597616</v>
      </c>
      <c r="L35" s="8"/>
      <c r="M35" s="4">
        <f>M34+L35</f>
        <v>0</v>
      </c>
      <c r="O35" s="6">
        <f t="shared" si="8"/>
        <v>-2830352.8652520604</v>
      </c>
      <c r="P35" s="6">
        <f t="shared" si="9"/>
        <v>2830352.8652520604</v>
      </c>
      <c r="Q35" s="6">
        <f t="shared" si="10"/>
        <v>594374.10170293262</v>
      </c>
      <c r="R35" s="6">
        <f t="shared" si="11"/>
        <v>-594374.10170293262</v>
      </c>
      <c r="S35" s="6">
        <f t="shared" si="16"/>
        <v>2830352.8652520604</v>
      </c>
      <c r="T35" s="6">
        <f t="shared" si="12"/>
        <v>-594374.10170293262</v>
      </c>
      <c r="U35" s="6">
        <f t="shared" si="13"/>
        <v>-2235978.7635491276</v>
      </c>
      <c r="V35" s="6">
        <f t="shared" si="14"/>
        <v>0</v>
      </c>
    </row>
    <row r="36" spans="2:22">
      <c r="B36">
        <v>202304</v>
      </c>
      <c r="C36" s="3">
        <f t="shared" si="3"/>
        <v>-32189037.563447896</v>
      </c>
      <c r="D36" s="28">
        <v>-268762.68</v>
      </c>
      <c r="E36" s="23">
        <f t="shared" si="15"/>
        <v>2272951.3042098326</v>
      </c>
      <c r="F36" s="24">
        <f t="shared" si="0"/>
        <v>-30184848.939238064</v>
      </c>
      <c r="G36" s="4">
        <f t="shared" si="1"/>
        <v>6338818.2772399932</v>
      </c>
      <c r="H36" s="4">
        <f t="shared" si="2"/>
        <v>-23846030.661998071</v>
      </c>
      <c r="I36" s="7">
        <f>'[1]Monthly Tariff Revenue'!I23</f>
        <v>2272951.3042098326</v>
      </c>
      <c r="J36" s="6">
        <f t="shared" si="5"/>
        <v>-32972981.158896465</v>
      </c>
      <c r="K36" s="6">
        <f t="shared" si="6"/>
        <v>21935848.749101929</v>
      </c>
      <c r="L36" s="8"/>
      <c r="M36" s="4">
        <f t="shared" si="7"/>
        <v>0</v>
      </c>
      <c r="O36" s="6">
        <f t="shared" si="8"/>
        <v>-2272951.3042098326</v>
      </c>
      <c r="P36" s="6">
        <f t="shared" si="9"/>
        <v>2272951.3042098326</v>
      </c>
      <c r="Q36" s="6">
        <f t="shared" si="10"/>
        <v>477319.77388406481</v>
      </c>
      <c r="R36" s="6">
        <f t="shared" si="11"/>
        <v>-477319.77388406481</v>
      </c>
      <c r="S36" s="6">
        <f t="shared" si="16"/>
        <v>2272951.3042098326</v>
      </c>
      <c r="T36" s="6">
        <f t="shared" si="12"/>
        <v>-477319.77388406481</v>
      </c>
      <c r="U36" s="6">
        <f t="shared" si="13"/>
        <v>-1795631.5303257678</v>
      </c>
      <c r="V36" s="6">
        <f t="shared" si="14"/>
        <v>0</v>
      </c>
    </row>
    <row r="37" spans="2:22">
      <c r="B37">
        <v>202305</v>
      </c>
      <c r="C37" s="3">
        <f t="shared" si="3"/>
        <v>-30184848.939238064</v>
      </c>
      <c r="D37" s="28">
        <v>-268762.68</v>
      </c>
      <c r="E37" s="23">
        <f t="shared" si="15"/>
        <v>2139399.4936181563</v>
      </c>
      <c r="F37" s="24">
        <f t="shared" si="0"/>
        <v>-28314212.125619907</v>
      </c>
      <c r="G37" s="4">
        <f t="shared" si="1"/>
        <v>5945984.5463801799</v>
      </c>
      <c r="H37" s="4">
        <f t="shared" si="2"/>
        <v>-22368227.579239726</v>
      </c>
      <c r="I37" s="7">
        <f>'[1]Monthly Tariff Revenue'!I24</f>
        <v>2139399.4936181563</v>
      </c>
      <c r="J37" s="6">
        <f t="shared" si="5"/>
        <v>-31659733.14310573</v>
      </c>
      <c r="K37" s="6">
        <f t="shared" si="6"/>
        <v>23413651.831860274</v>
      </c>
      <c r="L37" s="8"/>
      <c r="M37" s="4">
        <f t="shared" si="7"/>
        <v>0</v>
      </c>
      <c r="O37" s="6">
        <f t="shared" si="8"/>
        <v>-2139399.4936181563</v>
      </c>
      <c r="P37" s="6">
        <f t="shared" si="9"/>
        <v>2139399.4936181563</v>
      </c>
      <c r="Q37" s="6">
        <f t="shared" si="10"/>
        <v>449273.89365981281</v>
      </c>
      <c r="R37" s="6">
        <f t="shared" si="11"/>
        <v>-449273.89365981281</v>
      </c>
      <c r="S37" s="6">
        <f t="shared" si="16"/>
        <v>2139399.4936181563</v>
      </c>
      <c r="T37" s="6">
        <f t="shared" si="12"/>
        <v>-449273.89365981281</v>
      </c>
      <c r="U37" s="6">
        <f t="shared" si="13"/>
        <v>-1690125.5999583434</v>
      </c>
      <c r="V37" s="6">
        <f t="shared" si="14"/>
        <v>0</v>
      </c>
    </row>
    <row r="38" spans="2:22">
      <c r="B38">
        <v>202306</v>
      </c>
      <c r="C38" s="3">
        <f>F37</f>
        <v>-28314212.125619907</v>
      </c>
      <c r="D38" s="28">
        <v>-268762.68</v>
      </c>
      <c r="E38" s="23">
        <f>S38</f>
        <v>2228547.9145247173</v>
      </c>
      <c r="F38" s="24">
        <f>SUM(C38:E38)</f>
        <v>-26354426.891095191</v>
      </c>
      <c r="G38" s="4">
        <f t="shared" si="1"/>
        <v>5534429.6471299902</v>
      </c>
      <c r="H38" s="4">
        <f>SUM(F38:G38)</f>
        <v>-20819997.243965201</v>
      </c>
      <c r="I38" s="7">
        <f>'[1]Monthly Tariff Revenue'!I25</f>
        <v>2228547.9145247173</v>
      </c>
      <c r="J38" s="6">
        <f>(((H26+H38)/2)+H27+H28+H29+H30+H31+H32+H33+H34+H35+H36+H37)/12</f>
        <v>-30284702.581045285</v>
      </c>
      <c r="K38" s="6">
        <f t="shared" si="6"/>
        <v>24961882.167134799</v>
      </c>
      <c r="L38" s="8"/>
      <c r="M38" s="4">
        <f>M37+L38</f>
        <v>0</v>
      </c>
      <c r="O38" s="6">
        <f t="shared" si="8"/>
        <v>-2228547.9145247173</v>
      </c>
      <c r="P38" s="6">
        <f t="shared" si="9"/>
        <v>2228547.9145247173</v>
      </c>
      <c r="Q38" s="6">
        <f t="shared" si="10"/>
        <v>467995.06205019058</v>
      </c>
      <c r="R38" s="6">
        <f t="shared" si="11"/>
        <v>-467995.06205019058</v>
      </c>
      <c r="S38" s="6">
        <f t="shared" si="16"/>
        <v>2228547.9145247173</v>
      </c>
      <c r="T38" s="6">
        <f t="shared" si="12"/>
        <v>-467995.06205019058</v>
      </c>
      <c r="U38" s="6">
        <f t="shared" si="13"/>
        <v>-1760552.8524745267</v>
      </c>
      <c r="V38" s="6">
        <f t="shared" si="14"/>
        <v>0</v>
      </c>
    </row>
    <row r="39" spans="2:22">
      <c r="B39">
        <v>202307</v>
      </c>
      <c r="C39" s="3">
        <f t="shared" si="3"/>
        <v>-26354426.891095191</v>
      </c>
      <c r="D39" s="28">
        <v>-268762.68</v>
      </c>
      <c r="E39" s="23">
        <f t="shared" si="15"/>
        <v>2702585.5753412084</v>
      </c>
      <c r="F39" s="24">
        <f t="shared" si="0"/>
        <v>-23920603.995753981</v>
      </c>
      <c r="G39" s="4">
        <f t="shared" si="1"/>
        <v>5023326.8391083358</v>
      </c>
      <c r="H39" s="4">
        <f t="shared" si="2"/>
        <v>-18897277.156645644</v>
      </c>
      <c r="I39" s="7">
        <f>'[1]Monthly Tariff Revenue'!I26</f>
        <v>2702585.5753412084</v>
      </c>
      <c r="J39" s="6">
        <f t="shared" si="5"/>
        <v>-28837521.121835899</v>
      </c>
      <c r="K39" s="6">
        <f>H39-$H$17</f>
        <v>26884602.254454356</v>
      </c>
      <c r="L39" s="8"/>
      <c r="M39" s="4">
        <f t="shared" si="7"/>
        <v>0</v>
      </c>
      <c r="O39" s="6">
        <f t="shared" si="8"/>
        <v>-2702585.5753412084</v>
      </c>
      <c r="P39" s="6">
        <f t="shared" si="9"/>
        <v>2702585.5753412084</v>
      </c>
      <c r="Q39" s="6">
        <f t="shared" si="10"/>
        <v>567542.97082165373</v>
      </c>
      <c r="R39" s="6">
        <f t="shared" si="11"/>
        <v>-567542.97082165373</v>
      </c>
      <c r="S39" s="6">
        <f t="shared" si="16"/>
        <v>2702585.5753412084</v>
      </c>
      <c r="T39" s="6">
        <f t="shared" si="12"/>
        <v>-567542.97082165373</v>
      </c>
      <c r="U39" s="6">
        <f t="shared" si="13"/>
        <v>-2135042.6045195544</v>
      </c>
      <c r="V39" s="6">
        <f t="shared" si="14"/>
        <v>0</v>
      </c>
    </row>
    <row r="40" spans="2:22">
      <c r="B40">
        <v>202308</v>
      </c>
      <c r="C40" s="3">
        <f t="shared" si="3"/>
        <v>-23920603.995753981</v>
      </c>
      <c r="D40" s="28">
        <v>-268762.68</v>
      </c>
      <c r="E40" s="23">
        <f>S40</f>
        <v>2712814.6961880811</v>
      </c>
      <c r="F40" s="24">
        <f t="shared" si="0"/>
        <v>-21476551.9795659</v>
      </c>
      <c r="G40" s="4">
        <f>F40*-0.21</f>
        <v>4510075.915708839</v>
      </c>
      <c r="H40" s="4">
        <f t="shared" si="2"/>
        <v>-16966476.06385706</v>
      </c>
      <c r="I40" s="7">
        <f>'[1]Monthly Tariff Revenue'!I27</f>
        <v>2712814.6961880811</v>
      </c>
      <c r="J40" s="6">
        <f t="shared" si="5"/>
        <v>-27317041.150766358</v>
      </c>
      <c r="K40" s="6">
        <f t="shared" ref="K40:K44" si="17">H40-$H$17</f>
        <v>28815403.34724294</v>
      </c>
      <c r="L40" s="8"/>
      <c r="M40" s="4">
        <f t="shared" si="7"/>
        <v>0</v>
      </c>
      <c r="O40" s="6">
        <f t="shared" si="8"/>
        <v>-2712814.6961880811</v>
      </c>
      <c r="P40" s="6">
        <f t="shared" si="9"/>
        <v>2712814.6961880811</v>
      </c>
      <c r="Q40" s="6">
        <f t="shared" si="10"/>
        <v>569691.08619949699</v>
      </c>
      <c r="R40" s="6">
        <f t="shared" si="11"/>
        <v>-569691.08619949699</v>
      </c>
      <c r="S40" s="6">
        <f t="shared" si="16"/>
        <v>2712814.6961880811</v>
      </c>
      <c r="T40" s="6">
        <f t="shared" si="12"/>
        <v>-569691.08619949699</v>
      </c>
      <c r="U40" s="6">
        <f t="shared" si="13"/>
        <v>-2143123.6099885842</v>
      </c>
      <c r="V40" s="6">
        <f t="shared" si="14"/>
        <v>0</v>
      </c>
    </row>
    <row r="41" spans="2:22">
      <c r="B41">
        <v>202309</v>
      </c>
      <c r="C41" s="3">
        <f t="shared" si="3"/>
        <v>-21476551.9795659</v>
      </c>
      <c r="D41" s="28">
        <f>-268762.68-138222.01</f>
        <v>-406984.69</v>
      </c>
      <c r="E41" s="22">
        <f>S41</f>
        <v>2034557.7810735779</v>
      </c>
      <c r="F41" s="24">
        <f t="shared" si="0"/>
        <v>-19848978.888492323</v>
      </c>
      <c r="G41" s="4">
        <f>F41*-0.21</f>
        <v>4168285.5665833876</v>
      </c>
      <c r="H41" s="4">
        <f t="shared" si="2"/>
        <v>-15680693.321908936</v>
      </c>
      <c r="I41" s="7">
        <f>'[1]Monthly Tariff Revenue'!I28</f>
        <v>2034557.7810735779</v>
      </c>
      <c r="J41" s="9">
        <f t="shared" si="5"/>
        <v>-25743070.910062641</v>
      </c>
      <c r="K41" s="6">
        <f t="shared" si="17"/>
        <v>30101186.089191064</v>
      </c>
      <c r="L41" s="5"/>
      <c r="M41" s="4">
        <f>M40+L41</f>
        <v>0</v>
      </c>
      <c r="O41" s="2">
        <f t="shared" si="8"/>
        <v>-2034557.7810735779</v>
      </c>
      <c r="P41" s="2">
        <f t="shared" si="9"/>
        <v>2034557.7810735779</v>
      </c>
      <c r="Q41" s="2">
        <f t="shared" si="10"/>
        <v>427257.13402545138</v>
      </c>
      <c r="R41" s="2">
        <f t="shared" si="11"/>
        <v>-427257.13402545138</v>
      </c>
      <c r="S41" s="3">
        <f>I41+(L41*$S$2)</f>
        <v>2034557.7810735779</v>
      </c>
      <c r="T41" s="2">
        <f>S41*-$R$3</f>
        <v>-427257.13402545138</v>
      </c>
      <c r="U41" s="2">
        <f t="shared" si="13"/>
        <v>-1607300.6470481264</v>
      </c>
      <c r="V41" s="2">
        <f t="shared" si="14"/>
        <v>0</v>
      </c>
    </row>
    <row r="42" spans="2:22">
      <c r="B42">
        <v>202310</v>
      </c>
      <c r="C42" s="3">
        <f t="shared" si="3"/>
        <v>-19848978.888492323</v>
      </c>
      <c r="D42" s="28">
        <v>-268762.68</v>
      </c>
      <c r="E42" s="22">
        <f t="shared" si="15"/>
        <v>1108626.9766034072</v>
      </c>
      <c r="F42" s="24">
        <f t="shared" si="0"/>
        <v>-19009114.591888916</v>
      </c>
      <c r="G42" s="4">
        <f t="shared" ref="G42:G56" si="18">F42*-0.21</f>
        <v>3991914.0642966721</v>
      </c>
      <c r="H42" s="4">
        <f t="shared" si="2"/>
        <v>-15017200.527592244</v>
      </c>
      <c r="I42" s="7">
        <f>'[1]Monthly Tariff Revenue'!I29</f>
        <v>1108626.9766034072</v>
      </c>
      <c r="J42" s="9">
        <f t="shared" si="5"/>
        <v>-24152164.256753802</v>
      </c>
      <c r="K42" s="6">
        <f>H42-$H$17</f>
        <v>30764678.883507758</v>
      </c>
      <c r="L42" s="5"/>
      <c r="M42" s="4">
        <f t="shared" si="7"/>
        <v>0</v>
      </c>
      <c r="O42" s="2">
        <f t="shared" si="8"/>
        <v>-1108626.9766034072</v>
      </c>
      <c r="P42" s="2">
        <f t="shared" si="9"/>
        <v>1108626.9766034072</v>
      </c>
      <c r="Q42" s="2">
        <f t="shared" si="10"/>
        <v>232811.66508671551</v>
      </c>
      <c r="R42" s="2">
        <f t="shared" si="11"/>
        <v>-232811.66508671551</v>
      </c>
      <c r="S42" s="3">
        <f t="shared" ref="S42:S44" si="19">I42+(L42*$S$2)</f>
        <v>1108626.9766034072</v>
      </c>
      <c r="T42" s="2">
        <f t="shared" ref="T42:T68" si="20">S42*-$R$3</f>
        <v>-232811.66508671551</v>
      </c>
      <c r="U42" s="2">
        <f t="shared" si="13"/>
        <v>-875815.3115166917</v>
      </c>
      <c r="V42" s="2">
        <f t="shared" si="14"/>
        <v>0</v>
      </c>
    </row>
    <row r="43" spans="2:22">
      <c r="B43">
        <v>202311</v>
      </c>
      <c r="C43" s="3">
        <f t="shared" si="3"/>
        <v>-19009114.591888916</v>
      </c>
      <c r="D43" s="28">
        <v>-268762.68</v>
      </c>
      <c r="E43" s="22">
        <f t="shared" si="15"/>
        <v>1174784.386812005</v>
      </c>
      <c r="F43" s="24">
        <f t="shared" si="0"/>
        <v>-18103092.88507691</v>
      </c>
      <c r="G43" s="4">
        <f t="shared" si="18"/>
        <v>3801649.5058661508</v>
      </c>
      <c r="H43" s="4">
        <f t="shared" si="2"/>
        <v>-14301443.379210759</v>
      </c>
      <c r="I43" s="7">
        <f>'[1]Monthly Tariff Revenue'!I30</f>
        <v>1174784.386812005</v>
      </c>
      <c r="J43" s="9">
        <f t="shared" si="5"/>
        <v>-22583594.759560034</v>
      </c>
      <c r="K43" s="6">
        <f t="shared" si="17"/>
        <v>31480436.031889241</v>
      </c>
      <c r="L43" s="5"/>
      <c r="M43" s="4">
        <f t="shared" si="7"/>
        <v>0</v>
      </c>
      <c r="O43" s="2">
        <f t="shared" si="8"/>
        <v>-1174784.386812005</v>
      </c>
      <c r="P43" s="2">
        <f t="shared" si="9"/>
        <v>1174784.386812005</v>
      </c>
      <c r="Q43" s="2">
        <f t="shared" si="10"/>
        <v>246704.72123052104</v>
      </c>
      <c r="R43" s="2">
        <f t="shared" si="11"/>
        <v>-246704.72123052104</v>
      </c>
      <c r="S43" s="3">
        <f t="shared" si="19"/>
        <v>1174784.386812005</v>
      </c>
      <c r="T43" s="2">
        <f t="shared" si="20"/>
        <v>-246704.72123052104</v>
      </c>
      <c r="U43" s="2">
        <f t="shared" si="13"/>
        <v>-928079.66558148386</v>
      </c>
      <c r="V43" s="2">
        <f t="shared" si="14"/>
        <v>0</v>
      </c>
    </row>
    <row r="44" spans="2:22">
      <c r="B44">
        <v>202312</v>
      </c>
      <c r="C44" s="3">
        <f t="shared" si="3"/>
        <v>-18103092.88507691</v>
      </c>
      <c r="D44" s="28">
        <v>-5043.41</v>
      </c>
      <c r="E44" s="22">
        <f t="shared" si="15"/>
        <v>1356022.1624155154</v>
      </c>
      <c r="F44" s="24">
        <f t="shared" si="0"/>
        <v>-16752114.132661395</v>
      </c>
      <c r="G44" s="4">
        <f t="shared" si="18"/>
        <v>3517943.9678588929</v>
      </c>
      <c r="H44" s="4">
        <f t="shared" si="2"/>
        <v>-13234170.164802503</v>
      </c>
      <c r="I44" s="7">
        <f>'[1]Monthly Tariff Revenue'!I31</f>
        <v>1356022.1624155154</v>
      </c>
      <c r="J44" s="9">
        <f t="shared" si="5"/>
        <v>-21036485.130360708</v>
      </c>
      <c r="K44" s="6">
        <f t="shared" si="17"/>
        <v>32547709.246297497</v>
      </c>
      <c r="L44" s="5"/>
      <c r="M44" s="4">
        <f t="shared" si="7"/>
        <v>0</v>
      </c>
      <c r="O44" s="2">
        <f t="shared" si="8"/>
        <v>-1356022.1624155154</v>
      </c>
      <c r="P44" s="2">
        <f t="shared" si="9"/>
        <v>1356022.1624155154</v>
      </c>
      <c r="Q44" s="2">
        <f t="shared" si="10"/>
        <v>284764.65410725825</v>
      </c>
      <c r="R44" s="2">
        <f t="shared" si="11"/>
        <v>-284764.65410725825</v>
      </c>
      <c r="S44" s="3">
        <f t="shared" si="19"/>
        <v>1356022.1624155154</v>
      </c>
      <c r="T44" s="2">
        <f t="shared" si="20"/>
        <v>-284764.65410725825</v>
      </c>
      <c r="U44" s="2">
        <f t="shared" si="13"/>
        <v>-1071257.5083082572</v>
      </c>
      <c r="V44" s="2">
        <f t="shared" si="14"/>
        <v>0</v>
      </c>
    </row>
    <row r="45" spans="2:22">
      <c r="B45">
        <v>202401</v>
      </c>
      <c r="C45" s="3">
        <f t="shared" si="3"/>
        <v>-16752114.132661395</v>
      </c>
      <c r="D45" s="28">
        <v>-190414.68</v>
      </c>
      <c r="E45" s="22">
        <f>S45</f>
        <v>1554720.8665598768</v>
      </c>
      <c r="F45" s="24">
        <f t="shared" si="0"/>
        <v>-15387807.946101518</v>
      </c>
      <c r="G45" s="4">
        <f t="shared" si="18"/>
        <v>3231439.6686813189</v>
      </c>
      <c r="H45" s="4">
        <f t="shared" si="2"/>
        <v>-12156368.2774202</v>
      </c>
      <c r="I45" s="7">
        <f>'[1]Monthly Tariff Revenue'!I32</f>
        <v>1554720.8665598768</v>
      </c>
      <c r="J45" s="9">
        <f t="shared" si="5"/>
        <v>-19555555.86727348</v>
      </c>
      <c r="K45" s="6">
        <f>H45-$H$17</f>
        <v>33625511.1336798</v>
      </c>
      <c r="L45" s="5"/>
      <c r="M45" s="4">
        <f t="shared" si="7"/>
        <v>0</v>
      </c>
      <c r="O45" s="2">
        <f t="shared" si="8"/>
        <v>-1554720.8665598768</v>
      </c>
      <c r="P45" s="2">
        <f t="shared" si="9"/>
        <v>1554720.8665598768</v>
      </c>
      <c r="Q45" s="2">
        <f t="shared" si="10"/>
        <v>326491.38197757414</v>
      </c>
      <c r="R45" s="2">
        <f t="shared" si="11"/>
        <v>-326491.38197757414</v>
      </c>
      <c r="S45" s="3">
        <f>I45+(L45*$S$2)</f>
        <v>1554720.8665598768</v>
      </c>
      <c r="T45" s="2">
        <f t="shared" si="20"/>
        <v>-326491.38197757414</v>
      </c>
      <c r="U45" s="2">
        <f t="shared" si="13"/>
        <v>-1228229.4845823026</v>
      </c>
      <c r="V45" s="2">
        <f t="shared" si="14"/>
        <v>0</v>
      </c>
    </row>
    <row r="46" spans="2:22" outlineLevel="1">
      <c r="B46">
        <v>202402</v>
      </c>
      <c r="C46" s="3">
        <f t="shared" si="3"/>
        <v>-15387807.946101518</v>
      </c>
      <c r="D46" s="28">
        <v>-190414.68</v>
      </c>
      <c r="E46" s="22">
        <f t="shared" si="15"/>
        <v>1248039.6690711479</v>
      </c>
      <c r="F46" s="24">
        <f t="shared" si="0"/>
        <v>-14330182.957030371</v>
      </c>
      <c r="G46" s="4">
        <f t="shared" si="18"/>
        <v>3009338.4209763776</v>
      </c>
      <c r="H46" s="4">
        <f t="shared" si="2"/>
        <v>-11320844.536053993</v>
      </c>
      <c r="I46" s="7">
        <f>'[1]Monthly Tariff Revenue'!I33</f>
        <v>1248039.6690711479</v>
      </c>
      <c r="J46" s="2">
        <f t="shared" si="5"/>
        <v>-18175345.356710639</v>
      </c>
      <c r="K46" s="6">
        <f t="shared" ref="K46:K54" si="21">H46-$H$17</f>
        <v>34461034.875046007</v>
      </c>
      <c r="L46" s="5"/>
      <c r="M46" s="4">
        <f t="shared" si="7"/>
        <v>0</v>
      </c>
      <c r="O46" s="2">
        <f t="shared" si="8"/>
        <v>-1248039.6690711479</v>
      </c>
      <c r="P46" s="2">
        <f t="shared" si="9"/>
        <v>1248039.6690711479</v>
      </c>
      <c r="Q46" s="2">
        <f t="shared" si="10"/>
        <v>262088.33050494106</v>
      </c>
      <c r="R46" s="2">
        <f t="shared" si="11"/>
        <v>-262088.33050494106</v>
      </c>
      <c r="S46" s="3">
        <f t="shared" ref="S46:S68" si="22">I46+(L46*$S$2)</f>
        <v>1248039.6690711479</v>
      </c>
      <c r="T46" s="2">
        <f t="shared" si="20"/>
        <v>-262088.33050494106</v>
      </c>
      <c r="U46" s="2">
        <f t="shared" si="13"/>
        <v>-985951.33856620686</v>
      </c>
      <c r="V46" s="2">
        <f t="shared" si="14"/>
        <v>0</v>
      </c>
    </row>
    <row r="47" spans="2:22" outlineLevel="1">
      <c r="B47">
        <v>202403</v>
      </c>
      <c r="C47" s="3">
        <f t="shared" si="3"/>
        <v>-14330182.957030371</v>
      </c>
      <c r="D47" s="28">
        <v>-190414.68</v>
      </c>
      <c r="E47" s="22">
        <f t="shared" si="15"/>
        <v>1092291.0532373248</v>
      </c>
      <c r="F47" s="24">
        <f t="shared" si="0"/>
        <v>-13428306.583793046</v>
      </c>
      <c r="G47" s="4">
        <f t="shared" si="18"/>
        <v>2819944.3825965393</v>
      </c>
      <c r="H47" s="4">
        <f t="shared" si="2"/>
        <v>-10608362.201196507</v>
      </c>
      <c r="I47" s="7">
        <f>'[1]Monthly Tariff Revenue'!I34</f>
        <v>1092291.0532373248</v>
      </c>
      <c r="J47" s="2">
        <f t="shared" si="5"/>
        <v>-16885631.654237878</v>
      </c>
      <c r="K47" s="6">
        <f t="shared" si="21"/>
        <v>35173517.209903494</v>
      </c>
      <c r="L47" s="5"/>
      <c r="M47" s="4">
        <f t="shared" si="7"/>
        <v>0</v>
      </c>
      <c r="O47" s="2">
        <f t="shared" si="8"/>
        <v>-1092291.0532373248</v>
      </c>
      <c r="P47" s="2">
        <f t="shared" si="9"/>
        <v>1092291.0532373248</v>
      </c>
      <c r="Q47" s="2">
        <f t="shared" si="10"/>
        <v>229381.1211798382</v>
      </c>
      <c r="R47" s="2">
        <f t="shared" si="11"/>
        <v>-229381.1211798382</v>
      </c>
      <c r="S47" s="3">
        <f t="shared" si="22"/>
        <v>1092291.0532373248</v>
      </c>
      <c r="T47" s="2">
        <f t="shared" si="20"/>
        <v>-229381.1211798382</v>
      </c>
      <c r="U47" s="2">
        <f t="shared" si="13"/>
        <v>-862909.93205748661</v>
      </c>
      <c r="V47" s="2">
        <f t="shared" si="14"/>
        <v>0</v>
      </c>
    </row>
    <row r="48" spans="2:22" outlineLevel="1">
      <c r="B48">
        <v>202404</v>
      </c>
      <c r="C48" s="3">
        <f t="shared" si="3"/>
        <v>-13428306.583793046</v>
      </c>
      <c r="D48" s="28">
        <v>-190414.68</v>
      </c>
      <c r="E48" s="22">
        <f t="shared" si="15"/>
        <v>966654.81471332069</v>
      </c>
      <c r="F48" s="24">
        <f t="shared" si="0"/>
        <v>-12652066.449079726</v>
      </c>
      <c r="G48" s="4">
        <f t="shared" si="18"/>
        <v>2656933.9543067422</v>
      </c>
      <c r="H48" s="4">
        <f t="shared" si="2"/>
        <v>-9995132.4947729837</v>
      </c>
      <c r="I48" s="7">
        <f>'[1]Monthly Tariff Revenue'!I35</f>
        <v>966654.81471332069</v>
      </c>
      <c r="J48" s="2">
        <f t="shared" si="5"/>
        <v>-15690970.169189855</v>
      </c>
      <c r="K48" s="6">
        <f t="shared" si="21"/>
        <v>35786746.916327015</v>
      </c>
      <c r="L48" s="5"/>
      <c r="M48" s="4">
        <f t="shared" si="7"/>
        <v>0</v>
      </c>
      <c r="O48" s="2">
        <f t="shared" si="8"/>
        <v>-966654.81471332069</v>
      </c>
      <c r="P48" s="2">
        <f t="shared" si="9"/>
        <v>966654.81471332069</v>
      </c>
      <c r="Q48" s="2">
        <f t="shared" si="10"/>
        <v>202997.51108979734</v>
      </c>
      <c r="R48" s="2">
        <f t="shared" si="11"/>
        <v>-202997.51108979734</v>
      </c>
      <c r="S48" s="3">
        <f t="shared" si="22"/>
        <v>966654.81471332069</v>
      </c>
      <c r="T48" s="2">
        <f t="shared" si="20"/>
        <v>-202997.51108979734</v>
      </c>
      <c r="U48" s="2">
        <f t="shared" si="13"/>
        <v>-763657.30362352333</v>
      </c>
      <c r="V48" s="2">
        <f t="shared" si="14"/>
        <v>0</v>
      </c>
    </row>
    <row r="49" spans="2:22" outlineLevel="1">
      <c r="B49">
        <v>202405</v>
      </c>
      <c r="C49" s="3">
        <f t="shared" si="3"/>
        <v>-12652066.449079726</v>
      </c>
      <c r="D49" s="28">
        <v>-190414.68</v>
      </c>
      <c r="E49" s="22">
        <f t="shared" si="15"/>
        <v>869927.58548069862</v>
      </c>
      <c r="F49" s="24">
        <f t="shared" si="0"/>
        <v>-11972553.543599026</v>
      </c>
      <c r="G49" s="4">
        <f t="shared" si="18"/>
        <v>2514236.2441557953</v>
      </c>
      <c r="H49" s="4">
        <f t="shared" si="2"/>
        <v>-9458317.29944323</v>
      </c>
      <c r="I49" s="7">
        <f>'[1]Monthly Tariff Revenue'!I36</f>
        <v>869927.58548069862</v>
      </c>
      <c r="J49" s="2">
        <f t="shared" si="5"/>
        <v>-14575936.483897289</v>
      </c>
      <c r="K49" s="6">
        <f t="shared" si="21"/>
        <v>36323562.11165677</v>
      </c>
      <c r="L49" s="5"/>
      <c r="M49" s="4">
        <f t="shared" si="7"/>
        <v>0</v>
      </c>
      <c r="O49" s="2">
        <f t="shared" si="8"/>
        <v>-869927.58548069862</v>
      </c>
      <c r="P49" s="2">
        <f t="shared" si="9"/>
        <v>869927.58548069862</v>
      </c>
      <c r="Q49" s="2">
        <f t="shared" si="10"/>
        <v>182684.79295094669</v>
      </c>
      <c r="R49" s="2">
        <f t="shared" si="11"/>
        <v>-182684.79295094669</v>
      </c>
      <c r="S49" s="3">
        <f t="shared" si="22"/>
        <v>869927.58548069862</v>
      </c>
      <c r="T49" s="2">
        <f t="shared" si="20"/>
        <v>-182684.79295094669</v>
      </c>
      <c r="U49" s="2">
        <f t="shared" si="13"/>
        <v>-687242.7925297519</v>
      </c>
      <c r="V49" s="2">
        <f t="shared" si="14"/>
        <v>0</v>
      </c>
    </row>
    <row r="50" spans="2:22" outlineLevel="1">
      <c r="B50">
        <v>202406</v>
      </c>
      <c r="C50" s="3">
        <f t="shared" si="3"/>
        <v>-11972553.543599026</v>
      </c>
      <c r="D50" s="28">
        <v>-190414.68</v>
      </c>
      <c r="E50" s="22">
        <f t="shared" si="15"/>
        <v>989313.13825229474</v>
      </c>
      <c r="F50" s="24">
        <f t="shared" si="0"/>
        <v>-11173655.08534673</v>
      </c>
      <c r="G50" s="4">
        <f t="shared" si="18"/>
        <v>2346467.5679228134</v>
      </c>
      <c r="H50" s="4">
        <f t="shared" si="2"/>
        <v>-8827187.5174239166</v>
      </c>
      <c r="I50" s="7">
        <f>'[1]Monthly Tariff Revenue'!I37</f>
        <v>989313.13825229474</v>
      </c>
      <c r="J50" s="2">
        <f t="shared" si="5"/>
        <v>-13538323.150299883</v>
      </c>
      <c r="K50" s="6">
        <f t="shared" si="21"/>
        <v>36954691.893676087</v>
      </c>
      <c r="L50" s="5"/>
      <c r="M50" s="4">
        <f t="shared" si="7"/>
        <v>0</v>
      </c>
      <c r="O50" s="2">
        <f t="shared" si="8"/>
        <v>-989313.13825229474</v>
      </c>
      <c r="P50" s="2">
        <f t="shared" si="9"/>
        <v>989313.13825229474</v>
      </c>
      <c r="Q50" s="2">
        <f t="shared" si="10"/>
        <v>207755.75903298188</v>
      </c>
      <c r="R50" s="2">
        <f t="shared" si="11"/>
        <v>-207755.75903298188</v>
      </c>
      <c r="S50" s="3">
        <f t="shared" si="22"/>
        <v>989313.13825229474</v>
      </c>
      <c r="T50" s="2">
        <f t="shared" si="20"/>
        <v>-207755.75903298188</v>
      </c>
      <c r="U50" s="2">
        <f t="shared" si="13"/>
        <v>-781557.37921931292</v>
      </c>
      <c r="V50" s="2">
        <f t="shared" si="14"/>
        <v>0</v>
      </c>
    </row>
    <row r="51" spans="2:22" outlineLevel="1">
      <c r="B51">
        <v>202407</v>
      </c>
      <c r="C51" s="3">
        <f t="shared" si="3"/>
        <v>-11173655.08534673</v>
      </c>
      <c r="D51" s="28">
        <v>-190414.68</v>
      </c>
      <c r="E51" s="22">
        <f t="shared" si="15"/>
        <v>1226136.7469608006</v>
      </c>
      <c r="F51" s="24">
        <f t="shared" si="0"/>
        <v>-10137933.01838593</v>
      </c>
      <c r="G51" s="4">
        <f t="shared" si="18"/>
        <v>2128965.9338610452</v>
      </c>
      <c r="H51" s="4">
        <f t="shared" si="2"/>
        <v>-8008967.0845248848</v>
      </c>
      <c r="I51" s="7">
        <f>'[1]Monthly Tariff Revenue'!I38</f>
        <v>1226136.7469608006</v>
      </c>
      <c r="J51" s="2">
        <f t="shared" si="5"/>
        <v>-12584943.158688968</v>
      </c>
      <c r="K51" s="6">
        <f t="shared" si="21"/>
        <v>37772912.326575115</v>
      </c>
      <c r="L51" s="5"/>
      <c r="M51" s="4">
        <f t="shared" si="7"/>
        <v>0</v>
      </c>
      <c r="O51" s="2">
        <f t="shared" si="8"/>
        <v>-1226136.7469608006</v>
      </c>
      <c r="P51" s="2">
        <f t="shared" si="9"/>
        <v>1226136.7469608006</v>
      </c>
      <c r="Q51" s="2">
        <f t="shared" si="10"/>
        <v>257488.71686176813</v>
      </c>
      <c r="R51" s="2">
        <f t="shared" si="11"/>
        <v>-257488.71686176813</v>
      </c>
      <c r="S51" s="3">
        <f t="shared" si="22"/>
        <v>1226136.7469608006</v>
      </c>
      <c r="T51" s="2">
        <f t="shared" si="20"/>
        <v>-257488.71686176813</v>
      </c>
      <c r="U51" s="2">
        <f t="shared" si="13"/>
        <v>-968648.03009903245</v>
      </c>
      <c r="V51" s="2">
        <f t="shared" si="14"/>
        <v>0</v>
      </c>
    </row>
    <row r="52" spans="2:22" outlineLevel="1">
      <c r="B52">
        <v>202408</v>
      </c>
      <c r="C52" s="3">
        <f t="shared" si="3"/>
        <v>-10137933.01838593</v>
      </c>
      <c r="D52" s="28">
        <v>-190414.68</v>
      </c>
      <c r="E52" s="22">
        <f t="shared" si="15"/>
        <v>1160035.0577549736</v>
      </c>
      <c r="F52" s="24">
        <f t="shared" si="0"/>
        <v>-9168312.6406309567</v>
      </c>
      <c r="G52" s="4">
        <f t="shared" si="18"/>
        <v>1925345.6545325008</v>
      </c>
      <c r="H52" s="4">
        <f t="shared" si="2"/>
        <v>-7242966.9860984562</v>
      </c>
      <c r="I52" s="7">
        <f>'[1]Monthly Tariff Revenue'!I39</f>
        <v>1160035.0577549736</v>
      </c>
      <c r="J52" s="2">
        <f t="shared" si="5"/>
        <v>-11726117.360777324</v>
      </c>
      <c r="K52" s="6">
        <f t="shared" si="21"/>
        <v>38538912.425001547</v>
      </c>
      <c r="L52" s="5"/>
      <c r="M52" s="4">
        <f t="shared" si="7"/>
        <v>0</v>
      </c>
      <c r="O52" s="2">
        <f t="shared" si="8"/>
        <v>-1160035.0577549736</v>
      </c>
      <c r="P52" s="2">
        <f t="shared" si="9"/>
        <v>1160035.0577549736</v>
      </c>
      <c r="Q52" s="2">
        <f t="shared" si="10"/>
        <v>243607.36212854445</v>
      </c>
      <c r="R52" s="2">
        <f t="shared" si="11"/>
        <v>-243607.36212854445</v>
      </c>
      <c r="S52" s="3">
        <f t="shared" si="22"/>
        <v>1160035.0577549736</v>
      </c>
      <c r="T52" s="2">
        <f t="shared" si="20"/>
        <v>-243607.36212854445</v>
      </c>
      <c r="U52" s="2">
        <f t="shared" si="13"/>
        <v>-916427.69562642917</v>
      </c>
      <c r="V52" s="2">
        <f t="shared" si="14"/>
        <v>0</v>
      </c>
    </row>
    <row r="53" spans="2:22" outlineLevel="1">
      <c r="B53">
        <v>202409</v>
      </c>
      <c r="C53" s="3">
        <f t="shared" si="3"/>
        <v>-9168312.6406309567</v>
      </c>
      <c r="D53" s="28">
        <v>-190414.68</v>
      </c>
      <c r="E53" s="22">
        <f t="shared" si="15"/>
        <v>809946.19307685015</v>
      </c>
      <c r="F53" s="24">
        <f t="shared" si="0"/>
        <v>-8548781.1275541056</v>
      </c>
      <c r="G53" s="4">
        <f t="shared" si="18"/>
        <v>1795244.0367863621</v>
      </c>
      <c r="H53" s="4">
        <f t="shared" si="2"/>
        <v>-6753537.0907677431</v>
      </c>
      <c r="I53" s="7">
        <f>'[1]Monthly Tariff Revenue'!I40</f>
        <v>809946.19307685015</v>
      </c>
      <c r="J53" s="2">
        <f t="shared" si="5"/>
        <v>-10949006.306239834</v>
      </c>
      <c r="K53" s="6">
        <f t="shared" si="21"/>
        <v>39028342.320332259</v>
      </c>
      <c r="L53" s="5"/>
      <c r="M53" s="4">
        <f t="shared" si="7"/>
        <v>0</v>
      </c>
      <c r="O53" s="2">
        <f t="shared" si="8"/>
        <v>-809946.19307685015</v>
      </c>
      <c r="P53" s="2">
        <f t="shared" si="9"/>
        <v>809946.19307685015</v>
      </c>
      <c r="Q53" s="2">
        <f t="shared" si="10"/>
        <v>170088.70054613851</v>
      </c>
      <c r="R53" s="2">
        <f t="shared" si="11"/>
        <v>-170088.70054613851</v>
      </c>
      <c r="S53" s="3">
        <f t="shared" si="22"/>
        <v>809946.19307685015</v>
      </c>
      <c r="T53" s="2">
        <f t="shared" si="20"/>
        <v>-170088.70054613851</v>
      </c>
      <c r="U53" s="2">
        <f t="shared" si="13"/>
        <v>-639857.49253071169</v>
      </c>
      <c r="V53" s="2">
        <f t="shared" si="14"/>
        <v>0</v>
      </c>
    </row>
    <row r="54" spans="2:22" outlineLevel="1">
      <c r="B54">
        <v>202410</v>
      </c>
      <c r="C54" s="3">
        <f t="shared" si="3"/>
        <v>-8548781.1275541056</v>
      </c>
      <c r="D54" s="28">
        <v>-190414.68</v>
      </c>
      <c r="E54" s="22">
        <f t="shared" si="15"/>
        <v>1000192.2875803312</v>
      </c>
      <c r="F54" s="24">
        <f t="shared" si="0"/>
        <v>-7739003.5199737744</v>
      </c>
      <c r="G54" s="4">
        <f t="shared" si="18"/>
        <v>1625190.7391944926</v>
      </c>
      <c r="H54" s="4">
        <f t="shared" si="2"/>
        <v>-6113812.7807792816</v>
      </c>
      <c r="I54" s="7">
        <f>'[1]Monthly Tariff Revenue'!I41</f>
        <v>1000192.2875803312</v>
      </c>
      <c r="J54" s="2">
        <f t="shared" si="5"/>
        <v>-10206066.973825077</v>
      </c>
      <c r="K54" s="6">
        <f t="shared" si="21"/>
        <v>39668066.63032072</v>
      </c>
      <c r="L54" s="5"/>
      <c r="M54" s="4">
        <f t="shared" si="7"/>
        <v>0</v>
      </c>
      <c r="O54" s="2">
        <f t="shared" si="8"/>
        <v>-1000192.2875803312</v>
      </c>
      <c r="P54" s="2">
        <f t="shared" si="9"/>
        <v>1000192.2875803312</v>
      </c>
      <c r="Q54" s="2">
        <f t="shared" si="10"/>
        <v>210040.38039186955</v>
      </c>
      <c r="R54" s="2">
        <f t="shared" si="11"/>
        <v>-210040.38039186955</v>
      </c>
      <c r="S54" s="3">
        <f t="shared" si="22"/>
        <v>1000192.2875803312</v>
      </c>
      <c r="T54" s="2">
        <f t="shared" si="20"/>
        <v>-210040.38039186955</v>
      </c>
      <c r="U54" s="2">
        <f t="shared" si="13"/>
        <v>-790151.90718846163</v>
      </c>
      <c r="V54" s="2">
        <f t="shared" si="14"/>
        <v>0</v>
      </c>
    </row>
    <row r="55" spans="2:22" outlineLevel="1">
      <c r="B55">
        <v>202411</v>
      </c>
      <c r="C55" s="3">
        <f t="shared" si="3"/>
        <v>-7739003.5199737744</v>
      </c>
      <c r="D55" s="28">
        <v>-190414.68</v>
      </c>
      <c r="E55" s="22">
        <f t="shared" si="15"/>
        <v>1320616.2776210818</v>
      </c>
      <c r="F55" s="24">
        <f t="shared" si="0"/>
        <v>-6608801.9223526921</v>
      </c>
      <c r="G55" s="4">
        <f t="shared" si="18"/>
        <v>1387848.4036940653</v>
      </c>
      <c r="H55" s="4">
        <f t="shared" si="2"/>
        <v>-5220953.5186586268</v>
      </c>
      <c r="I55" s="7">
        <f>'[1]Monthly Tariff Revenue'!I42</f>
        <v>1320616.2776210818</v>
      </c>
      <c r="J55" s="2">
        <f t="shared" si="5"/>
        <v>-9456738.7401848659</v>
      </c>
      <c r="K55" s="6">
        <f>H55-$H$17</f>
        <v>40560925.892441377</v>
      </c>
      <c r="L55" s="5"/>
      <c r="M55" s="4">
        <f t="shared" si="7"/>
        <v>0</v>
      </c>
      <c r="O55" s="2">
        <f t="shared" si="8"/>
        <v>-1320616.2776210818</v>
      </c>
      <c r="P55" s="2">
        <f t="shared" si="9"/>
        <v>1320616.2776210818</v>
      </c>
      <c r="Q55" s="2">
        <f t="shared" si="10"/>
        <v>277329.41830042715</v>
      </c>
      <c r="R55" s="2">
        <f t="shared" si="11"/>
        <v>-277329.41830042715</v>
      </c>
      <c r="S55" s="3">
        <f t="shared" si="22"/>
        <v>1320616.2776210818</v>
      </c>
      <c r="T55" s="2">
        <f t="shared" si="20"/>
        <v>-277329.41830042715</v>
      </c>
      <c r="U55" s="2">
        <f t="shared" si="13"/>
        <v>-1043286.8593206547</v>
      </c>
      <c r="V55" s="2">
        <f t="shared" si="14"/>
        <v>0</v>
      </c>
    </row>
    <row r="56" spans="2:22" ht="15" outlineLevel="1">
      <c r="B56">
        <v>202412</v>
      </c>
      <c r="C56" s="3">
        <f t="shared" si="3"/>
        <v>-6608801.9223526921</v>
      </c>
      <c r="D56" s="28">
        <v>-190414.68</v>
      </c>
      <c r="E56" s="22">
        <f t="shared" si="15"/>
        <v>1065299.9810954279</v>
      </c>
      <c r="F56" s="29">
        <f t="shared" ref="F56" si="23">SUM(C56:E56)</f>
        <v>-5733916.6212572642</v>
      </c>
      <c r="G56" s="4">
        <f t="shared" si="18"/>
        <v>1204122.4904640254</v>
      </c>
      <c r="H56" s="4">
        <f t="shared" si="2"/>
        <v>-4529794.130793239</v>
      </c>
      <c r="I56" s="7">
        <f>'[1]Monthly Tariff Revenue'!I43</f>
        <v>1065299.9810954279</v>
      </c>
      <c r="J56" s="2">
        <f t="shared" si="5"/>
        <v>-8715702.6612448078</v>
      </c>
      <c r="K56" s="6">
        <f>H56-$H$17</f>
        <v>41252085.280306764</v>
      </c>
      <c r="L56" s="5"/>
      <c r="M56" s="4">
        <f>M55+L56</f>
        <v>0</v>
      </c>
      <c r="O56" s="2">
        <f t="shared" si="8"/>
        <v>-1065299.9810954279</v>
      </c>
      <c r="P56" s="2">
        <f t="shared" si="9"/>
        <v>1065299.9810954279</v>
      </c>
      <c r="Q56" s="2">
        <f t="shared" si="10"/>
        <v>223712.99603003985</v>
      </c>
      <c r="R56" s="2">
        <f t="shared" si="11"/>
        <v>-223712.99603003985</v>
      </c>
      <c r="S56" s="3">
        <f t="shared" si="22"/>
        <v>1065299.9810954279</v>
      </c>
      <c r="T56" s="2">
        <f t="shared" si="20"/>
        <v>-223712.99603003985</v>
      </c>
      <c r="U56" s="2">
        <f t="shared" si="13"/>
        <v>-841586.98506538803</v>
      </c>
      <c r="V56" s="2">
        <f t="shared" si="14"/>
        <v>0</v>
      </c>
    </row>
    <row r="57" spans="2:22" ht="15">
      <c r="B57">
        <v>202501</v>
      </c>
      <c r="C57" s="3"/>
      <c r="D57" s="26">
        <f t="shared" ref="D57:D68" si="24">-4385522.62/12</f>
        <v>-365460.21833333332</v>
      </c>
      <c r="E57" s="32" t="s">
        <v>21</v>
      </c>
      <c r="F57" s="31" t="s">
        <v>25</v>
      </c>
      <c r="G57" s="4"/>
      <c r="H57" s="4">
        <f t="shared" ref="H57" si="25">SUM(F57:G57)</f>
        <v>0</v>
      </c>
      <c r="I57" s="7">
        <f>'[1]Monthly Tariff Revenue'!I44</f>
        <v>0</v>
      </c>
      <c r="J57" s="2">
        <f t="shared" si="5"/>
        <v>-7846504.9816019135</v>
      </c>
      <c r="K57" s="6">
        <f>J57-$J$38</f>
        <v>22438197.599443372</v>
      </c>
      <c r="L57" s="5"/>
      <c r="M57" s="4">
        <f>M56+L57</f>
        <v>0</v>
      </c>
      <c r="O57" s="2">
        <f t="shared" si="8"/>
        <v>0</v>
      </c>
      <c r="P57" s="2">
        <f t="shared" si="9"/>
        <v>0</v>
      </c>
      <c r="Q57" s="2">
        <f t="shared" si="10"/>
        <v>0</v>
      </c>
      <c r="R57" s="2">
        <f t="shared" si="11"/>
        <v>0</v>
      </c>
      <c r="S57" s="3">
        <f t="shared" si="22"/>
        <v>0</v>
      </c>
      <c r="T57" s="2">
        <f t="shared" si="20"/>
        <v>0</v>
      </c>
      <c r="U57" s="2">
        <f t="shared" si="13"/>
        <v>0</v>
      </c>
      <c r="V57" s="2">
        <f t="shared" si="14"/>
        <v>0</v>
      </c>
    </row>
    <row r="58" spans="2:22" ht="15">
      <c r="B58">
        <f>B57+1</f>
        <v>202502</v>
      </c>
      <c r="C58" s="3"/>
      <c r="D58" s="26">
        <f t="shared" si="24"/>
        <v>-365460.21833333332</v>
      </c>
      <c r="E58" s="32" t="s">
        <v>22</v>
      </c>
      <c r="F58" s="31" t="s">
        <v>26</v>
      </c>
      <c r="G58" s="4"/>
      <c r="H58" s="4">
        <f t="shared" ref="H58:H68" si="26">SUM(F58:G58)</f>
        <v>0</v>
      </c>
      <c r="I58" s="7">
        <f>'[1]Monthly Tariff Revenue'!I45</f>
        <v>0</v>
      </c>
      <c r="J58" s="2">
        <f t="shared" si="5"/>
        <v>-6868287.7810404887</v>
      </c>
      <c r="K58" s="6">
        <f t="shared" ref="K58:K68" si="27">J58-$J$38</f>
        <v>23416414.800004795</v>
      </c>
      <c r="L58" s="5"/>
      <c r="M58" s="4">
        <f t="shared" ref="M58:M68" si="28">M57+L58</f>
        <v>0</v>
      </c>
      <c r="O58" s="2">
        <f t="shared" si="8"/>
        <v>0</v>
      </c>
      <c r="P58" s="2">
        <f t="shared" si="9"/>
        <v>0</v>
      </c>
      <c r="Q58" s="2">
        <f t="shared" si="10"/>
        <v>0</v>
      </c>
      <c r="R58" s="2">
        <f t="shared" si="11"/>
        <v>0</v>
      </c>
      <c r="S58" s="3">
        <f t="shared" si="22"/>
        <v>0</v>
      </c>
      <c r="T58" s="2">
        <f t="shared" si="20"/>
        <v>0</v>
      </c>
      <c r="U58" s="2">
        <f t="shared" si="13"/>
        <v>0</v>
      </c>
      <c r="V58" s="2">
        <f t="shared" si="14"/>
        <v>0</v>
      </c>
    </row>
    <row r="59" spans="2:22">
      <c r="B59">
        <f t="shared" ref="B59:B68" si="29">B58+1</f>
        <v>202503</v>
      </c>
      <c r="C59" s="3"/>
      <c r="D59" s="26">
        <f t="shared" si="24"/>
        <v>-365460.21833333332</v>
      </c>
      <c r="E59" s="32" t="s">
        <v>23</v>
      </c>
      <c r="F59" s="24"/>
      <c r="G59" s="4"/>
      <c r="H59" s="4">
        <f t="shared" si="26"/>
        <v>0</v>
      </c>
      <c r="I59" s="7">
        <f>'[1]Monthly Tariff Revenue'!I46</f>
        <v>0</v>
      </c>
      <c r="J59" s="2">
        <f t="shared" si="5"/>
        <v>-5954570.8336550519</v>
      </c>
      <c r="K59" s="6">
        <f t="shared" si="27"/>
        <v>24330131.747390233</v>
      </c>
      <c r="L59" s="5"/>
      <c r="M59" s="4">
        <f t="shared" si="28"/>
        <v>0</v>
      </c>
      <c r="O59" s="2">
        <f t="shared" si="8"/>
        <v>0</v>
      </c>
      <c r="P59" s="2">
        <f t="shared" si="9"/>
        <v>0</v>
      </c>
      <c r="Q59" s="2">
        <f t="shared" si="10"/>
        <v>0</v>
      </c>
      <c r="R59" s="2">
        <f t="shared" si="11"/>
        <v>0</v>
      </c>
      <c r="S59" s="3">
        <f t="shared" si="22"/>
        <v>0</v>
      </c>
      <c r="T59" s="2">
        <f t="shared" si="20"/>
        <v>0</v>
      </c>
      <c r="U59" s="2">
        <f t="shared" si="13"/>
        <v>0</v>
      </c>
      <c r="V59" s="2">
        <f t="shared" si="14"/>
        <v>0</v>
      </c>
    </row>
    <row r="60" spans="2:22">
      <c r="B60">
        <f t="shared" si="29"/>
        <v>202504</v>
      </c>
      <c r="C60" s="3"/>
      <c r="D60" s="26">
        <f t="shared" si="24"/>
        <v>-365460.21833333332</v>
      </c>
      <c r="E60" s="32" t="s">
        <v>23</v>
      </c>
      <c r="F60" s="24"/>
      <c r="G60" s="4"/>
      <c r="H60" s="4">
        <f t="shared" si="26"/>
        <v>0</v>
      </c>
      <c r="I60" s="7">
        <f>'[1]Monthly Tariff Revenue'!I47</f>
        <v>0</v>
      </c>
      <c r="J60" s="2">
        <f t="shared" si="5"/>
        <v>-5096091.8879896561</v>
      </c>
      <c r="K60" s="6">
        <f t="shared" si="27"/>
        <v>25188610.69305563</v>
      </c>
      <c r="L60" s="5"/>
      <c r="M60" s="4">
        <f t="shared" si="28"/>
        <v>0</v>
      </c>
      <c r="O60" s="2">
        <f t="shared" si="8"/>
        <v>0</v>
      </c>
      <c r="P60" s="2">
        <f t="shared" si="9"/>
        <v>0</v>
      </c>
      <c r="Q60" s="2">
        <f t="shared" si="10"/>
        <v>0</v>
      </c>
      <c r="R60" s="2">
        <f t="shared" si="11"/>
        <v>0</v>
      </c>
      <c r="S60" s="3">
        <f t="shared" si="22"/>
        <v>0</v>
      </c>
      <c r="T60" s="2">
        <f t="shared" si="20"/>
        <v>0</v>
      </c>
      <c r="U60" s="2">
        <f t="shared" si="13"/>
        <v>0</v>
      </c>
      <c r="V60" s="2">
        <f t="shared" si="14"/>
        <v>0</v>
      </c>
    </row>
    <row r="61" spans="2:22">
      <c r="B61">
        <f t="shared" si="29"/>
        <v>202505</v>
      </c>
      <c r="C61" s="3"/>
      <c r="D61" s="26">
        <f t="shared" si="24"/>
        <v>-365460.21833333332</v>
      </c>
      <c r="E61" s="32" t="s">
        <v>23</v>
      </c>
      <c r="F61" s="24"/>
      <c r="G61" s="4"/>
      <c r="H61" s="4">
        <f t="shared" si="26"/>
        <v>0</v>
      </c>
      <c r="I61" s="7">
        <f>'[1]Monthly Tariff Revenue'!I48</f>
        <v>0</v>
      </c>
      <c r="J61" s="2">
        <f t="shared" si="5"/>
        <v>-4285531.4798973138</v>
      </c>
      <c r="K61" s="6">
        <f t="shared" si="27"/>
        <v>25999171.101147972</v>
      </c>
      <c r="L61" s="5"/>
      <c r="M61" s="4">
        <f t="shared" si="28"/>
        <v>0</v>
      </c>
      <c r="O61" s="2">
        <f t="shared" si="8"/>
        <v>0</v>
      </c>
      <c r="P61" s="2">
        <f t="shared" si="9"/>
        <v>0</v>
      </c>
      <c r="Q61" s="2">
        <f t="shared" si="10"/>
        <v>0</v>
      </c>
      <c r="R61" s="2">
        <f t="shared" si="11"/>
        <v>0</v>
      </c>
      <c r="S61" s="3">
        <f t="shared" si="22"/>
        <v>0</v>
      </c>
      <c r="T61" s="2">
        <f t="shared" si="20"/>
        <v>0</v>
      </c>
      <c r="U61" s="2">
        <f t="shared" si="13"/>
        <v>0</v>
      </c>
      <c r="V61" s="2">
        <f t="shared" si="14"/>
        <v>0</v>
      </c>
    </row>
    <row r="62" spans="2:22">
      <c r="B62">
        <f t="shared" si="29"/>
        <v>202506</v>
      </c>
      <c r="C62" s="3"/>
      <c r="D62" s="26">
        <f t="shared" si="24"/>
        <v>-365460.21833333332</v>
      </c>
      <c r="E62" s="32" t="s">
        <v>23</v>
      </c>
      <c r="F62" s="24"/>
      <c r="G62" s="4"/>
      <c r="H62" s="4">
        <f t="shared" si="26"/>
        <v>0</v>
      </c>
      <c r="I62" s="7">
        <f>'[1]Monthly Tariff Revenue'!I49</f>
        <v>0</v>
      </c>
      <c r="J62" s="2">
        <f t="shared" si="5"/>
        <v>-3523635.4458611826</v>
      </c>
      <c r="K62" s="6">
        <f t="shared" si="27"/>
        <v>26761067.135184102</v>
      </c>
      <c r="L62" s="5"/>
      <c r="M62" s="4">
        <f t="shared" si="28"/>
        <v>0</v>
      </c>
      <c r="O62" s="2">
        <f t="shared" si="8"/>
        <v>0</v>
      </c>
      <c r="P62" s="2">
        <f t="shared" si="9"/>
        <v>0</v>
      </c>
      <c r="Q62" s="2">
        <f t="shared" si="10"/>
        <v>0</v>
      </c>
      <c r="R62" s="2">
        <f t="shared" si="11"/>
        <v>0</v>
      </c>
      <c r="S62" s="3">
        <f t="shared" si="22"/>
        <v>0</v>
      </c>
      <c r="T62" s="2">
        <f t="shared" si="20"/>
        <v>0</v>
      </c>
      <c r="U62" s="2">
        <f t="shared" si="13"/>
        <v>0</v>
      </c>
      <c r="V62" s="2">
        <f t="shared" si="14"/>
        <v>0</v>
      </c>
    </row>
    <row r="63" spans="2:22">
      <c r="B63">
        <f t="shared" si="29"/>
        <v>202507</v>
      </c>
      <c r="C63" s="3"/>
      <c r="D63" s="26">
        <f t="shared" si="24"/>
        <v>-365460.21833333332</v>
      </c>
      <c r="E63" s="32" t="s">
        <v>23</v>
      </c>
      <c r="F63" s="24"/>
      <c r="G63" s="4"/>
      <c r="H63" s="4">
        <f t="shared" si="26"/>
        <v>0</v>
      </c>
      <c r="I63" s="7">
        <f>'[1]Monthly Tariff Revenue'!I50</f>
        <v>0</v>
      </c>
      <c r="J63" s="2">
        <f t="shared" si="5"/>
        <v>-2822129.0041133161</v>
      </c>
      <c r="K63" s="6">
        <f t="shared" si="27"/>
        <v>27462573.576931968</v>
      </c>
      <c r="L63" s="5"/>
      <c r="M63" s="4">
        <f t="shared" si="28"/>
        <v>0</v>
      </c>
      <c r="O63" s="2">
        <f t="shared" si="8"/>
        <v>0</v>
      </c>
      <c r="P63" s="2">
        <f t="shared" si="9"/>
        <v>0</v>
      </c>
      <c r="Q63" s="2">
        <f t="shared" si="10"/>
        <v>0</v>
      </c>
      <c r="R63" s="2">
        <f t="shared" si="11"/>
        <v>0</v>
      </c>
      <c r="S63" s="3">
        <f t="shared" si="22"/>
        <v>0</v>
      </c>
      <c r="T63" s="2">
        <f t="shared" si="20"/>
        <v>0</v>
      </c>
      <c r="U63" s="2">
        <f t="shared" si="13"/>
        <v>0</v>
      </c>
      <c r="V63" s="2">
        <f t="shared" si="14"/>
        <v>0</v>
      </c>
    </row>
    <row r="64" spans="2:22">
      <c r="B64">
        <f t="shared" si="29"/>
        <v>202508</v>
      </c>
      <c r="C64" s="3"/>
      <c r="D64" s="26">
        <f t="shared" si="24"/>
        <v>-365460.21833333332</v>
      </c>
      <c r="E64" s="32" t="s">
        <v>23</v>
      </c>
      <c r="F64" s="24"/>
      <c r="G64" s="4"/>
      <c r="H64" s="4">
        <f t="shared" si="26"/>
        <v>0</v>
      </c>
      <c r="I64" s="7">
        <f>'[1]Monthly Tariff Revenue'!I51</f>
        <v>0</v>
      </c>
      <c r="J64" s="2">
        <f t="shared" si="5"/>
        <v>-2186631.7511706767</v>
      </c>
      <c r="K64" s="6">
        <f t="shared" si="27"/>
        <v>28098070.829874609</v>
      </c>
      <c r="L64" s="5"/>
      <c r="M64" s="4">
        <f t="shared" si="28"/>
        <v>0</v>
      </c>
      <c r="O64" s="2">
        <f t="shared" si="8"/>
        <v>0</v>
      </c>
      <c r="P64" s="2">
        <f t="shared" si="9"/>
        <v>0</v>
      </c>
      <c r="Q64" s="2">
        <f t="shared" si="10"/>
        <v>0</v>
      </c>
      <c r="R64" s="2">
        <f t="shared" si="11"/>
        <v>0</v>
      </c>
      <c r="S64" s="3">
        <f t="shared" si="22"/>
        <v>0</v>
      </c>
      <c r="T64" s="2">
        <f t="shared" si="20"/>
        <v>0</v>
      </c>
      <c r="U64" s="2">
        <f t="shared" si="13"/>
        <v>0</v>
      </c>
      <c r="V64" s="2">
        <f t="shared" si="14"/>
        <v>0</v>
      </c>
    </row>
    <row r="65" spans="2:22">
      <c r="B65">
        <f t="shared" si="29"/>
        <v>202509</v>
      </c>
      <c r="C65" s="3"/>
      <c r="D65" s="26">
        <f t="shared" si="24"/>
        <v>-365460.21833333332</v>
      </c>
      <c r="E65" s="32" t="s">
        <v>23</v>
      </c>
      <c r="F65" s="24"/>
      <c r="G65" s="4"/>
      <c r="H65" s="4">
        <f t="shared" si="26"/>
        <v>0</v>
      </c>
      <c r="I65" s="7">
        <f>'[1]Monthly Tariff Revenue'!I52</f>
        <v>0</v>
      </c>
      <c r="J65" s="2">
        <f t="shared" si="5"/>
        <v>-1603444.0813012517</v>
      </c>
      <c r="K65" s="6">
        <f t="shared" si="27"/>
        <v>28681258.499744032</v>
      </c>
      <c r="L65" s="5"/>
      <c r="M65" s="4">
        <f t="shared" si="28"/>
        <v>0</v>
      </c>
      <c r="O65" s="2">
        <f t="shared" si="8"/>
        <v>0</v>
      </c>
      <c r="P65" s="2">
        <f t="shared" si="9"/>
        <v>0</v>
      </c>
      <c r="Q65" s="2">
        <f t="shared" si="10"/>
        <v>0</v>
      </c>
      <c r="R65" s="2">
        <f t="shared" si="11"/>
        <v>0</v>
      </c>
      <c r="S65" s="3">
        <f t="shared" si="22"/>
        <v>0</v>
      </c>
      <c r="T65" s="2">
        <f t="shared" si="20"/>
        <v>0</v>
      </c>
      <c r="U65" s="2">
        <f t="shared" si="13"/>
        <v>0</v>
      </c>
      <c r="V65" s="2">
        <f t="shared" si="14"/>
        <v>0</v>
      </c>
    </row>
    <row r="66" spans="2:22">
      <c r="B66">
        <f>B65+1</f>
        <v>202510</v>
      </c>
      <c r="C66" s="3"/>
      <c r="D66" s="26">
        <f t="shared" si="24"/>
        <v>-365460.21833333332</v>
      </c>
      <c r="E66" s="32" t="s">
        <v>23</v>
      </c>
      <c r="F66" s="24"/>
      <c r="G66" s="4"/>
      <c r="H66" s="4">
        <f t="shared" si="26"/>
        <v>0</v>
      </c>
      <c r="I66" s="7">
        <f>'[1]Monthly Tariff Revenue'!I53</f>
        <v>0</v>
      </c>
      <c r="J66" s="2">
        <f t="shared" si="5"/>
        <v>-1067304.5033201256</v>
      </c>
      <c r="K66" s="6">
        <f t="shared" si="27"/>
        <v>29217398.077725161</v>
      </c>
      <c r="L66" s="5"/>
      <c r="M66" s="4">
        <f t="shared" si="28"/>
        <v>0</v>
      </c>
      <c r="O66" s="2">
        <f t="shared" si="8"/>
        <v>0</v>
      </c>
      <c r="P66" s="2">
        <f t="shared" si="9"/>
        <v>0</v>
      </c>
      <c r="Q66" s="2">
        <f t="shared" si="10"/>
        <v>0</v>
      </c>
      <c r="R66" s="2">
        <f t="shared" si="11"/>
        <v>0</v>
      </c>
      <c r="S66" s="3">
        <f t="shared" si="22"/>
        <v>0</v>
      </c>
      <c r="T66" s="2">
        <f t="shared" si="20"/>
        <v>0</v>
      </c>
      <c r="U66" s="2">
        <f t="shared" si="13"/>
        <v>0</v>
      </c>
      <c r="V66" s="2">
        <f t="shared" si="14"/>
        <v>0</v>
      </c>
    </row>
    <row r="67" spans="2:22">
      <c r="B67">
        <f t="shared" si="29"/>
        <v>202511</v>
      </c>
      <c r="C67" s="3"/>
      <c r="D67" s="26">
        <f t="shared" si="24"/>
        <v>-365460.21833333332</v>
      </c>
      <c r="E67" s="32" t="s">
        <v>23</v>
      </c>
      <c r="F67" s="24"/>
      <c r="G67" s="4"/>
      <c r="H67" s="4">
        <f t="shared" si="26"/>
        <v>0</v>
      </c>
      <c r="I67" s="7">
        <f>'[1]Monthly Tariff Revenue'!I54</f>
        <v>0</v>
      </c>
      <c r="J67" s="2">
        <f t="shared" si="5"/>
        <v>-595022.57417687937</v>
      </c>
      <c r="K67" s="6">
        <f t="shared" si="27"/>
        <v>29689680.006868407</v>
      </c>
      <c r="L67" s="5"/>
      <c r="M67" s="4">
        <f t="shared" si="28"/>
        <v>0</v>
      </c>
      <c r="O67" s="2">
        <f t="shared" si="8"/>
        <v>0</v>
      </c>
      <c r="P67" s="2">
        <f t="shared" si="9"/>
        <v>0</v>
      </c>
      <c r="Q67" s="2">
        <f t="shared" si="10"/>
        <v>0</v>
      </c>
      <c r="R67" s="2">
        <f t="shared" si="11"/>
        <v>0</v>
      </c>
      <c r="S67" s="3">
        <f t="shared" si="22"/>
        <v>0</v>
      </c>
      <c r="T67" s="2">
        <f t="shared" si="20"/>
        <v>0</v>
      </c>
      <c r="U67" s="2">
        <f t="shared" si="13"/>
        <v>0</v>
      </c>
      <c r="V67" s="2">
        <f t="shared" si="14"/>
        <v>0</v>
      </c>
    </row>
    <row r="68" spans="2:22">
      <c r="B68">
        <f t="shared" si="29"/>
        <v>202512</v>
      </c>
      <c r="C68" s="3"/>
      <c r="D68" s="26">
        <f t="shared" si="24"/>
        <v>-365460.21833333332</v>
      </c>
      <c r="E68" s="33" t="s">
        <v>24</v>
      </c>
      <c r="F68" s="24"/>
      <c r="G68" s="4"/>
      <c r="H68" s="4">
        <f t="shared" si="26"/>
        <v>0</v>
      </c>
      <c r="I68" s="7">
        <f>'[1]Monthly Tariff Revenue'!I55</f>
        <v>0</v>
      </c>
      <c r="J68" s="2">
        <f t="shared" si="5"/>
        <v>-188741.42211638496</v>
      </c>
      <c r="K68" s="6">
        <f t="shared" si="27"/>
        <v>30095961.158928901</v>
      </c>
      <c r="L68" s="5"/>
      <c r="M68" s="4">
        <f t="shared" si="28"/>
        <v>0</v>
      </c>
      <c r="O68" s="2">
        <f t="shared" si="8"/>
        <v>0</v>
      </c>
      <c r="P68" s="2">
        <f t="shared" si="9"/>
        <v>0</v>
      </c>
      <c r="Q68" s="2">
        <f t="shared" si="10"/>
        <v>0</v>
      </c>
      <c r="R68" s="2">
        <f t="shared" si="11"/>
        <v>0</v>
      </c>
      <c r="S68" s="3">
        <f t="shared" si="22"/>
        <v>0</v>
      </c>
      <c r="T68" s="2">
        <f t="shared" si="20"/>
        <v>0</v>
      </c>
      <c r="U68" s="2">
        <f t="shared" si="13"/>
        <v>0</v>
      </c>
      <c r="V68" s="2">
        <f t="shared" si="14"/>
        <v>0</v>
      </c>
    </row>
  </sheetData>
  <pageMargins left="0.7" right="0.7" top="0.25" bottom="0.25" header="0.3" footer="0.3"/>
  <pageSetup scale="71" orientation="portrait" r:id="rId1"/>
  <rowBreaks count="1" manualBreakCount="1">
    <brk id="45" max="5" man="1"/>
  </rowBreaks>
  <colBreaks count="1" manualBreakCount="1">
    <brk id="8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694CD-E26A-4129-9327-1E14E0DC8429}">
  <sheetPr>
    <pageSetUpPr fitToPage="1"/>
  </sheetPr>
  <dimension ref="A1:W68"/>
  <sheetViews>
    <sheetView zoomScaleNormal="100" zoomScaleSheetLayoutView="85" workbookViewId="0">
      <pane xSplit="3" ySplit="4" topLeftCell="D5" activePane="bottomRight" state="frozen"/>
      <selection activeCell="D80" sqref="D80"/>
      <selection pane="topRight" activeCell="D80" sqref="D80"/>
      <selection pane="bottomLeft" activeCell="D80" sqref="D80"/>
      <selection pane="bottomRight" activeCell="D5" sqref="D5"/>
    </sheetView>
  </sheetViews>
  <sheetFormatPr defaultRowHeight="14.25" outlineLevelRow="1" outlineLevelCol="1"/>
  <cols>
    <col min="1" max="1" width="6.25" customWidth="1"/>
    <col min="2" max="2" width="10" customWidth="1"/>
    <col min="3" max="3" width="14.375" customWidth="1"/>
    <col min="4" max="5" width="15" style="1" customWidth="1"/>
    <col min="6" max="6" width="15" customWidth="1"/>
    <col min="7" max="8" width="10.75" customWidth="1"/>
    <col min="9" max="9" width="10.25" customWidth="1"/>
    <col min="10" max="10" width="10.75" customWidth="1"/>
    <col min="11" max="13" width="10.25" customWidth="1"/>
    <col min="14" max="14" width="1" customWidth="1"/>
    <col min="15" max="18" width="10.75" customWidth="1" outlineLevel="1"/>
    <col min="19" max="21" width="10.75" customWidth="1"/>
    <col min="22" max="22" width="10.75" customWidth="1" outlineLevel="1"/>
    <col min="23" max="23" width="5" customWidth="1" outlineLevel="1"/>
  </cols>
  <sheetData>
    <row r="1" spans="1:22" ht="15">
      <c r="A1" s="20" t="s">
        <v>19</v>
      </c>
      <c r="C1" s="3"/>
      <c r="D1" s="11"/>
      <c r="E1" s="11"/>
      <c r="F1" s="3"/>
    </row>
    <row r="2" spans="1:22" ht="15">
      <c r="A2" s="20" t="s">
        <v>18</v>
      </c>
      <c r="C2" s="3"/>
      <c r="D2" s="11"/>
      <c r="E2" s="11"/>
      <c r="F2" s="3"/>
      <c r="K2" s="19" t="s">
        <v>17</v>
      </c>
      <c r="L2" s="16">
        <v>0</v>
      </c>
      <c r="P2" s="18"/>
      <c r="R2" s="17">
        <v>0.21</v>
      </c>
      <c r="S2" s="16">
        <f>'[2]Rev Req &amp; Conv Factor'!L6</f>
        <v>0.95628183088298646</v>
      </c>
      <c r="T2" t="s">
        <v>16</v>
      </c>
    </row>
    <row r="4" spans="1:22" s="13" customFormat="1" ht="45" customHeight="1">
      <c r="B4" s="13" t="s">
        <v>15</v>
      </c>
      <c r="C4" s="13" t="s">
        <v>14</v>
      </c>
      <c r="D4" s="15" t="s">
        <v>13</v>
      </c>
      <c r="E4" s="15" t="s">
        <v>12</v>
      </c>
      <c r="F4" s="13" t="s">
        <v>11</v>
      </c>
      <c r="G4" s="13">
        <v>190393</v>
      </c>
      <c r="H4" s="13" t="s">
        <v>10</v>
      </c>
      <c r="I4" s="13" t="s">
        <v>9</v>
      </c>
      <c r="J4" s="13" t="s">
        <v>8</v>
      </c>
      <c r="K4" s="13" t="s">
        <v>7</v>
      </c>
      <c r="L4" s="13" t="s">
        <v>6</v>
      </c>
      <c r="M4" s="13" t="s">
        <v>5</v>
      </c>
      <c r="O4" s="13" t="s">
        <v>4</v>
      </c>
      <c r="P4" s="13" t="s">
        <v>3</v>
      </c>
      <c r="Q4" s="13" t="s">
        <v>2</v>
      </c>
      <c r="R4" s="13" t="s">
        <v>1</v>
      </c>
      <c r="S4" s="13">
        <v>254393</v>
      </c>
      <c r="T4" s="13">
        <v>190393</v>
      </c>
      <c r="U4" s="13">
        <v>410</v>
      </c>
      <c r="V4" s="13" t="s">
        <v>0</v>
      </c>
    </row>
    <row r="5" spans="1:22" s="13" customFormat="1" ht="15" outlineLevel="1">
      <c r="B5">
        <v>202009</v>
      </c>
      <c r="C5" s="3">
        <v>-27825501.449999999</v>
      </c>
      <c r="D5" s="12"/>
      <c r="E5" s="11"/>
      <c r="F5" s="24">
        <f t="shared" ref="F5:F36" si="0">SUM(C5:E5)</f>
        <v>-27825501.449999999</v>
      </c>
      <c r="G5" s="7">
        <f t="shared" ref="G5:G36" si="1">F5*-0.21</f>
        <v>5843355.3044999996</v>
      </c>
      <c r="H5" s="4">
        <f t="shared" ref="H5:H36" si="2">SUM(F5:G5)</f>
        <v>-21982146.145500001</v>
      </c>
      <c r="I5" s="14"/>
    </row>
    <row r="6" spans="1:22" s="13" customFormat="1" ht="15" outlineLevel="1">
      <c r="B6">
        <v>202010</v>
      </c>
      <c r="C6" s="3">
        <f t="shared" ref="C6:C37" si="3">F5</f>
        <v>-27825501.449999999</v>
      </c>
      <c r="D6" s="12"/>
      <c r="E6" s="11"/>
      <c r="F6" s="24">
        <f t="shared" si="0"/>
        <v>-27825501.449999999</v>
      </c>
      <c r="G6" s="4">
        <f t="shared" si="1"/>
        <v>5843355.3044999996</v>
      </c>
      <c r="H6" s="4">
        <f t="shared" si="2"/>
        <v>-21982146.145500001</v>
      </c>
      <c r="I6" s="14"/>
    </row>
    <row r="7" spans="1:22" s="13" customFormat="1" ht="15" outlineLevel="1">
      <c r="B7">
        <v>202011</v>
      </c>
      <c r="C7" s="3">
        <f t="shared" si="3"/>
        <v>-27825501.449999999</v>
      </c>
      <c r="D7" s="12"/>
      <c r="E7" s="11"/>
      <c r="F7" s="24">
        <f t="shared" si="0"/>
        <v>-27825501.449999999</v>
      </c>
      <c r="G7" s="4">
        <f t="shared" si="1"/>
        <v>5843355.3044999996</v>
      </c>
      <c r="H7" s="4">
        <f t="shared" si="2"/>
        <v>-21982146.145500001</v>
      </c>
      <c r="I7" s="14"/>
    </row>
    <row r="8" spans="1:22" s="13" customFormat="1" ht="15" outlineLevel="1">
      <c r="B8">
        <v>202012</v>
      </c>
      <c r="C8" s="3">
        <f t="shared" si="3"/>
        <v>-27825501.449999999</v>
      </c>
      <c r="D8" s="12"/>
      <c r="E8" s="11"/>
      <c r="F8" s="24">
        <f t="shared" si="0"/>
        <v>-27825501.449999999</v>
      </c>
      <c r="G8" s="4">
        <f t="shared" si="1"/>
        <v>5843355.3044999996</v>
      </c>
      <c r="H8" s="4">
        <f t="shared" si="2"/>
        <v>-21982146.145500001</v>
      </c>
      <c r="I8" s="14"/>
    </row>
    <row r="9" spans="1:22" s="13" customFormat="1" ht="15" outlineLevel="1">
      <c r="B9">
        <v>202101</v>
      </c>
      <c r="C9" s="3">
        <f t="shared" si="3"/>
        <v>-27825501.449999999</v>
      </c>
      <c r="D9" s="12"/>
      <c r="E9" s="11"/>
      <c r="F9" s="24">
        <f t="shared" si="0"/>
        <v>-27825501.449999999</v>
      </c>
      <c r="G9" s="4">
        <f t="shared" si="1"/>
        <v>5843355.3044999996</v>
      </c>
      <c r="H9" s="4">
        <f t="shared" si="2"/>
        <v>-21982146.145500001</v>
      </c>
      <c r="I9" s="14"/>
    </row>
    <row r="10" spans="1:22" s="13" customFormat="1" ht="15" outlineLevel="1">
      <c r="B10">
        <v>202102</v>
      </c>
      <c r="C10" s="3">
        <f t="shared" si="3"/>
        <v>-27825501.449999999</v>
      </c>
      <c r="D10" s="12"/>
      <c r="E10" s="11"/>
      <c r="F10" s="24">
        <f t="shared" si="0"/>
        <v>-27825501.449999999</v>
      </c>
      <c r="G10" s="4">
        <f t="shared" si="1"/>
        <v>5843355.3044999996</v>
      </c>
      <c r="H10" s="4">
        <f t="shared" si="2"/>
        <v>-21982146.145500001</v>
      </c>
      <c r="I10" s="14"/>
    </row>
    <row r="11" spans="1:22" s="13" customFormat="1" ht="15" outlineLevel="1">
      <c r="B11">
        <v>202103</v>
      </c>
      <c r="C11" s="3">
        <f t="shared" si="3"/>
        <v>-27825501.449999999</v>
      </c>
      <c r="D11" s="12"/>
      <c r="E11" s="11"/>
      <c r="F11" s="24">
        <f t="shared" si="0"/>
        <v>-27825501.449999999</v>
      </c>
      <c r="G11" s="4">
        <f t="shared" si="1"/>
        <v>5843355.3044999996</v>
      </c>
      <c r="H11" s="4">
        <f t="shared" si="2"/>
        <v>-21982146.145500001</v>
      </c>
      <c r="I11" s="14"/>
    </row>
    <row r="12" spans="1:22" outlineLevel="1">
      <c r="B12">
        <v>202104</v>
      </c>
      <c r="C12" s="3">
        <f t="shared" si="3"/>
        <v>-27825501.449999999</v>
      </c>
      <c r="D12" s="12"/>
      <c r="E12" s="11"/>
      <c r="F12" s="24">
        <f t="shared" si="0"/>
        <v>-27825501.449999999</v>
      </c>
      <c r="G12" s="4">
        <f t="shared" si="1"/>
        <v>5843355.3044999996</v>
      </c>
      <c r="H12" s="4">
        <f t="shared" si="2"/>
        <v>-21982146.145500001</v>
      </c>
      <c r="I12" s="10"/>
      <c r="J12" s="9"/>
    </row>
    <row r="13" spans="1:22" outlineLevel="1">
      <c r="B13">
        <v>202105</v>
      </c>
      <c r="C13" s="3">
        <f t="shared" si="3"/>
        <v>-27825501.449999999</v>
      </c>
      <c r="D13" s="27">
        <v>-95458.55</v>
      </c>
      <c r="E13" s="21"/>
      <c r="F13" s="24">
        <f t="shared" si="0"/>
        <v>-27920960</v>
      </c>
      <c r="G13" s="4">
        <f t="shared" si="1"/>
        <v>5863401.5999999996</v>
      </c>
      <c r="H13" s="4">
        <f t="shared" si="2"/>
        <v>-22057558.399999999</v>
      </c>
      <c r="I13" s="10"/>
      <c r="J13" s="9"/>
    </row>
    <row r="14" spans="1:22" outlineLevel="1">
      <c r="B14">
        <v>202106</v>
      </c>
      <c r="C14" s="3">
        <f t="shared" si="3"/>
        <v>-27920960</v>
      </c>
      <c r="D14" s="27">
        <v>-95458.55</v>
      </c>
      <c r="E14" s="21"/>
      <c r="F14" s="24">
        <f t="shared" si="0"/>
        <v>-28016418.550000001</v>
      </c>
      <c r="G14" s="4">
        <f t="shared" si="1"/>
        <v>5883447.8954999996</v>
      </c>
      <c r="H14" s="4">
        <f t="shared" si="2"/>
        <v>-22132970.6545</v>
      </c>
      <c r="I14" s="10"/>
      <c r="J14" s="9"/>
    </row>
    <row r="15" spans="1:22" outlineLevel="1">
      <c r="B15">
        <v>202107</v>
      </c>
      <c r="C15" s="3">
        <f t="shared" si="3"/>
        <v>-28016418.550000001</v>
      </c>
      <c r="D15" s="27">
        <v>-95458.55</v>
      </c>
      <c r="E15" s="21"/>
      <c r="F15" s="24">
        <f t="shared" si="0"/>
        <v>-28111877.100000001</v>
      </c>
      <c r="G15" s="4">
        <f t="shared" si="1"/>
        <v>5903494.1909999996</v>
      </c>
      <c r="H15" s="4">
        <f t="shared" si="2"/>
        <v>-22208382.909000002</v>
      </c>
      <c r="I15" s="10"/>
      <c r="J15" s="9"/>
    </row>
    <row r="16" spans="1:22" outlineLevel="1">
      <c r="B16">
        <v>202108</v>
      </c>
      <c r="C16" s="3">
        <f t="shared" si="3"/>
        <v>-28111877.100000001</v>
      </c>
      <c r="D16" s="27">
        <v>-95458.55</v>
      </c>
      <c r="E16" s="21"/>
      <c r="F16" s="24">
        <f t="shared" si="0"/>
        <v>-28207335.650000002</v>
      </c>
      <c r="G16" s="4">
        <f t="shared" si="1"/>
        <v>5923540.4865000006</v>
      </c>
      <c r="H16" s="4">
        <f t="shared" si="2"/>
        <v>-22283795.163500004</v>
      </c>
      <c r="I16" s="10"/>
      <c r="J16" s="9"/>
    </row>
    <row r="17" spans="2:22" outlineLevel="1">
      <c r="B17">
        <v>202109</v>
      </c>
      <c r="C17" s="3">
        <f t="shared" si="3"/>
        <v>-28207335.650000002</v>
      </c>
      <c r="D17" s="27">
        <v>-95458.55</v>
      </c>
      <c r="E17" s="22"/>
      <c r="F17" s="24">
        <f t="shared" si="0"/>
        <v>-28302794.200000003</v>
      </c>
      <c r="G17" s="4">
        <f t="shared" si="1"/>
        <v>5943586.7820000006</v>
      </c>
      <c r="H17" s="4">
        <f t="shared" si="2"/>
        <v>-22359207.418000001</v>
      </c>
      <c r="I17" s="7"/>
      <c r="J17" s="2"/>
      <c r="K17" s="2"/>
      <c r="L17" s="5"/>
      <c r="M17" s="3"/>
      <c r="O17" s="2"/>
      <c r="P17" s="2"/>
      <c r="Q17" s="2"/>
      <c r="R17" s="2"/>
      <c r="S17" s="3"/>
      <c r="T17" s="2"/>
      <c r="U17" s="2"/>
      <c r="V17" s="2"/>
    </row>
    <row r="18" spans="2:22" outlineLevel="1">
      <c r="B18">
        <v>202110</v>
      </c>
      <c r="C18" s="3">
        <f t="shared" si="3"/>
        <v>-28302794.200000003</v>
      </c>
      <c r="D18" s="28">
        <f>-95458.55-2628.87-8752.82-90.37+8525.69</f>
        <v>-98404.919999999984</v>
      </c>
      <c r="E18" s="23">
        <f t="shared" ref="E18:E49" si="4">S18</f>
        <v>452054.47468838131</v>
      </c>
      <c r="F18" s="24">
        <f t="shared" si="0"/>
        <v>-27949144.645311624</v>
      </c>
      <c r="G18" s="4">
        <f t="shared" si="1"/>
        <v>5869320.3755154405</v>
      </c>
      <c r="H18" s="4">
        <f t="shared" si="2"/>
        <v>-22079824.269796185</v>
      </c>
      <c r="I18" s="7">
        <f>'[2]Monthly Tariff Revenue'!I5</f>
        <v>452054.47468838131</v>
      </c>
      <c r="J18" s="6">
        <f t="shared" ref="J18:J49" si="5">(((H6+H18)/2)+H7+H8+H9+H10+H11+H12+H13+H14+H15+H16+H17)/12</f>
        <v>-22080481.385470677</v>
      </c>
      <c r="K18" s="6">
        <f t="shared" ref="K18:K56" si="6">H18-$H$17</f>
        <v>279383.14820381626</v>
      </c>
      <c r="L18" s="8"/>
      <c r="M18" s="4">
        <f t="shared" ref="M18:M49" si="7">M17+L18</f>
        <v>0</v>
      </c>
      <c r="O18" s="6">
        <f t="shared" ref="O18:O49" si="8">-I18</f>
        <v>-452054.47468838131</v>
      </c>
      <c r="P18" s="6">
        <f t="shared" ref="P18:P49" si="9">-O18</f>
        <v>452054.47468838131</v>
      </c>
      <c r="Q18" s="6">
        <f t="shared" ref="Q18:Q49" si="10">-R18</f>
        <v>94931.439684560071</v>
      </c>
      <c r="R18" s="6">
        <f t="shared" ref="R18:R49" si="11">P18*-$R$2</f>
        <v>-94931.439684560071</v>
      </c>
      <c r="S18" s="6">
        <f>I18+(L18*'[2]Rev Req &amp; Conv Factor'!$L$4)</f>
        <v>452054.47468838131</v>
      </c>
      <c r="T18" s="6">
        <f t="shared" ref="T18:T49" si="12">S18*-$R$2</f>
        <v>-94931.439684560071</v>
      </c>
      <c r="U18" s="6">
        <f t="shared" ref="U18:U49" si="13">-S18-T18</f>
        <v>-357123.03500382125</v>
      </c>
      <c r="V18" s="6">
        <f t="shared" ref="V18:V49" si="14">P18+R18+U18</f>
        <v>0</v>
      </c>
    </row>
    <row r="19" spans="2:22" outlineLevel="1">
      <c r="B19">
        <v>202111</v>
      </c>
      <c r="C19" s="3">
        <f t="shared" si="3"/>
        <v>-27949144.645311624</v>
      </c>
      <c r="D19" s="28">
        <f>-54497.48-2628.87-40961.07-8752.82</f>
        <v>-106840.24000000002</v>
      </c>
      <c r="E19" s="23">
        <f t="shared" si="4"/>
        <v>798171.40744271874</v>
      </c>
      <c r="F19" s="24">
        <f t="shared" si="0"/>
        <v>-27257813.477868903</v>
      </c>
      <c r="G19" s="4">
        <f t="shared" si="1"/>
        <v>5724140.8303524693</v>
      </c>
      <c r="H19" s="4">
        <f t="shared" si="2"/>
        <v>-21533672.647516433</v>
      </c>
      <c r="I19" s="7">
        <f>'[2]Monthly Tariff Revenue'!I6</f>
        <v>798171.40744271874</v>
      </c>
      <c r="J19" s="6">
        <f t="shared" si="5"/>
        <v>-22065864.91156704</v>
      </c>
      <c r="K19" s="6">
        <f t="shared" si="6"/>
        <v>825534.77048356831</v>
      </c>
      <c r="L19" s="8"/>
      <c r="M19" s="4">
        <f t="shared" si="7"/>
        <v>0</v>
      </c>
      <c r="O19" s="6">
        <f t="shared" si="8"/>
        <v>-798171.40744271874</v>
      </c>
      <c r="P19" s="6">
        <f t="shared" si="9"/>
        <v>798171.40744271874</v>
      </c>
      <c r="Q19" s="6">
        <f t="shared" si="10"/>
        <v>167615.99556297093</v>
      </c>
      <c r="R19" s="6">
        <f t="shared" si="11"/>
        <v>-167615.99556297093</v>
      </c>
      <c r="S19" s="6">
        <f>I19+(L19*'[2]Rev Req &amp; Conv Factor'!$L$4)</f>
        <v>798171.40744271874</v>
      </c>
      <c r="T19" s="6">
        <f t="shared" si="12"/>
        <v>-167615.99556297093</v>
      </c>
      <c r="U19" s="6">
        <f t="shared" si="13"/>
        <v>-630555.41187974787</v>
      </c>
      <c r="V19" s="6">
        <f t="shared" si="14"/>
        <v>0</v>
      </c>
    </row>
    <row r="20" spans="2:22" outlineLevel="1">
      <c r="B20">
        <v>202112</v>
      </c>
      <c r="C20" s="3">
        <f t="shared" si="3"/>
        <v>-27257813.477868903</v>
      </c>
      <c r="D20" s="28">
        <v>-237341.86</v>
      </c>
      <c r="E20" s="23">
        <f t="shared" si="4"/>
        <v>1356742.6726585648</v>
      </c>
      <c r="F20" s="24">
        <f t="shared" si="0"/>
        <v>-26138412.665210336</v>
      </c>
      <c r="G20" s="4">
        <f t="shared" si="1"/>
        <v>5489066.6596941706</v>
      </c>
      <c r="H20" s="4">
        <f t="shared" si="2"/>
        <v>-20649346.005516164</v>
      </c>
      <c r="I20" s="7">
        <f>'[2]Monthly Tariff Revenue'!I7</f>
        <v>1356742.6726585648</v>
      </c>
      <c r="J20" s="6">
        <f t="shared" si="5"/>
        <v>-21991645.176651727</v>
      </c>
      <c r="K20" s="6">
        <f t="shared" si="6"/>
        <v>1709861.4124838375</v>
      </c>
      <c r="L20" s="8"/>
      <c r="M20" s="4">
        <f t="shared" si="7"/>
        <v>0</v>
      </c>
      <c r="O20" s="6">
        <f t="shared" si="8"/>
        <v>-1356742.6726585648</v>
      </c>
      <c r="P20" s="6">
        <f t="shared" si="9"/>
        <v>1356742.6726585648</v>
      </c>
      <c r="Q20" s="6">
        <f t="shared" si="10"/>
        <v>284915.9612582986</v>
      </c>
      <c r="R20" s="6">
        <f t="shared" si="11"/>
        <v>-284915.9612582986</v>
      </c>
      <c r="S20" s="6">
        <f>I20+(L20*'[2]Rev Req &amp; Conv Factor'!$L$4)</f>
        <v>1356742.6726585648</v>
      </c>
      <c r="T20" s="6">
        <f t="shared" si="12"/>
        <v>-284915.9612582986</v>
      </c>
      <c r="U20" s="6">
        <f t="shared" si="13"/>
        <v>-1071826.7114002663</v>
      </c>
      <c r="V20" s="6">
        <f t="shared" si="14"/>
        <v>0</v>
      </c>
    </row>
    <row r="21" spans="2:22" outlineLevel="1">
      <c r="B21">
        <v>202201</v>
      </c>
      <c r="C21" s="3">
        <f t="shared" si="3"/>
        <v>-26138412.665210336</v>
      </c>
      <c r="D21" s="28">
        <v>-109482.1</v>
      </c>
      <c r="E21" s="23">
        <f t="shared" si="4"/>
        <v>1418375.9355638942</v>
      </c>
      <c r="F21" s="24">
        <f t="shared" si="0"/>
        <v>-24829518.829646442</v>
      </c>
      <c r="G21" s="4">
        <f t="shared" si="1"/>
        <v>5214198.9542257525</v>
      </c>
      <c r="H21" s="4">
        <f t="shared" si="2"/>
        <v>-19615319.87542069</v>
      </c>
      <c r="I21" s="7">
        <f>'[2]Monthly Tariff Revenue'!I8</f>
        <v>1418375.9355638942</v>
      </c>
      <c r="J21" s="6">
        <f t="shared" si="5"/>
        <v>-21837494.076232433</v>
      </c>
      <c r="K21" s="6">
        <f t="shared" si="6"/>
        <v>2743887.5425793119</v>
      </c>
      <c r="L21" s="8"/>
      <c r="M21" s="4">
        <f t="shared" si="7"/>
        <v>0</v>
      </c>
      <c r="O21" s="6">
        <f t="shared" si="8"/>
        <v>-1418375.9355638942</v>
      </c>
      <c r="P21" s="6">
        <f t="shared" si="9"/>
        <v>1418375.9355638942</v>
      </c>
      <c r="Q21" s="6">
        <f t="shared" si="10"/>
        <v>297858.94646841777</v>
      </c>
      <c r="R21" s="6">
        <f t="shared" si="11"/>
        <v>-297858.94646841777</v>
      </c>
      <c r="S21" s="6">
        <f>I21+(L21*'[2]Rev Req &amp; Conv Factor'!$L$4)</f>
        <v>1418375.9355638942</v>
      </c>
      <c r="T21" s="6">
        <f t="shared" si="12"/>
        <v>-297858.94646841777</v>
      </c>
      <c r="U21" s="6">
        <f t="shared" si="13"/>
        <v>-1120516.9890954765</v>
      </c>
      <c r="V21" s="6">
        <f t="shared" si="14"/>
        <v>0</v>
      </c>
    </row>
    <row r="22" spans="2:22" outlineLevel="1">
      <c r="B22">
        <v>202202</v>
      </c>
      <c r="C22" s="3">
        <f t="shared" si="3"/>
        <v>-24829518.829646442</v>
      </c>
      <c r="D22" s="28">
        <v>-109482.1</v>
      </c>
      <c r="E22" s="23">
        <f t="shared" si="4"/>
        <v>1163238.3269680194</v>
      </c>
      <c r="F22" s="24">
        <f t="shared" si="0"/>
        <v>-23775762.602678426</v>
      </c>
      <c r="G22" s="4">
        <f t="shared" si="1"/>
        <v>4992910.1465624692</v>
      </c>
      <c r="H22" s="4">
        <f t="shared" si="2"/>
        <v>-18782852.456115957</v>
      </c>
      <c r="I22" s="7">
        <f>'[2]Monthly Tariff Revenue'!I9</f>
        <v>1163238.3269680194</v>
      </c>
      <c r="J22" s="6">
        <f t="shared" si="5"/>
        <v>-21605572.41125479</v>
      </c>
      <c r="K22" s="6">
        <f t="shared" si="6"/>
        <v>3576354.9618840441</v>
      </c>
      <c r="L22" s="8"/>
      <c r="M22" s="4">
        <f t="shared" si="7"/>
        <v>0</v>
      </c>
      <c r="O22" s="6">
        <f t="shared" si="8"/>
        <v>-1163238.3269680194</v>
      </c>
      <c r="P22" s="6">
        <f t="shared" si="9"/>
        <v>1163238.3269680194</v>
      </c>
      <c r="Q22" s="6">
        <f t="shared" si="10"/>
        <v>244280.04866328405</v>
      </c>
      <c r="R22" s="6">
        <f t="shared" si="11"/>
        <v>-244280.04866328405</v>
      </c>
      <c r="S22" s="6">
        <f>I22+(L22*'[2]Rev Req &amp; Conv Factor'!$L$4)</f>
        <v>1163238.3269680194</v>
      </c>
      <c r="T22" s="6">
        <f t="shared" si="12"/>
        <v>-244280.04866328405</v>
      </c>
      <c r="U22" s="6">
        <f t="shared" si="13"/>
        <v>-918958.27830473532</v>
      </c>
      <c r="V22" s="6">
        <f t="shared" si="14"/>
        <v>0</v>
      </c>
    </row>
    <row r="23" spans="2:22" outlineLevel="1">
      <c r="B23">
        <v>202203</v>
      </c>
      <c r="C23" s="3">
        <f t="shared" si="3"/>
        <v>-23775762.602678426</v>
      </c>
      <c r="D23" s="28">
        <v>-109482.1</v>
      </c>
      <c r="E23" s="23">
        <f t="shared" si="4"/>
        <v>843437.17047547607</v>
      </c>
      <c r="F23" s="24">
        <f t="shared" si="0"/>
        <v>-23041807.532202952</v>
      </c>
      <c r="G23" s="4">
        <f t="shared" si="1"/>
        <v>4838779.5817626193</v>
      </c>
      <c r="H23" s="4">
        <f t="shared" si="2"/>
        <v>-18203027.950440332</v>
      </c>
      <c r="I23" s="7">
        <f>'[2]Monthly Tariff Revenue'!I10</f>
        <v>843437.17047547607</v>
      </c>
      <c r="J23" s="6">
        <f t="shared" si="5"/>
        <v>-21314805.24940297</v>
      </c>
      <c r="K23" s="6">
        <f t="shared" si="6"/>
        <v>4156179.4675596692</v>
      </c>
      <c r="L23" s="8"/>
      <c r="M23" s="4">
        <f t="shared" si="7"/>
        <v>0</v>
      </c>
      <c r="O23" s="6">
        <f t="shared" si="8"/>
        <v>-843437.17047547607</v>
      </c>
      <c r="P23" s="6">
        <f t="shared" si="9"/>
        <v>843437.17047547607</v>
      </c>
      <c r="Q23" s="6">
        <f t="shared" si="10"/>
        <v>177121.80579984997</v>
      </c>
      <c r="R23" s="6">
        <f t="shared" si="11"/>
        <v>-177121.80579984997</v>
      </c>
      <c r="S23" s="6">
        <f>I23+(L23*'[2]Rev Req &amp; Conv Factor'!$L$4)</f>
        <v>843437.17047547607</v>
      </c>
      <c r="T23" s="6">
        <f t="shared" si="12"/>
        <v>-177121.80579984997</v>
      </c>
      <c r="U23" s="6">
        <f t="shared" si="13"/>
        <v>-666315.36467562616</v>
      </c>
      <c r="V23" s="6">
        <f t="shared" si="14"/>
        <v>0</v>
      </c>
    </row>
    <row r="24" spans="2:22" outlineLevel="1">
      <c r="B24">
        <v>202204</v>
      </c>
      <c r="C24" s="3">
        <f t="shared" si="3"/>
        <v>-23041807.532202952</v>
      </c>
      <c r="D24" s="28">
        <v>-109482.1</v>
      </c>
      <c r="E24" s="23">
        <f t="shared" si="4"/>
        <v>690747.70791529957</v>
      </c>
      <c r="F24" s="24">
        <f t="shared" si="0"/>
        <v>-22460541.924287654</v>
      </c>
      <c r="G24" s="4">
        <f t="shared" si="1"/>
        <v>4716713.8041004073</v>
      </c>
      <c r="H24" s="4">
        <f t="shared" si="2"/>
        <v>-17743828.120187245</v>
      </c>
      <c r="I24" s="7">
        <f>'[2]Monthly Tariff Revenue'!I11</f>
        <v>690747.70791529957</v>
      </c>
      <c r="J24" s="6">
        <f t="shared" si="5"/>
        <v>-20980745.406887446</v>
      </c>
      <c r="K24" s="6">
        <f t="shared" si="6"/>
        <v>4615379.2978127562</v>
      </c>
      <c r="L24" s="8"/>
      <c r="M24" s="4">
        <f t="shared" si="7"/>
        <v>0</v>
      </c>
      <c r="O24" s="6">
        <f t="shared" si="8"/>
        <v>-690747.70791529957</v>
      </c>
      <c r="P24" s="6">
        <f t="shared" si="9"/>
        <v>690747.70791529957</v>
      </c>
      <c r="Q24" s="6">
        <f t="shared" si="10"/>
        <v>145057.01866221291</v>
      </c>
      <c r="R24" s="6">
        <f t="shared" si="11"/>
        <v>-145057.01866221291</v>
      </c>
      <c r="S24" s="6">
        <f>I24+(L24*'[2]Rev Req &amp; Conv Factor'!$L$4)</f>
        <v>690747.70791529957</v>
      </c>
      <c r="T24" s="6">
        <f t="shared" si="12"/>
        <v>-145057.01866221291</v>
      </c>
      <c r="U24" s="6">
        <f t="shared" si="13"/>
        <v>-545690.68925308669</v>
      </c>
      <c r="V24" s="6">
        <f t="shared" si="14"/>
        <v>0</v>
      </c>
    </row>
    <row r="25" spans="2:22" outlineLevel="1">
      <c r="B25">
        <v>202205</v>
      </c>
      <c r="C25" s="3">
        <f t="shared" si="3"/>
        <v>-22460541.924287654</v>
      </c>
      <c r="D25" s="28">
        <v>-109482.1</v>
      </c>
      <c r="E25" s="23">
        <f t="shared" si="4"/>
        <v>434420.70466662711</v>
      </c>
      <c r="F25" s="24">
        <f t="shared" si="0"/>
        <v>-22135603.31962103</v>
      </c>
      <c r="G25" s="4">
        <f t="shared" si="1"/>
        <v>4648476.697120416</v>
      </c>
      <c r="H25" s="4">
        <f t="shared" si="2"/>
        <v>-17487126.622500613</v>
      </c>
      <c r="I25" s="7">
        <f>'[2]Monthly Tariff Revenue'!I12</f>
        <v>434420.70466662711</v>
      </c>
      <c r="J25" s="6">
        <f t="shared" si="5"/>
        <v>-20613714.165103611</v>
      </c>
      <c r="K25" s="6">
        <f t="shared" si="6"/>
        <v>4872080.7954993881</v>
      </c>
      <c r="L25" s="8"/>
      <c r="M25" s="4">
        <f t="shared" si="7"/>
        <v>0</v>
      </c>
      <c r="O25" s="6">
        <f t="shared" si="8"/>
        <v>-434420.70466662711</v>
      </c>
      <c r="P25" s="6">
        <f t="shared" si="9"/>
        <v>434420.70466662711</v>
      </c>
      <c r="Q25" s="6">
        <f t="shared" si="10"/>
        <v>91228.347979991682</v>
      </c>
      <c r="R25" s="6">
        <f t="shared" si="11"/>
        <v>-91228.347979991682</v>
      </c>
      <c r="S25" s="6">
        <f>I25+(L25*'[2]Rev Req &amp; Conv Factor'!$L$4)</f>
        <v>434420.70466662711</v>
      </c>
      <c r="T25" s="6">
        <f t="shared" si="12"/>
        <v>-91228.347979991682</v>
      </c>
      <c r="U25" s="6">
        <f t="shared" si="13"/>
        <v>-343192.35668663541</v>
      </c>
      <c r="V25" s="6">
        <f t="shared" si="14"/>
        <v>0</v>
      </c>
    </row>
    <row r="26" spans="2:22" outlineLevel="1">
      <c r="B26">
        <v>202206</v>
      </c>
      <c r="C26" s="3">
        <f t="shared" si="3"/>
        <v>-22135603.31962103</v>
      </c>
      <c r="D26" s="28">
        <v>-109482.1</v>
      </c>
      <c r="E26" s="23">
        <f t="shared" si="4"/>
        <v>220782.25622802772</v>
      </c>
      <c r="F26" s="24">
        <f t="shared" si="0"/>
        <v>-22024303.163393006</v>
      </c>
      <c r="G26" s="4">
        <f t="shared" si="1"/>
        <v>4625103.6643125312</v>
      </c>
      <c r="H26" s="4">
        <f t="shared" si="2"/>
        <v>-17399199.499080475</v>
      </c>
      <c r="I26" s="7">
        <f>'[2]Monthly Tariff Revenue'!I13</f>
        <v>220782.25622802772</v>
      </c>
      <c r="J26" s="6">
        <f t="shared" si="5"/>
        <v>-20226039.042898659</v>
      </c>
      <c r="K26" s="6">
        <f t="shared" si="6"/>
        <v>4960007.918919526</v>
      </c>
      <c r="L26" s="8"/>
      <c r="M26" s="4">
        <f t="shared" si="7"/>
        <v>0</v>
      </c>
      <c r="O26" s="6">
        <f t="shared" si="8"/>
        <v>-220782.25622802772</v>
      </c>
      <c r="P26" s="6">
        <f t="shared" si="9"/>
        <v>220782.25622802772</v>
      </c>
      <c r="Q26" s="6">
        <f t="shared" si="10"/>
        <v>46364.273807885816</v>
      </c>
      <c r="R26" s="6">
        <f t="shared" si="11"/>
        <v>-46364.273807885816</v>
      </c>
      <c r="S26" s="6">
        <f>I26+(L26*'[2]Rev Req &amp; Conv Factor'!$L$4)</f>
        <v>220782.25622802772</v>
      </c>
      <c r="T26" s="6">
        <f t="shared" si="12"/>
        <v>-46364.273807885816</v>
      </c>
      <c r="U26" s="6">
        <f t="shared" si="13"/>
        <v>-174417.9824201419</v>
      </c>
      <c r="V26" s="6">
        <f t="shared" si="14"/>
        <v>0</v>
      </c>
    </row>
    <row r="27" spans="2:22" outlineLevel="1">
      <c r="B27">
        <v>202207</v>
      </c>
      <c r="C27" s="3">
        <f t="shared" si="3"/>
        <v>-22024303.163393006</v>
      </c>
      <c r="D27" s="28">
        <v>-109482.1</v>
      </c>
      <c r="E27" s="23">
        <f t="shared" si="4"/>
        <v>153725.70867775803</v>
      </c>
      <c r="F27" s="24">
        <f t="shared" si="0"/>
        <v>-21980059.55471525</v>
      </c>
      <c r="G27" s="4">
        <f t="shared" si="1"/>
        <v>4615812.5064902026</v>
      </c>
      <c r="H27" s="4">
        <f t="shared" si="2"/>
        <v>-17364247.048225045</v>
      </c>
      <c r="I27" s="7">
        <f>'[2]Monthly Tariff Revenue'!I14</f>
        <v>153725.70867775803</v>
      </c>
      <c r="J27" s="6">
        <f t="shared" si="5"/>
        <v>-19826959.583890554</v>
      </c>
      <c r="K27" s="6">
        <f t="shared" si="6"/>
        <v>4994960.3697749563</v>
      </c>
      <c r="L27" s="8"/>
      <c r="M27" s="4">
        <f t="shared" si="7"/>
        <v>0</v>
      </c>
      <c r="O27" s="6">
        <f t="shared" si="8"/>
        <v>-153725.70867775803</v>
      </c>
      <c r="P27" s="6">
        <f t="shared" si="9"/>
        <v>153725.70867775803</v>
      </c>
      <c r="Q27" s="6">
        <f t="shared" si="10"/>
        <v>32282.398822329185</v>
      </c>
      <c r="R27" s="6">
        <f t="shared" si="11"/>
        <v>-32282.398822329185</v>
      </c>
      <c r="S27" s="6">
        <f>I27+(L27*'[2]Rev Req &amp; Conv Factor'!$L$4)</f>
        <v>153725.70867775803</v>
      </c>
      <c r="T27" s="6">
        <f t="shared" si="12"/>
        <v>-32282.398822329185</v>
      </c>
      <c r="U27" s="6">
        <f t="shared" si="13"/>
        <v>-121443.30985542884</v>
      </c>
      <c r="V27" s="6">
        <f t="shared" si="14"/>
        <v>0</v>
      </c>
    </row>
    <row r="28" spans="2:22">
      <c r="B28">
        <v>202208</v>
      </c>
      <c r="C28" s="3">
        <f t="shared" si="3"/>
        <v>-21980059.55471525</v>
      </c>
      <c r="D28" s="28">
        <v>-109482.1</v>
      </c>
      <c r="E28" s="23">
        <f t="shared" si="4"/>
        <v>138340.50150186892</v>
      </c>
      <c r="F28" s="24">
        <f t="shared" si="0"/>
        <v>-21951201.153213382</v>
      </c>
      <c r="G28" s="4">
        <f t="shared" si="1"/>
        <v>4609752.2421748098</v>
      </c>
      <c r="H28" s="4">
        <f t="shared" si="2"/>
        <v>-17341448.91103857</v>
      </c>
      <c r="I28" s="7">
        <f>'[2]Monthly Tariff Revenue'!I15</f>
        <v>138340.50150186892</v>
      </c>
      <c r="J28" s="6">
        <f t="shared" si="5"/>
        <v>-19419189.495839041</v>
      </c>
      <c r="K28" s="6">
        <f t="shared" si="6"/>
        <v>5017758.5069614314</v>
      </c>
      <c r="L28" s="8"/>
      <c r="M28" s="4">
        <f t="shared" si="7"/>
        <v>0</v>
      </c>
      <c r="O28" s="6">
        <f t="shared" si="8"/>
        <v>-138340.50150186892</v>
      </c>
      <c r="P28" s="6">
        <f t="shared" si="9"/>
        <v>138340.50150186892</v>
      </c>
      <c r="Q28" s="6">
        <f t="shared" si="10"/>
        <v>29051.505315392471</v>
      </c>
      <c r="R28" s="6">
        <f t="shared" si="11"/>
        <v>-29051.505315392471</v>
      </c>
      <c r="S28" s="6">
        <f>I28+(L28*'[2]Rev Req &amp; Conv Factor'!$L$4)</f>
        <v>138340.50150186892</v>
      </c>
      <c r="T28" s="6">
        <f t="shared" si="12"/>
        <v>-29051.505315392471</v>
      </c>
      <c r="U28" s="6">
        <f t="shared" si="13"/>
        <v>-109288.99618647645</v>
      </c>
      <c r="V28" s="6">
        <f t="shared" si="14"/>
        <v>0</v>
      </c>
    </row>
    <row r="29" spans="2:22">
      <c r="B29">
        <v>202209</v>
      </c>
      <c r="C29" s="3">
        <f t="shared" si="3"/>
        <v>-21951201.153213382</v>
      </c>
      <c r="D29" s="28">
        <f>-109482.1-37560.92</f>
        <v>-147043.02000000002</v>
      </c>
      <c r="E29" s="23">
        <f t="shared" si="4"/>
        <v>174507.08990868178</v>
      </c>
      <c r="F29" s="24">
        <f t="shared" si="0"/>
        <v>-21923737.0833047</v>
      </c>
      <c r="G29" s="4">
        <f t="shared" si="1"/>
        <v>4603984.787493987</v>
      </c>
      <c r="H29" s="4">
        <f t="shared" si="2"/>
        <v>-17319752.295810714</v>
      </c>
      <c r="I29" s="7">
        <f>'[2]Monthly Tariff Revenue'!I16</f>
        <v>174507.08990868178</v>
      </c>
      <c r="J29" s="6">
        <f t="shared" si="5"/>
        <v>-19003281.105228592</v>
      </c>
      <c r="K29" s="6">
        <f t="shared" si="6"/>
        <v>5039455.1221892871</v>
      </c>
      <c r="L29" s="8"/>
      <c r="M29" s="4">
        <f t="shared" si="7"/>
        <v>0</v>
      </c>
      <c r="O29" s="6">
        <f t="shared" si="8"/>
        <v>-174507.08990868178</v>
      </c>
      <c r="P29" s="6">
        <f t="shared" si="9"/>
        <v>174507.08990868178</v>
      </c>
      <c r="Q29" s="6">
        <f t="shared" si="10"/>
        <v>36646.48888082317</v>
      </c>
      <c r="R29" s="6">
        <f t="shared" si="11"/>
        <v>-36646.48888082317</v>
      </c>
      <c r="S29" s="6">
        <f>I29+(L29*'[2]Rev Req &amp; Conv Factor'!$L$4)</f>
        <v>174507.08990868178</v>
      </c>
      <c r="T29" s="6">
        <f t="shared" si="12"/>
        <v>-36646.48888082317</v>
      </c>
      <c r="U29" s="6">
        <f t="shared" si="13"/>
        <v>-137860.60102785862</v>
      </c>
      <c r="V29" s="6">
        <f t="shared" si="14"/>
        <v>0</v>
      </c>
    </row>
    <row r="30" spans="2:22">
      <c r="B30">
        <v>202210</v>
      </c>
      <c r="C30" s="3">
        <f t="shared" si="3"/>
        <v>-21923737.0833047</v>
      </c>
      <c r="D30" s="28">
        <v>-109482.1</v>
      </c>
      <c r="E30" s="23">
        <f t="shared" si="4"/>
        <v>354880.14644745615</v>
      </c>
      <c r="F30" s="24">
        <f t="shared" si="0"/>
        <v>-21678339.036857244</v>
      </c>
      <c r="G30" s="4">
        <f t="shared" si="1"/>
        <v>4552451.1977400212</v>
      </c>
      <c r="H30" s="4">
        <f t="shared" si="2"/>
        <v>-17125887.839117222</v>
      </c>
      <c r="I30" s="7">
        <f>'[2]Monthly Tariff Revenue'!I17</f>
        <v>354880.14644745615</v>
      </c>
      <c r="J30" s="6">
        <f t="shared" si="5"/>
        <v>-18586889.790525746</v>
      </c>
      <c r="K30" s="6">
        <f t="shared" si="6"/>
        <v>5233319.5788827799</v>
      </c>
      <c r="L30" s="8"/>
      <c r="M30" s="4">
        <f t="shared" si="7"/>
        <v>0</v>
      </c>
      <c r="O30" s="6">
        <f t="shared" si="8"/>
        <v>-354880.14644745615</v>
      </c>
      <c r="P30" s="6">
        <f t="shared" si="9"/>
        <v>354880.14644745615</v>
      </c>
      <c r="Q30" s="6">
        <f t="shared" si="10"/>
        <v>74524.830753965784</v>
      </c>
      <c r="R30" s="6">
        <f t="shared" si="11"/>
        <v>-74524.830753965784</v>
      </c>
      <c r="S30" s="6">
        <f>I30+(L30*'[2]Rev Req &amp; Conv Factor'!$L$4)</f>
        <v>354880.14644745615</v>
      </c>
      <c r="T30" s="6">
        <f t="shared" si="12"/>
        <v>-74524.830753965784</v>
      </c>
      <c r="U30" s="6">
        <f t="shared" si="13"/>
        <v>-280355.31569349038</v>
      </c>
      <c r="V30" s="6">
        <f t="shared" si="14"/>
        <v>0</v>
      </c>
    </row>
    <row r="31" spans="2:22">
      <c r="B31">
        <v>202211</v>
      </c>
      <c r="C31" s="3">
        <f t="shared" si="3"/>
        <v>-21678339.036857244</v>
      </c>
      <c r="D31" s="28">
        <v>-109482.1</v>
      </c>
      <c r="E31" s="23">
        <f t="shared" si="4"/>
        <v>1270113.2737296047</v>
      </c>
      <c r="F31" s="24">
        <f t="shared" si="0"/>
        <v>-20517707.863127641</v>
      </c>
      <c r="G31" s="4">
        <f t="shared" si="1"/>
        <v>4308718.6512568044</v>
      </c>
      <c r="H31" s="4">
        <f t="shared" si="2"/>
        <v>-16208989.211870838</v>
      </c>
      <c r="I31" s="7">
        <f>'[2]Monthly Tariff Revenue'!I18</f>
        <v>1270113.2737296047</v>
      </c>
      <c r="J31" s="6">
        <f t="shared" si="5"/>
        <v>-18158613.962762222</v>
      </c>
      <c r="K31" s="6">
        <f t="shared" si="6"/>
        <v>6150218.2061291635</v>
      </c>
      <c r="L31" s="8"/>
      <c r="M31" s="4">
        <f t="shared" si="7"/>
        <v>0</v>
      </c>
      <c r="O31" s="6">
        <f t="shared" si="8"/>
        <v>-1270113.2737296047</v>
      </c>
      <c r="P31" s="6">
        <f t="shared" si="9"/>
        <v>1270113.2737296047</v>
      </c>
      <c r="Q31" s="6">
        <f t="shared" si="10"/>
        <v>266723.78748321696</v>
      </c>
      <c r="R31" s="6">
        <f t="shared" si="11"/>
        <v>-266723.78748321696</v>
      </c>
      <c r="S31" s="6">
        <f>I31+(L31*'[2]Rev Req &amp; Conv Factor'!$L$4)</f>
        <v>1270113.2737296047</v>
      </c>
      <c r="T31" s="6">
        <f t="shared" si="12"/>
        <v>-266723.78748321696</v>
      </c>
      <c r="U31" s="6">
        <f t="shared" si="13"/>
        <v>-1003389.4862463877</v>
      </c>
      <c r="V31" s="6">
        <f t="shared" si="14"/>
        <v>0</v>
      </c>
    </row>
    <row r="32" spans="2:22">
      <c r="B32">
        <v>202212</v>
      </c>
      <c r="C32" s="3">
        <f t="shared" si="3"/>
        <v>-20517707.863127641</v>
      </c>
      <c r="D32" s="28">
        <v>-476607.37</v>
      </c>
      <c r="E32" s="23">
        <f t="shared" si="4"/>
        <v>1930258.6622048805</v>
      </c>
      <c r="F32" s="24">
        <f t="shared" si="0"/>
        <v>-19064056.570922762</v>
      </c>
      <c r="G32" s="4">
        <f t="shared" si="1"/>
        <v>4003451.8798937798</v>
      </c>
      <c r="H32" s="4">
        <f t="shared" si="2"/>
        <v>-15060604.691028982</v>
      </c>
      <c r="I32" s="7">
        <f>'[2]Monthly Tariff Revenue'!I19</f>
        <v>1930258.6622048805</v>
      </c>
      <c r="J32" s="6">
        <f t="shared" si="5"/>
        <v>-17703887.931506693</v>
      </c>
      <c r="K32" s="6">
        <f t="shared" si="6"/>
        <v>7298602.7269710191</v>
      </c>
      <c r="L32" s="8"/>
      <c r="M32" s="4">
        <f t="shared" si="7"/>
        <v>0</v>
      </c>
      <c r="O32" s="6">
        <f t="shared" si="8"/>
        <v>-1930258.6622048805</v>
      </c>
      <c r="P32" s="6">
        <f t="shared" si="9"/>
        <v>1930258.6622048805</v>
      </c>
      <c r="Q32" s="6">
        <f t="shared" si="10"/>
        <v>405354.31906302489</v>
      </c>
      <c r="R32" s="6">
        <f t="shared" si="11"/>
        <v>-405354.31906302489</v>
      </c>
      <c r="S32" s="6">
        <f>I32+(L32*'[2]Rev Req &amp; Conv Factor'!$L$4)</f>
        <v>1930258.6622048805</v>
      </c>
      <c r="T32" s="6">
        <f t="shared" si="12"/>
        <v>-405354.31906302489</v>
      </c>
      <c r="U32" s="6">
        <f t="shared" si="13"/>
        <v>-1524904.3431418557</v>
      </c>
      <c r="V32" s="6">
        <f t="shared" si="14"/>
        <v>0</v>
      </c>
    </row>
    <row r="33" spans="2:22">
      <c r="B33">
        <v>202301</v>
      </c>
      <c r="C33" s="3">
        <f t="shared" si="3"/>
        <v>-19064056.570922762</v>
      </c>
      <c r="D33" s="28">
        <v>-34230.36</v>
      </c>
      <c r="E33" s="23">
        <f t="shared" si="4"/>
        <v>2542687.9406978334</v>
      </c>
      <c r="F33" s="24">
        <f t="shared" si="0"/>
        <v>-16555598.990224928</v>
      </c>
      <c r="G33" s="4">
        <f t="shared" si="1"/>
        <v>3476675.7879472347</v>
      </c>
      <c r="H33" s="4">
        <f t="shared" si="2"/>
        <v>-13078923.202277694</v>
      </c>
      <c r="I33" s="7">
        <f>'[2]Monthly Tariff Revenue'!I20</f>
        <v>2542687.9406978334</v>
      </c>
      <c r="J33" s="6">
        <f t="shared" si="5"/>
        <v>-17198673.84868877</v>
      </c>
      <c r="K33" s="6">
        <f t="shared" si="6"/>
        <v>9280284.2157223076</v>
      </c>
      <c r="L33" s="8"/>
      <c r="M33" s="4">
        <f t="shared" si="7"/>
        <v>0</v>
      </c>
      <c r="O33" s="6">
        <f t="shared" si="8"/>
        <v>-2542687.9406978334</v>
      </c>
      <c r="P33" s="6">
        <f t="shared" si="9"/>
        <v>2542687.9406978334</v>
      </c>
      <c r="Q33" s="6">
        <f t="shared" si="10"/>
        <v>533964.46754654497</v>
      </c>
      <c r="R33" s="6">
        <f t="shared" si="11"/>
        <v>-533964.46754654497</v>
      </c>
      <c r="S33" s="6">
        <f t="shared" ref="S33:S68" si="15">I33+(L33*$S$2)</f>
        <v>2542687.9406978334</v>
      </c>
      <c r="T33" s="6">
        <f t="shared" si="12"/>
        <v>-533964.46754654497</v>
      </c>
      <c r="U33" s="6">
        <f t="shared" si="13"/>
        <v>-2008723.4731512885</v>
      </c>
      <c r="V33" s="6">
        <f t="shared" si="14"/>
        <v>0</v>
      </c>
    </row>
    <row r="34" spans="2:22">
      <c r="B34">
        <v>202302</v>
      </c>
      <c r="C34" s="3">
        <f t="shared" si="3"/>
        <v>-16555598.990224928</v>
      </c>
      <c r="D34" s="28">
        <v>-34230.36</v>
      </c>
      <c r="E34" s="23">
        <f t="shared" si="4"/>
        <v>2048829.6532780156</v>
      </c>
      <c r="F34" s="24">
        <f t="shared" si="0"/>
        <v>-14540999.696946912</v>
      </c>
      <c r="G34" s="4">
        <f t="shared" si="1"/>
        <v>3053609.9363588514</v>
      </c>
      <c r="H34" s="4">
        <f t="shared" si="2"/>
        <v>-11487389.760588061</v>
      </c>
      <c r="I34" s="7">
        <f>'[2]Monthly Tariff Revenue'!I21</f>
        <v>2048829.6532780156</v>
      </c>
      <c r="J34" s="6">
        <f t="shared" si="5"/>
        <v>-16622346.374994149</v>
      </c>
      <c r="K34" s="6">
        <f t="shared" si="6"/>
        <v>10871817.65741194</v>
      </c>
      <c r="L34" s="8"/>
      <c r="M34" s="4">
        <f t="shared" si="7"/>
        <v>0</v>
      </c>
      <c r="O34" s="6">
        <f t="shared" si="8"/>
        <v>-2048829.6532780156</v>
      </c>
      <c r="P34" s="6">
        <f t="shared" si="9"/>
        <v>2048829.6532780156</v>
      </c>
      <c r="Q34" s="6">
        <f t="shared" si="10"/>
        <v>430254.22718838323</v>
      </c>
      <c r="R34" s="6">
        <f t="shared" si="11"/>
        <v>-430254.22718838323</v>
      </c>
      <c r="S34" s="6">
        <f t="shared" si="15"/>
        <v>2048829.6532780156</v>
      </c>
      <c r="T34" s="6">
        <f t="shared" si="12"/>
        <v>-430254.22718838323</v>
      </c>
      <c r="U34" s="6">
        <f t="shared" si="13"/>
        <v>-1618575.4260896323</v>
      </c>
      <c r="V34" s="6">
        <f t="shared" si="14"/>
        <v>0</v>
      </c>
    </row>
    <row r="35" spans="2:22">
      <c r="B35">
        <v>202303</v>
      </c>
      <c r="C35" s="3">
        <f t="shared" si="3"/>
        <v>-14540999.696946912</v>
      </c>
      <c r="D35" s="28">
        <v>-34230.36</v>
      </c>
      <c r="E35" s="23">
        <f t="shared" si="4"/>
        <v>1779599.3767173279</v>
      </c>
      <c r="F35" s="24">
        <f t="shared" si="0"/>
        <v>-12795630.680229584</v>
      </c>
      <c r="G35" s="4">
        <f t="shared" si="1"/>
        <v>2687082.4428482126</v>
      </c>
      <c r="H35" s="4">
        <f t="shared" si="2"/>
        <v>-10108548.237381371</v>
      </c>
      <c r="I35" s="7">
        <f>'[2]Monthly Tariff Revenue'!I22</f>
        <v>1779599.3767173279</v>
      </c>
      <c r="J35" s="6">
        <f t="shared" si="5"/>
        <v>-15981098.774636358</v>
      </c>
      <c r="K35" s="6">
        <f t="shared" si="6"/>
        <v>12250659.180618631</v>
      </c>
      <c r="L35" s="8"/>
      <c r="M35" s="4">
        <f t="shared" si="7"/>
        <v>0</v>
      </c>
      <c r="O35" s="6">
        <f t="shared" si="8"/>
        <v>-1779599.3767173279</v>
      </c>
      <c r="P35" s="6">
        <f t="shared" si="9"/>
        <v>1779599.3767173279</v>
      </c>
      <c r="Q35" s="6">
        <f t="shared" si="10"/>
        <v>373715.86911063886</v>
      </c>
      <c r="R35" s="6">
        <f t="shared" si="11"/>
        <v>-373715.86911063886</v>
      </c>
      <c r="S35" s="6">
        <f t="shared" si="15"/>
        <v>1779599.3767173279</v>
      </c>
      <c r="T35" s="6">
        <f t="shared" si="12"/>
        <v>-373715.86911063886</v>
      </c>
      <c r="U35" s="6">
        <f t="shared" si="13"/>
        <v>-1405883.5076066889</v>
      </c>
      <c r="V35" s="6">
        <f t="shared" si="14"/>
        <v>0</v>
      </c>
    </row>
    <row r="36" spans="2:22">
      <c r="B36">
        <v>202304</v>
      </c>
      <c r="C36" s="3">
        <f t="shared" si="3"/>
        <v>-12795630.680229584</v>
      </c>
      <c r="D36" s="28">
        <v>-34230.36</v>
      </c>
      <c r="E36" s="23">
        <f t="shared" si="4"/>
        <v>1138173.0135167427</v>
      </c>
      <c r="F36" s="24">
        <f t="shared" si="0"/>
        <v>-11691688.02671284</v>
      </c>
      <c r="G36" s="4">
        <f t="shared" si="1"/>
        <v>2455254.4856096962</v>
      </c>
      <c r="H36" s="4">
        <f t="shared" si="2"/>
        <v>-9236433.5411031432</v>
      </c>
      <c r="I36" s="7">
        <f>'[2]Monthly Tariff Revenue'!I23</f>
        <v>1138173.0135167427</v>
      </c>
      <c r="J36" s="6">
        <f t="shared" si="5"/>
        <v>-15289354.012463728</v>
      </c>
      <c r="K36" s="6">
        <f t="shared" si="6"/>
        <v>13122773.876896858</v>
      </c>
      <c r="L36" s="8"/>
      <c r="M36" s="4">
        <f t="shared" si="7"/>
        <v>0</v>
      </c>
      <c r="O36" s="6">
        <f t="shared" si="8"/>
        <v>-1138173.0135167427</v>
      </c>
      <c r="P36" s="6">
        <f t="shared" si="9"/>
        <v>1138173.0135167427</v>
      </c>
      <c r="Q36" s="6">
        <f t="shared" si="10"/>
        <v>239016.33283851595</v>
      </c>
      <c r="R36" s="6">
        <f t="shared" si="11"/>
        <v>-239016.33283851595</v>
      </c>
      <c r="S36" s="6">
        <f t="shared" si="15"/>
        <v>1138173.0135167427</v>
      </c>
      <c r="T36" s="6">
        <f t="shared" si="12"/>
        <v>-239016.33283851595</v>
      </c>
      <c r="U36" s="6">
        <f t="shared" si="13"/>
        <v>-899156.68067822675</v>
      </c>
      <c r="V36" s="6">
        <f t="shared" si="14"/>
        <v>0</v>
      </c>
    </row>
    <row r="37" spans="2:22">
      <c r="B37">
        <v>202305</v>
      </c>
      <c r="C37" s="3">
        <f t="shared" si="3"/>
        <v>-11691688.02671284</v>
      </c>
      <c r="D37" s="28">
        <v>-34230.36</v>
      </c>
      <c r="E37" s="23">
        <f t="shared" si="4"/>
        <v>393140.45654607739</v>
      </c>
      <c r="F37" s="24">
        <f t="shared" ref="F37:F56" si="16">SUM(C37:E37)</f>
        <v>-11332777.930166762</v>
      </c>
      <c r="G37" s="4">
        <f t="shared" ref="G37:G68" si="17">F37*-0.21</f>
        <v>2379883.3653350198</v>
      </c>
      <c r="H37" s="4">
        <f t="shared" ref="H37:H68" si="18">SUM(F37:G37)</f>
        <v>-8952894.564831743</v>
      </c>
      <c r="I37" s="7">
        <f>'[2]Monthly Tariff Revenue'!I24</f>
        <v>393140.45654607739</v>
      </c>
      <c r="J37" s="6">
        <f t="shared" si="5"/>
        <v>-14579286.235932358</v>
      </c>
      <c r="K37" s="6">
        <f t="shared" si="6"/>
        <v>13406312.853168258</v>
      </c>
      <c r="L37" s="8"/>
      <c r="M37" s="4">
        <f t="shared" si="7"/>
        <v>0</v>
      </c>
      <c r="O37" s="6">
        <f t="shared" si="8"/>
        <v>-393140.45654607739</v>
      </c>
      <c r="P37" s="6">
        <f t="shared" si="9"/>
        <v>393140.45654607739</v>
      </c>
      <c r="Q37" s="6">
        <f t="shared" si="10"/>
        <v>82559.495874676242</v>
      </c>
      <c r="R37" s="6">
        <f t="shared" si="11"/>
        <v>-82559.495874676242</v>
      </c>
      <c r="S37" s="6">
        <f t="shared" si="15"/>
        <v>393140.45654607739</v>
      </c>
      <c r="T37" s="6">
        <f t="shared" si="12"/>
        <v>-82559.495874676242</v>
      </c>
      <c r="U37" s="6">
        <f t="shared" si="13"/>
        <v>-310580.96067140112</v>
      </c>
      <c r="V37" s="6">
        <f t="shared" si="14"/>
        <v>0</v>
      </c>
    </row>
    <row r="38" spans="2:22">
      <c r="B38">
        <v>202306</v>
      </c>
      <c r="C38" s="3">
        <f t="shared" ref="C38:C56" si="19">F37</f>
        <v>-11332777.930166762</v>
      </c>
      <c r="D38" s="28">
        <v>-34230.36</v>
      </c>
      <c r="E38" s="23">
        <f t="shared" si="4"/>
        <v>306022.12027980509</v>
      </c>
      <c r="F38" s="24">
        <f t="shared" si="16"/>
        <v>-11060986.169886956</v>
      </c>
      <c r="G38" s="4">
        <f t="shared" si="17"/>
        <v>2322807.0956762605</v>
      </c>
      <c r="H38" s="4">
        <f t="shared" si="18"/>
        <v>-8738179.0742106959</v>
      </c>
      <c r="I38" s="7">
        <f>'[2]Monthly Tariff Revenue'!I25</f>
        <v>306022.12027980509</v>
      </c>
      <c r="J38" s="6">
        <f t="shared" si="5"/>
        <v>-13862817.382493248</v>
      </c>
      <c r="K38" s="6">
        <f t="shared" si="6"/>
        <v>13621028.343789306</v>
      </c>
      <c r="L38" s="8"/>
      <c r="M38" s="4">
        <f t="shared" si="7"/>
        <v>0</v>
      </c>
      <c r="O38" s="6">
        <f t="shared" si="8"/>
        <v>-306022.12027980509</v>
      </c>
      <c r="P38" s="6">
        <f t="shared" si="9"/>
        <v>306022.12027980509</v>
      </c>
      <c r="Q38" s="6">
        <f t="shared" si="10"/>
        <v>64264.645258759068</v>
      </c>
      <c r="R38" s="6">
        <f t="shared" si="11"/>
        <v>-64264.645258759068</v>
      </c>
      <c r="S38" s="6">
        <f t="shared" si="15"/>
        <v>306022.12027980509</v>
      </c>
      <c r="T38" s="6">
        <f t="shared" si="12"/>
        <v>-64264.645258759068</v>
      </c>
      <c r="U38" s="6">
        <f t="shared" si="13"/>
        <v>-241757.47502104603</v>
      </c>
      <c r="V38" s="6">
        <f t="shared" si="14"/>
        <v>0</v>
      </c>
    </row>
    <row r="39" spans="2:22">
      <c r="B39">
        <v>202307</v>
      </c>
      <c r="C39" s="3">
        <f t="shared" si="19"/>
        <v>-11060986.169886956</v>
      </c>
      <c r="D39" s="28">
        <v>-34230.36</v>
      </c>
      <c r="E39" s="23">
        <f t="shared" si="4"/>
        <v>278788.09351554204</v>
      </c>
      <c r="F39" s="24">
        <f t="shared" si="16"/>
        <v>-10816428.436371414</v>
      </c>
      <c r="G39" s="4">
        <f t="shared" si="17"/>
        <v>2271449.9716379968</v>
      </c>
      <c r="H39" s="4">
        <f t="shared" si="18"/>
        <v>-8544978.4647334181</v>
      </c>
      <c r="I39" s="7">
        <f>'[2]Monthly Tariff Revenue'!I26</f>
        <v>278788.09351554204</v>
      </c>
      <c r="J39" s="6">
        <f t="shared" si="5"/>
        <v>-13134472.007144855</v>
      </c>
      <c r="K39" s="6">
        <f t="shared" si="6"/>
        <v>13814228.953266583</v>
      </c>
      <c r="L39" s="8"/>
      <c r="M39" s="4">
        <f t="shared" si="7"/>
        <v>0</v>
      </c>
      <c r="O39" s="6">
        <f t="shared" si="8"/>
        <v>-278788.09351554204</v>
      </c>
      <c r="P39" s="6">
        <f t="shared" si="9"/>
        <v>278788.09351554204</v>
      </c>
      <c r="Q39" s="6">
        <f t="shared" si="10"/>
        <v>58545.499638263827</v>
      </c>
      <c r="R39" s="6">
        <f t="shared" si="11"/>
        <v>-58545.499638263827</v>
      </c>
      <c r="S39" s="6">
        <f t="shared" si="15"/>
        <v>278788.09351554204</v>
      </c>
      <c r="T39" s="6">
        <f t="shared" si="12"/>
        <v>-58545.499638263827</v>
      </c>
      <c r="U39" s="6">
        <f t="shared" si="13"/>
        <v>-220242.59387727821</v>
      </c>
      <c r="V39" s="6">
        <f t="shared" si="14"/>
        <v>0</v>
      </c>
    </row>
    <row r="40" spans="2:22">
      <c r="B40">
        <v>202308</v>
      </c>
      <c r="C40" s="3">
        <f t="shared" si="19"/>
        <v>-10816428.436371414</v>
      </c>
      <c r="D40" s="28">
        <v>-34230.36</v>
      </c>
      <c r="E40" s="23">
        <f t="shared" si="4"/>
        <v>290535.49941575091</v>
      </c>
      <c r="F40" s="24">
        <f t="shared" si="16"/>
        <v>-10560123.296955662</v>
      </c>
      <c r="G40" s="4">
        <f t="shared" si="17"/>
        <v>2217625.8923606891</v>
      </c>
      <c r="H40" s="4">
        <f t="shared" si="18"/>
        <v>-8342497.4045949727</v>
      </c>
      <c r="I40" s="7">
        <f>'[2]Monthly Tariff Revenue'!I27</f>
        <v>290535.49941575091</v>
      </c>
      <c r="J40" s="6">
        <f t="shared" si="5"/>
        <v>-12392046.17006422</v>
      </c>
      <c r="K40" s="6">
        <f t="shared" si="6"/>
        <v>14016710.013405029</v>
      </c>
      <c r="L40" s="8"/>
      <c r="M40" s="4">
        <f t="shared" si="7"/>
        <v>0</v>
      </c>
      <c r="O40" s="6">
        <f t="shared" si="8"/>
        <v>-290535.49941575091</v>
      </c>
      <c r="P40" s="6">
        <f t="shared" si="9"/>
        <v>290535.49941575091</v>
      </c>
      <c r="Q40" s="6">
        <f t="shared" si="10"/>
        <v>61012.454877307689</v>
      </c>
      <c r="R40" s="6">
        <f t="shared" si="11"/>
        <v>-61012.454877307689</v>
      </c>
      <c r="S40" s="6">
        <f t="shared" si="15"/>
        <v>290535.49941575091</v>
      </c>
      <c r="T40" s="6">
        <f t="shared" si="12"/>
        <v>-61012.454877307689</v>
      </c>
      <c r="U40" s="6">
        <f t="shared" si="13"/>
        <v>-229523.04453844321</v>
      </c>
      <c r="V40" s="6">
        <f t="shared" si="14"/>
        <v>0</v>
      </c>
    </row>
    <row r="41" spans="2:22">
      <c r="B41">
        <v>202309</v>
      </c>
      <c r="C41" s="3">
        <f t="shared" si="19"/>
        <v>-10560123.296955662</v>
      </c>
      <c r="D41" s="28">
        <f>-34230.36-93703.91</f>
        <v>-127934.27</v>
      </c>
      <c r="E41" s="22">
        <f t="shared" si="4"/>
        <v>383701.3811061639</v>
      </c>
      <c r="F41" s="24">
        <f t="shared" si="16"/>
        <v>-10304356.185849497</v>
      </c>
      <c r="G41" s="4">
        <f t="shared" si="17"/>
        <v>2163914.7990283943</v>
      </c>
      <c r="H41" s="4">
        <f t="shared" si="18"/>
        <v>-8140441.3868211024</v>
      </c>
      <c r="I41" s="7">
        <f>'[2]Monthly Tariff Revenue'!I28</f>
        <v>383701.3811061639</v>
      </c>
      <c r="J41" s="2">
        <f t="shared" si="5"/>
        <v>-11634618.569421172</v>
      </c>
      <c r="K41" s="6">
        <f t="shared" si="6"/>
        <v>14218766.031178899</v>
      </c>
      <c r="L41" s="5"/>
      <c r="M41" s="4">
        <f t="shared" si="7"/>
        <v>0</v>
      </c>
      <c r="O41" s="2">
        <f t="shared" si="8"/>
        <v>-383701.3811061639</v>
      </c>
      <c r="P41" s="2">
        <f t="shared" si="9"/>
        <v>383701.3811061639</v>
      </c>
      <c r="Q41" s="2">
        <f t="shared" si="10"/>
        <v>80577.290032294419</v>
      </c>
      <c r="R41" s="2">
        <f t="shared" si="11"/>
        <v>-80577.290032294419</v>
      </c>
      <c r="S41" s="3">
        <f t="shared" si="15"/>
        <v>383701.3811061639</v>
      </c>
      <c r="T41" s="2">
        <f t="shared" si="12"/>
        <v>-80577.290032294419</v>
      </c>
      <c r="U41" s="2">
        <f t="shared" si="13"/>
        <v>-303124.09107386949</v>
      </c>
      <c r="V41" s="2">
        <f t="shared" si="14"/>
        <v>0</v>
      </c>
    </row>
    <row r="42" spans="2:22">
      <c r="B42">
        <v>202310</v>
      </c>
      <c r="C42" s="3">
        <f t="shared" si="19"/>
        <v>-10304356.185849497</v>
      </c>
      <c r="D42" s="28">
        <v>-34230.36</v>
      </c>
      <c r="E42" s="22">
        <f t="shared" si="4"/>
        <v>500795.47108556889</v>
      </c>
      <c r="F42" s="24">
        <f t="shared" si="16"/>
        <v>-9837791.0747639276</v>
      </c>
      <c r="G42" s="4">
        <f t="shared" si="17"/>
        <v>2065936.1257004247</v>
      </c>
      <c r="H42" s="4">
        <f t="shared" si="18"/>
        <v>-7771854.9490635032</v>
      </c>
      <c r="I42" s="7">
        <f>'[2]Monthly Tariff Revenue'!I29</f>
        <v>500795.47108556889</v>
      </c>
      <c r="J42" s="2">
        <f t="shared" si="5"/>
        <v>-10862395.9111277</v>
      </c>
      <c r="K42" s="6">
        <f t="shared" si="6"/>
        <v>14587352.468936499</v>
      </c>
      <c r="L42" s="5"/>
      <c r="M42" s="4">
        <f t="shared" si="7"/>
        <v>0</v>
      </c>
      <c r="O42" s="2">
        <f t="shared" si="8"/>
        <v>-500795.47108556889</v>
      </c>
      <c r="P42" s="2">
        <f t="shared" si="9"/>
        <v>500795.47108556889</v>
      </c>
      <c r="Q42" s="2">
        <f t="shared" si="10"/>
        <v>105167.04892796946</v>
      </c>
      <c r="R42" s="2">
        <f t="shared" si="11"/>
        <v>-105167.04892796946</v>
      </c>
      <c r="S42" s="3">
        <f t="shared" si="15"/>
        <v>500795.47108556889</v>
      </c>
      <c r="T42" s="2">
        <f t="shared" si="12"/>
        <v>-105167.04892796946</v>
      </c>
      <c r="U42" s="2">
        <f t="shared" si="13"/>
        <v>-395628.42215759942</v>
      </c>
      <c r="V42" s="2">
        <f t="shared" si="14"/>
        <v>0</v>
      </c>
    </row>
    <row r="43" spans="2:22">
      <c r="B43">
        <v>202311</v>
      </c>
      <c r="C43" s="3">
        <f t="shared" si="19"/>
        <v>-9837791.0747639276</v>
      </c>
      <c r="D43" s="28">
        <v>-34230.36</v>
      </c>
      <c r="E43" s="22">
        <f t="shared" si="4"/>
        <v>933757.176562818</v>
      </c>
      <c r="F43" s="24">
        <f t="shared" si="16"/>
        <v>-8938264.2582011092</v>
      </c>
      <c r="G43" s="4">
        <f t="shared" si="17"/>
        <v>1877035.4942222328</v>
      </c>
      <c r="H43" s="4">
        <f t="shared" si="18"/>
        <v>-7061228.7639788762</v>
      </c>
      <c r="I43" s="7">
        <f>'[2]Monthly Tariff Revenue'!I30</f>
        <v>933757.176562818</v>
      </c>
      <c r="J43" s="2">
        <f t="shared" si="5"/>
        <v>-10091487.855379963</v>
      </c>
      <c r="K43" s="6">
        <f t="shared" si="6"/>
        <v>15297978.654021125</v>
      </c>
      <c r="L43" s="5"/>
      <c r="M43" s="4">
        <f t="shared" si="7"/>
        <v>0</v>
      </c>
      <c r="O43" s="2">
        <f t="shared" si="8"/>
        <v>-933757.176562818</v>
      </c>
      <c r="P43" s="2">
        <f t="shared" si="9"/>
        <v>933757.176562818</v>
      </c>
      <c r="Q43" s="2">
        <f t="shared" si="10"/>
        <v>196089.00707819176</v>
      </c>
      <c r="R43" s="2">
        <f t="shared" si="11"/>
        <v>-196089.00707819176</v>
      </c>
      <c r="S43" s="3">
        <f t="shared" si="15"/>
        <v>933757.176562818</v>
      </c>
      <c r="T43" s="2">
        <f t="shared" si="12"/>
        <v>-196089.00707819176</v>
      </c>
      <c r="U43" s="2">
        <f t="shared" si="13"/>
        <v>-737668.16948462627</v>
      </c>
      <c r="V43" s="2">
        <f t="shared" si="14"/>
        <v>0</v>
      </c>
    </row>
    <row r="44" spans="2:22">
      <c r="B44">
        <v>202312</v>
      </c>
      <c r="C44" s="3">
        <f t="shared" si="19"/>
        <v>-8938264.2582011092</v>
      </c>
      <c r="D44" s="28">
        <v>-1923812.24</v>
      </c>
      <c r="E44" s="21">
        <f t="shared" si="4"/>
        <v>842465.52119557094</v>
      </c>
      <c r="F44" s="24">
        <f t="shared" si="16"/>
        <v>-10019610.977005538</v>
      </c>
      <c r="G44" s="4">
        <f t="shared" si="17"/>
        <v>2104118.3051711628</v>
      </c>
      <c r="H44" s="4">
        <f t="shared" si="18"/>
        <v>-7915492.6718343748</v>
      </c>
      <c r="I44" s="7">
        <f>'[2]Monthly Tariff Revenue'!I31</f>
        <v>842465.52119557094</v>
      </c>
      <c r="J44" s="2">
        <f t="shared" si="5"/>
        <v>-9412618.1692513544</v>
      </c>
      <c r="K44" s="6">
        <f t="shared" si="6"/>
        <v>14443714.746165626</v>
      </c>
      <c r="L44" s="5"/>
      <c r="M44" s="4">
        <f t="shared" si="7"/>
        <v>0</v>
      </c>
      <c r="O44" s="2">
        <f t="shared" si="8"/>
        <v>-842465.52119557094</v>
      </c>
      <c r="P44" s="2">
        <f t="shared" si="9"/>
        <v>842465.52119557094</v>
      </c>
      <c r="Q44" s="2">
        <f t="shared" si="10"/>
        <v>176917.7594510699</v>
      </c>
      <c r="R44" s="2">
        <f t="shared" si="11"/>
        <v>-176917.7594510699</v>
      </c>
      <c r="S44" s="3">
        <f t="shared" si="15"/>
        <v>842465.52119557094</v>
      </c>
      <c r="T44" s="2">
        <f t="shared" si="12"/>
        <v>-176917.7594510699</v>
      </c>
      <c r="U44" s="2">
        <f t="shared" si="13"/>
        <v>-665547.76174450107</v>
      </c>
      <c r="V44" s="2">
        <f t="shared" si="14"/>
        <v>0</v>
      </c>
    </row>
    <row r="45" spans="2:22">
      <c r="B45">
        <v>202401</v>
      </c>
      <c r="C45" s="3">
        <f t="shared" si="19"/>
        <v>-10019610.977005538</v>
      </c>
      <c r="D45" s="28">
        <v>-75311.509999999995</v>
      </c>
      <c r="E45" s="21">
        <f t="shared" si="4"/>
        <v>1048405.7478904694</v>
      </c>
      <c r="F45" s="24">
        <f t="shared" si="16"/>
        <v>-9046516.7391150687</v>
      </c>
      <c r="G45" s="4">
        <f t="shared" si="17"/>
        <v>1899768.5152141643</v>
      </c>
      <c r="H45" s="4">
        <f t="shared" si="18"/>
        <v>-7146748.2239009049</v>
      </c>
      <c r="I45" s="7">
        <f>'[2]Monthly Tariff Revenue'!I32</f>
        <v>1048405.7478904694</v>
      </c>
      <c r="J45" s="2">
        <f t="shared" si="5"/>
        <v>-8867731.2110192161</v>
      </c>
      <c r="K45" s="6">
        <f t="shared" si="6"/>
        <v>15212459.194099097</v>
      </c>
      <c r="L45" s="5"/>
      <c r="M45" s="4">
        <f t="shared" si="7"/>
        <v>0</v>
      </c>
      <c r="O45" s="2">
        <f t="shared" si="8"/>
        <v>-1048405.7478904694</v>
      </c>
      <c r="P45" s="2">
        <f t="shared" si="9"/>
        <v>1048405.7478904694</v>
      </c>
      <c r="Q45" s="2">
        <f t="shared" si="10"/>
        <v>220165.20705699857</v>
      </c>
      <c r="R45" s="2">
        <f t="shared" si="11"/>
        <v>-220165.20705699857</v>
      </c>
      <c r="S45" s="3">
        <f t="shared" si="15"/>
        <v>1048405.7478904694</v>
      </c>
      <c r="T45" s="2">
        <f t="shared" si="12"/>
        <v>-220165.20705699857</v>
      </c>
      <c r="U45" s="2">
        <f t="shared" si="13"/>
        <v>-828240.54083347088</v>
      </c>
      <c r="V45" s="2">
        <f t="shared" si="14"/>
        <v>0</v>
      </c>
    </row>
    <row r="46" spans="2:22">
      <c r="B46">
        <v>202402</v>
      </c>
      <c r="C46" s="3">
        <f t="shared" si="19"/>
        <v>-9046516.7391150687</v>
      </c>
      <c r="D46" s="28">
        <v>-75311.509999999995</v>
      </c>
      <c r="E46" s="21">
        <f t="shared" si="4"/>
        <v>784307.08713784069</v>
      </c>
      <c r="F46" s="24">
        <f t="shared" si="16"/>
        <v>-8337521.1619772278</v>
      </c>
      <c r="G46" s="4">
        <f t="shared" si="17"/>
        <v>1750879.4440152177</v>
      </c>
      <c r="H46" s="4">
        <f t="shared" si="18"/>
        <v>-6586641.7179620098</v>
      </c>
      <c r="I46" s="7">
        <f>'[2]Monthly Tariff Revenue'!I33</f>
        <v>784307.08713784069</v>
      </c>
      <c r="J46" s="2">
        <f t="shared" si="5"/>
        <v>-8416359.4184774291</v>
      </c>
      <c r="K46" s="6">
        <f t="shared" si="6"/>
        <v>15772565.700037992</v>
      </c>
      <c r="L46" s="5"/>
      <c r="M46" s="4">
        <f t="shared" si="7"/>
        <v>0</v>
      </c>
      <c r="O46" s="2">
        <f t="shared" si="8"/>
        <v>-784307.08713784069</v>
      </c>
      <c r="P46" s="2">
        <f t="shared" si="9"/>
        <v>784307.08713784069</v>
      </c>
      <c r="Q46" s="2">
        <f t="shared" si="10"/>
        <v>164704.48829894653</v>
      </c>
      <c r="R46" s="2">
        <f t="shared" si="11"/>
        <v>-164704.48829894653</v>
      </c>
      <c r="S46" s="3">
        <f t="shared" si="15"/>
        <v>784307.08713784069</v>
      </c>
      <c r="T46" s="2">
        <f t="shared" si="12"/>
        <v>-164704.48829894653</v>
      </c>
      <c r="U46" s="2">
        <f t="shared" si="13"/>
        <v>-619602.59883889416</v>
      </c>
      <c r="V46" s="2">
        <f t="shared" si="14"/>
        <v>0</v>
      </c>
    </row>
    <row r="47" spans="2:22">
      <c r="B47">
        <v>202403</v>
      </c>
      <c r="C47" s="3">
        <f t="shared" si="19"/>
        <v>-8337521.1619772278</v>
      </c>
      <c r="D47" s="28">
        <v>-75311.509999999995</v>
      </c>
      <c r="E47" s="21">
        <f t="shared" si="4"/>
        <v>601553.76147478609</v>
      </c>
      <c r="F47" s="24">
        <f t="shared" si="16"/>
        <v>-7811278.9105024412</v>
      </c>
      <c r="G47" s="4">
        <f t="shared" si="17"/>
        <v>1640368.5712055126</v>
      </c>
      <c r="H47" s="4">
        <f t="shared" si="18"/>
        <v>-6170910.3392969286</v>
      </c>
      <c r="I47" s="7">
        <f>'[2]Monthly Tariff Revenue'!I34</f>
        <v>601553.76147478609</v>
      </c>
      <c r="J47" s="2">
        <f t="shared" si="5"/>
        <v>-8048093.3376144916</v>
      </c>
      <c r="K47" s="6">
        <f t="shared" si="6"/>
        <v>16188297.078703072</v>
      </c>
      <c r="L47" s="5"/>
      <c r="M47" s="4">
        <f t="shared" si="7"/>
        <v>0</v>
      </c>
      <c r="O47" s="2">
        <f t="shared" si="8"/>
        <v>-601553.76147478609</v>
      </c>
      <c r="P47" s="2">
        <f t="shared" si="9"/>
        <v>601553.76147478609</v>
      </c>
      <c r="Q47" s="2">
        <f t="shared" si="10"/>
        <v>126326.28990970507</v>
      </c>
      <c r="R47" s="2">
        <f t="shared" si="11"/>
        <v>-126326.28990970507</v>
      </c>
      <c r="S47" s="3">
        <f t="shared" si="15"/>
        <v>601553.76147478609</v>
      </c>
      <c r="T47" s="2">
        <f t="shared" si="12"/>
        <v>-126326.28990970507</v>
      </c>
      <c r="U47" s="2">
        <f t="shared" si="13"/>
        <v>-475227.47156508104</v>
      </c>
      <c r="V47" s="2">
        <f t="shared" si="14"/>
        <v>0</v>
      </c>
    </row>
    <row r="48" spans="2:22">
      <c r="B48">
        <v>202404</v>
      </c>
      <c r="C48" s="3">
        <f t="shared" si="19"/>
        <v>-7811278.9105024412</v>
      </c>
      <c r="D48" s="28">
        <v>-75311.509999999995</v>
      </c>
      <c r="E48" s="21">
        <f t="shared" si="4"/>
        <v>279550.92217087356</v>
      </c>
      <c r="F48" s="24">
        <f t="shared" si="16"/>
        <v>-7607039.4983315673</v>
      </c>
      <c r="G48" s="4">
        <f t="shared" si="17"/>
        <v>1597478.2946496292</v>
      </c>
      <c r="H48" s="4">
        <f t="shared" si="18"/>
        <v>-6009561.2036819384</v>
      </c>
      <c r="I48" s="7">
        <f>'[2]Monthly Tariff Revenue'!I35</f>
        <v>279550.92217087356</v>
      </c>
      <c r="J48" s="2">
        <f t="shared" si="5"/>
        <v>-7749572.0778017556</v>
      </c>
      <c r="K48" s="6">
        <f t="shared" si="6"/>
        <v>16349646.214318063</v>
      </c>
      <c r="L48" s="5"/>
      <c r="M48" s="4">
        <f t="shared" si="7"/>
        <v>0</v>
      </c>
      <c r="O48" s="2">
        <f t="shared" si="8"/>
        <v>-279550.92217087356</v>
      </c>
      <c r="P48" s="2">
        <f t="shared" si="9"/>
        <v>279550.92217087356</v>
      </c>
      <c r="Q48" s="2">
        <f t="shared" si="10"/>
        <v>58705.693655883442</v>
      </c>
      <c r="R48" s="2">
        <f t="shared" si="11"/>
        <v>-58705.693655883442</v>
      </c>
      <c r="S48" s="3">
        <f t="shared" si="15"/>
        <v>279550.92217087356</v>
      </c>
      <c r="T48" s="2">
        <f t="shared" si="12"/>
        <v>-58705.693655883442</v>
      </c>
      <c r="U48" s="2">
        <f t="shared" si="13"/>
        <v>-220845.22851499013</v>
      </c>
      <c r="V48" s="2">
        <f t="shared" si="14"/>
        <v>0</v>
      </c>
    </row>
    <row r="49" spans="2:22">
      <c r="B49">
        <v>202405</v>
      </c>
      <c r="C49" s="3">
        <f t="shared" si="19"/>
        <v>-7607039.4983315673</v>
      </c>
      <c r="D49" s="28">
        <v>-75311.509999999995</v>
      </c>
      <c r="E49" s="21">
        <f t="shared" si="4"/>
        <v>137997.88493046648</v>
      </c>
      <c r="F49" s="24">
        <f t="shared" si="16"/>
        <v>-7544353.1234011007</v>
      </c>
      <c r="G49" s="4">
        <f t="shared" si="17"/>
        <v>1584314.1559142312</v>
      </c>
      <c r="H49" s="4">
        <f t="shared" si="18"/>
        <v>-5960038.9674868695</v>
      </c>
      <c r="I49" s="7">
        <f>'[2]Monthly Tariff Revenue'!I36</f>
        <v>137997.88493046648</v>
      </c>
      <c r="J49" s="2">
        <f t="shared" si="5"/>
        <v>-7490416.7471865015</v>
      </c>
      <c r="K49" s="6">
        <f t="shared" si="6"/>
        <v>16399168.450513132</v>
      </c>
      <c r="L49" s="5"/>
      <c r="M49" s="4">
        <f t="shared" si="7"/>
        <v>0</v>
      </c>
      <c r="O49" s="2">
        <f t="shared" si="8"/>
        <v>-137997.88493046648</v>
      </c>
      <c r="P49" s="2">
        <f t="shared" si="9"/>
        <v>137997.88493046648</v>
      </c>
      <c r="Q49" s="2">
        <f t="shared" si="10"/>
        <v>28979.555835397958</v>
      </c>
      <c r="R49" s="2">
        <f t="shared" si="11"/>
        <v>-28979.555835397958</v>
      </c>
      <c r="S49" s="3">
        <f t="shared" si="15"/>
        <v>137997.88493046648</v>
      </c>
      <c r="T49" s="2">
        <f t="shared" si="12"/>
        <v>-28979.555835397958</v>
      </c>
      <c r="U49" s="2">
        <f t="shared" si="13"/>
        <v>-109018.32909506852</v>
      </c>
      <c r="V49" s="2">
        <f t="shared" si="14"/>
        <v>0</v>
      </c>
    </row>
    <row r="50" spans="2:22">
      <c r="B50">
        <v>202406</v>
      </c>
      <c r="C50" s="3">
        <f t="shared" si="19"/>
        <v>-7544353.1234011007</v>
      </c>
      <c r="D50" s="28">
        <v>-75311.509999999995</v>
      </c>
      <c r="E50" s="21">
        <f t="shared" ref="E50:E56" si="20">S50</f>
        <v>108217.236995838</v>
      </c>
      <c r="F50" s="24">
        <f t="shared" si="16"/>
        <v>-7511447.3964052629</v>
      </c>
      <c r="G50" s="4">
        <f t="shared" si="17"/>
        <v>1577403.9532451052</v>
      </c>
      <c r="H50" s="4">
        <f t="shared" si="18"/>
        <v>-5934043.4431601577</v>
      </c>
      <c r="I50" s="7">
        <f>'[2]Monthly Tariff Revenue'!I37</f>
        <v>108217.236995838</v>
      </c>
      <c r="J50" s="2">
        <f t="shared" ref="J50:J68" si="21">(((H38+H50)/2)+H39+H40+H41+H42+H43+H44+H45+H46+H47+H48+H49)/12</f>
        <v>-7248875.4460033616</v>
      </c>
      <c r="K50" s="6">
        <f t="shared" si="6"/>
        <v>16425163.974839844</v>
      </c>
      <c r="L50" s="5"/>
      <c r="M50" s="4">
        <f t="shared" ref="M50:M68" si="22">M49+L50</f>
        <v>0</v>
      </c>
      <c r="O50" s="2">
        <f t="shared" ref="O50:O68" si="23">-I50</f>
        <v>-108217.236995838</v>
      </c>
      <c r="P50" s="2">
        <f t="shared" ref="P50:P68" si="24">-O50</f>
        <v>108217.236995838</v>
      </c>
      <c r="Q50" s="2">
        <f t="shared" ref="Q50:Q68" si="25">-R50</f>
        <v>22725.61976912598</v>
      </c>
      <c r="R50" s="2">
        <f t="shared" ref="R50:R68" si="26">P50*-$R$2</f>
        <v>-22725.61976912598</v>
      </c>
      <c r="S50" s="3">
        <f t="shared" si="15"/>
        <v>108217.236995838</v>
      </c>
      <c r="T50" s="2">
        <f t="shared" ref="T50:T68" si="27">S50*-$R$2</f>
        <v>-22725.61976912598</v>
      </c>
      <c r="U50" s="2">
        <f t="shared" ref="U50:U68" si="28">-S50-T50</f>
        <v>-85491.617226712027</v>
      </c>
      <c r="V50" s="2">
        <f t="shared" ref="V50:V68" si="29">P50+R50+U50</f>
        <v>0</v>
      </c>
    </row>
    <row r="51" spans="2:22">
      <c r="B51">
        <v>202407</v>
      </c>
      <c r="C51" s="3">
        <f t="shared" si="19"/>
        <v>-7511447.3964052629</v>
      </c>
      <c r="D51" s="28">
        <v>-75311.509999999995</v>
      </c>
      <c r="E51" s="21">
        <f t="shared" si="20"/>
        <v>85466.927743472377</v>
      </c>
      <c r="F51" s="24">
        <f t="shared" si="16"/>
        <v>-7501291.9786617905</v>
      </c>
      <c r="G51" s="4">
        <f t="shared" si="17"/>
        <v>1575271.315518976</v>
      </c>
      <c r="H51" s="4">
        <f t="shared" si="18"/>
        <v>-5926020.6631428143</v>
      </c>
      <c r="I51" s="7">
        <f>'[2]Monthly Tariff Revenue'!I38</f>
        <v>85466.927743472377</v>
      </c>
      <c r="J51" s="2">
        <f t="shared" si="21"/>
        <v>-7022913.2196433134</v>
      </c>
      <c r="K51" s="6">
        <f t="shared" si="6"/>
        <v>16433186.754857186</v>
      </c>
      <c r="L51" s="5"/>
      <c r="M51" s="4">
        <f t="shared" si="22"/>
        <v>0</v>
      </c>
      <c r="O51" s="2">
        <f t="shared" si="23"/>
        <v>-85466.927743472377</v>
      </c>
      <c r="P51" s="2">
        <f t="shared" si="24"/>
        <v>85466.927743472377</v>
      </c>
      <c r="Q51" s="2">
        <f t="shared" si="25"/>
        <v>17948.054826129199</v>
      </c>
      <c r="R51" s="2">
        <f t="shared" si="26"/>
        <v>-17948.054826129199</v>
      </c>
      <c r="S51" s="3">
        <f t="shared" si="15"/>
        <v>85466.927743472377</v>
      </c>
      <c r="T51" s="2">
        <f t="shared" si="27"/>
        <v>-17948.054826129199</v>
      </c>
      <c r="U51" s="2">
        <f t="shared" si="28"/>
        <v>-67518.872917343178</v>
      </c>
      <c r="V51" s="2">
        <f t="shared" si="29"/>
        <v>0</v>
      </c>
    </row>
    <row r="52" spans="2:22">
      <c r="B52">
        <v>202408</v>
      </c>
      <c r="C52" s="3">
        <f t="shared" si="19"/>
        <v>-7501291.9786617905</v>
      </c>
      <c r="D52" s="28">
        <v>-75311.509999999995</v>
      </c>
      <c r="E52" s="21">
        <f t="shared" si="20"/>
        <v>105561.70148410169</v>
      </c>
      <c r="F52" s="24">
        <f t="shared" si="16"/>
        <v>-7471041.7871776884</v>
      </c>
      <c r="G52" s="4">
        <f t="shared" si="17"/>
        <v>1568918.7753073145</v>
      </c>
      <c r="H52" s="4">
        <f t="shared" si="18"/>
        <v>-5902123.011870374</v>
      </c>
      <c r="I52" s="7">
        <f>'[2]Monthly Tariff Revenue'!I39</f>
        <v>105561.70148410169</v>
      </c>
      <c r="J52" s="2">
        <f t="shared" si="21"/>
        <v>-6812107.7115468467</v>
      </c>
      <c r="K52" s="6">
        <f t="shared" si="6"/>
        <v>16457084.406129628</v>
      </c>
      <c r="L52" s="5"/>
      <c r="M52" s="4">
        <f t="shared" si="22"/>
        <v>0</v>
      </c>
      <c r="O52" s="2">
        <f t="shared" si="23"/>
        <v>-105561.70148410169</v>
      </c>
      <c r="P52" s="2">
        <f t="shared" si="24"/>
        <v>105561.70148410169</v>
      </c>
      <c r="Q52" s="2">
        <f t="shared" si="25"/>
        <v>22167.957311661354</v>
      </c>
      <c r="R52" s="2">
        <f t="shared" si="26"/>
        <v>-22167.957311661354</v>
      </c>
      <c r="S52" s="3">
        <f t="shared" si="15"/>
        <v>105561.70148410169</v>
      </c>
      <c r="T52" s="2">
        <f t="shared" si="27"/>
        <v>-22167.957311661354</v>
      </c>
      <c r="U52" s="2">
        <f t="shared" si="28"/>
        <v>-83393.744172440347</v>
      </c>
      <c r="V52" s="2">
        <f t="shared" si="29"/>
        <v>0</v>
      </c>
    </row>
    <row r="53" spans="2:22">
      <c r="B53">
        <v>202409</v>
      </c>
      <c r="C53" s="3">
        <f t="shared" si="19"/>
        <v>-7471041.7871776884</v>
      </c>
      <c r="D53" s="28">
        <v>-75311.509999999995</v>
      </c>
      <c r="E53" s="21">
        <f t="shared" si="20"/>
        <v>174185.80361674982</v>
      </c>
      <c r="F53" s="24">
        <f t="shared" si="16"/>
        <v>-7372167.4935609382</v>
      </c>
      <c r="G53" s="4">
        <f t="shared" si="17"/>
        <v>1548155.173647797</v>
      </c>
      <c r="H53" s="4">
        <f t="shared" si="18"/>
        <v>-5824012.3199131414</v>
      </c>
      <c r="I53" s="7">
        <f>'[2]Monthly Tariff Revenue'!I40</f>
        <v>174185.80361674982</v>
      </c>
      <c r="J53" s="2">
        <f t="shared" si="21"/>
        <v>-6613907.5673954897</v>
      </c>
      <c r="K53" s="6">
        <f t="shared" si="6"/>
        <v>16535195.09808686</v>
      </c>
      <c r="L53" s="5"/>
      <c r="M53" s="4">
        <f t="shared" si="22"/>
        <v>0</v>
      </c>
      <c r="O53" s="2">
        <f t="shared" si="23"/>
        <v>-174185.80361674982</v>
      </c>
      <c r="P53" s="2">
        <f t="shared" si="24"/>
        <v>174185.80361674982</v>
      </c>
      <c r="Q53" s="2">
        <f t="shared" si="25"/>
        <v>36579.018759517458</v>
      </c>
      <c r="R53" s="2">
        <f t="shared" si="26"/>
        <v>-36579.018759517458</v>
      </c>
      <c r="S53" s="3">
        <f t="shared" si="15"/>
        <v>174185.80361674982</v>
      </c>
      <c r="T53" s="2">
        <f t="shared" si="27"/>
        <v>-36579.018759517458</v>
      </c>
      <c r="U53" s="2">
        <f t="shared" si="28"/>
        <v>-137606.78485723236</v>
      </c>
      <c r="V53" s="2">
        <f t="shared" si="29"/>
        <v>0</v>
      </c>
    </row>
    <row r="54" spans="2:22">
      <c r="B54">
        <v>202410</v>
      </c>
      <c r="C54" s="3">
        <f t="shared" si="19"/>
        <v>-7372167.4935609382</v>
      </c>
      <c r="D54" s="28">
        <v>-75311.509999999995</v>
      </c>
      <c r="E54" s="21">
        <f t="shared" si="20"/>
        <v>540509.76384552568</v>
      </c>
      <c r="F54" s="24">
        <f t="shared" si="16"/>
        <v>-6906969.2397154123</v>
      </c>
      <c r="G54" s="4">
        <f t="shared" si="17"/>
        <v>1450463.5403402366</v>
      </c>
      <c r="H54" s="4">
        <f t="shared" si="18"/>
        <v>-5456505.6993751759</v>
      </c>
      <c r="I54" s="7">
        <f>'[2]Monthly Tariff Revenue'!I41</f>
        <v>540509.76384552568</v>
      </c>
      <c r="J54" s="2">
        <f t="shared" si="21"/>
        <v>-6420916.8042039769</v>
      </c>
      <c r="K54" s="6">
        <f t="shared" si="6"/>
        <v>16902701.718624827</v>
      </c>
      <c r="L54" s="5"/>
      <c r="M54" s="4">
        <f t="shared" si="22"/>
        <v>0</v>
      </c>
      <c r="O54" s="2">
        <f t="shared" si="23"/>
        <v>-540509.76384552568</v>
      </c>
      <c r="P54" s="2">
        <f t="shared" si="24"/>
        <v>540509.76384552568</v>
      </c>
      <c r="Q54" s="2">
        <f t="shared" si="25"/>
        <v>113507.05040756038</v>
      </c>
      <c r="R54" s="2">
        <f t="shared" si="26"/>
        <v>-113507.05040756038</v>
      </c>
      <c r="S54" s="3">
        <f t="shared" si="15"/>
        <v>540509.76384552568</v>
      </c>
      <c r="T54" s="2">
        <f t="shared" si="27"/>
        <v>-113507.05040756038</v>
      </c>
      <c r="U54" s="2">
        <f t="shared" si="28"/>
        <v>-427002.71343796531</v>
      </c>
      <c r="V54" s="2">
        <f t="shared" si="29"/>
        <v>0</v>
      </c>
    </row>
    <row r="55" spans="2:22">
      <c r="B55">
        <v>202411</v>
      </c>
      <c r="C55" s="3">
        <f t="shared" si="19"/>
        <v>-6906969.2397154123</v>
      </c>
      <c r="D55" s="28">
        <v>-75311.509999999995</v>
      </c>
      <c r="E55" s="21">
        <f t="shared" si="20"/>
        <v>907616.72388014605</v>
      </c>
      <c r="F55" s="24">
        <f t="shared" si="16"/>
        <v>-6074664.0258352663</v>
      </c>
      <c r="G55" s="4">
        <f t="shared" si="17"/>
        <v>1275679.4454254059</v>
      </c>
      <c r="H55" s="4">
        <f t="shared" si="18"/>
        <v>-4798984.5804098602</v>
      </c>
      <c r="I55" s="7">
        <f>'[2]Monthly Tariff Revenue'!I42</f>
        <v>907616.72388014605</v>
      </c>
      <c r="J55" s="2">
        <f t="shared" si="21"/>
        <v>-6230183.7444849228</v>
      </c>
      <c r="K55" s="6">
        <f t="shared" si="6"/>
        <v>17560222.837590143</v>
      </c>
      <c r="L55" s="5"/>
      <c r="M55" s="4">
        <f t="shared" si="22"/>
        <v>0</v>
      </c>
      <c r="O55" s="2">
        <f t="shared" si="23"/>
        <v>-907616.72388014605</v>
      </c>
      <c r="P55" s="2">
        <f t="shared" si="24"/>
        <v>907616.72388014605</v>
      </c>
      <c r="Q55" s="2">
        <f t="shared" si="25"/>
        <v>190599.51201483066</v>
      </c>
      <c r="R55" s="2">
        <f t="shared" si="26"/>
        <v>-190599.51201483066</v>
      </c>
      <c r="S55" s="3">
        <f t="shared" si="15"/>
        <v>907616.72388014605</v>
      </c>
      <c r="T55" s="2">
        <f t="shared" si="27"/>
        <v>-190599.51201483066</v>
      </c>
      <c r="U55" s="2">
        <f t="shared" si="28"/>
        <v>-717017.21186531545</v>
      </c>
      <c r="V55" s="2">
        <f t="shared" si="29"/>
        <v>0</v>
      </c>
    </row>
    <row r="56" spans="2:22" ht="15">
      <c r="B56">
        <v>202412</v>
      </c>
      <c r="C56" s="3">
        <f t="shared" si="19"/>
        <v>-6074664.0258352663</v>
      </c>
      <c r="D56" s="28">
        <v>-75311.509999999995</v>
      </c>
      <c r="E56" s="21">
        <f t="shared" si="20"/>
        <v>713909.2357423635</v>
      </c>
      <c r="F56" s="29">
        <f t="shared" si="16"/>
        <v>-5436066.300092903</v>
      </c>
      <c r="G56" s="4">
        <f t="shared" si="17"/>
        <v>1141573.9230195095</v>
      </c>
      <c r="H56" s="4">
        <f t="shared" si="18"/>
        <v>-4294492.3770733932</v>
      </c>
      <c r="I56" s="7">
        <f>'[2]Monthly Tariff Revenue'!I43</f>
        <v>713909.2357423635</v>
      </c>
      <c r="J56" s="2">
        <f t="shared" si="21"/>
        <v>-5985048.5578878382</v>
      </c>
      <c r="K56" s="6">
        <f t="shared" si="6"/>
        <v>18064715.040926609</v>
      </c>
      <c r="L56" s="5"/>
      <c r="M56" s="4">
        <f t="shared" si="22"/>
        <v>0</v>
      </c>
      <c r="O56" s="2">
        <f t="shared" si="23"/>
        <v>-713909.2357423635</v>
      </c>
      <c r="P56" s="2">
        <f t="shared" si="24"/>
        <v>713909.2357423635</v>
      </c>
      <c r="Q56" s="2">
        <f t="shared" si="25"/>
        <v>149920.93950589633</v>
      </c>
      <c r="R56" s="2">
        <f t="shared" si="26"/>
        <v>-149920.93950589633</v>
      </c>
      <c r="S56" s="3">
        <f t="shared" si="15"/>
        <v>713909.2357423635</v>
      </c>
      <c r="T56" s="2">
        <f t="shared" si="27"/>
        <v>-149920.93950589633</v>
      </c>
      <c r="U56" s="2">
        <f t="shared" si="28"/>
        <v>-563988.2962364672</v>
      </c>
      <c r="V56" s="2">
        <f t="shared" si="29"/>
        <v>0</v>
      </c>
    </row>
    <row r="57" spans="2:22">
      <c r="B57">
        <v>202501</v>
      </c>
      <c r="C57" s="3"/>
      <c r="D57" s="26">
        <f t="shared" ref="D57:D68" si="30">-923080.25/12</f>
        <v>-76923.354166666672</v>
      </c>
      <c r="E57" s="32" t="s">
        <v>21</v>
      </c>
      <c r="F57" s="30" t="s">
        <v>25</v>
      </c>
      <c r="G57" s="4">
        <v>0</v>
      </c>
      <c r="H57" s="4">
        <f t="shared" si="18"/>
        <v>0</v>
      </c>
      <c r="I57" s="7">
        <f>'[2]Monthly Tariff Revenue'!I44</f>
        <v>0</v>
      </c>
      <c r="J57" s="2">
        <f t="shared" si="21"/>
        <v>-5536392.3696102602</v>
      </c>
      <c r="K57" s="6">
        <f t="shared" ref="K57:K68" si="31">J57-$J$38</f>
        <v>8326425.012882988</v>
      </c>
      <c r="L57" s="5"/>
      <c r="M57" s="4">
        <f t="shared" si="22"/>
        <v>0</v>
      </c>
      <c r="O57" s="2">
        <f t="shared" si="23"/>
        <v>0</v>
      </c>
      <c r="P57" s="2">
        <f t="shared" si="24"/>
        <v>0</v>
      </c>
      <c r="Q57" s="2">
        <f t="shared" si="25"/>
        <v>0</v>
      </c>
      <c r="R57" s="2">
        <f t="shared" si="26"/>
        <v>0</v>
      </c>
      <c r="S57" s="3">
        <f t="shared" si="15"/>
        <v>0</v>
      </c>
      <c r="T57" s="2">
        <f t="shared" si="27"/>
        <v>0</v>
      </c>
      <c r="U57" s="2">
        <f t="shared" si="28"/>
        <v>0</v>
      </c>
      <c r="V57" s="2">
        <f t="shared" si="29"/>
        <v>0</v>
      </c>
    </row>
    <row r="58" spans="2:22">
      <c r="B58">
        <f t="shared" ref="B58:B68" si="32">B57+1</f>
        <v>202502</v>
      </c>
      <c r="C58" s="3"/>
      <c r="D58" s="26">
        <f t="shared" si="30"/>
        <v>-76923.354166666672</v>
      </c>
      <c r="E58" s="32" t="s">
        <v>22</v>
      </c>
      <c r="F58" s="30" t="s">
        <v>26</v>
      </c>
      <c r="G58" s="4">
        <v>0</v>
      </c>
      <c r="H58" s="4">
        <f t="shared" si="18"/>
        <v>0</v>
      </c>
      <c r="I58" s="7">
        <f>'[2]Monthly Tariff Revenue'!I45</f>
        <v>0</v>
      </c>
      <c r="J58" s="2">
        <f t="shared" si="21"/>
        <v>-4964167.7886993047</v>
      </c>
      <c r="K58" s="6">
        <f t="shared" si="31"/>
        <v>8898649.5937939435</v>
      </c>
      <c r="L58" s="5"/>
      <c r="M58" s="4">
        <f t="shared" si="22"/>
        <v>0</v>
      </c>
      <c r="O58" s="2">
        <f t="shared" si="23"/>
        <v>0</v>
      </c>
      <c r="P58" s="2">
        <f t="shared" si="24"/>
        <v>0</v>
      </c>
      <c r="Q58" s="2">
        <f t="shared" si="25"/>
        <v>0</v>
      </c>
      <c r="R58" s="2">
        <f t="shared" si="26"/>
        <v>0</v>
      </c>
      <c r="S58" s="3">
        <f t="shared" si="15"/>
        <v>0</v>
      </c>
      <c r="T58" s="2">
        <f t="shared" si="27"/>
        <v>0</v>
      </c>
      <c r="U58" s="2">
        <f t="shared" si="28"/>
        <v>0</v>
      </c>
      <c r="V58" s="2">
        <f t="shared" si="29"/>
        <v>0</v>
      </c>
    </row>
    <row r="59" spans="2:22">
      <c r="B59">
        <f t="shared" si="32"/>
        <v>202503</v>
      </c>
      <c r="C59" s="3">
        <v>0</v>
      </c>
      <c r="D59" s="26">
        <f t="shared" si="30"/>
        <v>-76923.354166666672</v>
      </c>
      <c r="E59" s="32" t="s">
        <v>23</v>
      </c>
      <c r="F59" s="24"/>
      <c r="G59" s="4">
        <f t="shared" si="17"/>
        <v>0</v>
      </c>
      <c r="H59" s="4">
        <f t="shared" si="18"/>
        <v>0</v>
      </c>
      <c r="I59" s="7">
        <f>'[2]Monthly Tariff Revenue'!I46</f>
        <v>0</v>
      </c>
      <c r="J59" s="2">
        <f t="shared" si="21"/>
        <v>-4432603.1196468491</v>
      </c>
      <c r="K59" s="6">
        <f t="shared" si="31"/>
        <v>9430214.2628463991</v>
      </c>
      <c r="L59" s="5"/>
      <c r="M59" s="4">
        <f t="shared" si="22"/>
        <v>0</v>
      </c>
      <c r="O59" s="2">
        <f t="shared" si="23"/>
        <v>0</v>
      </c>
      <c r="P59" s="2">
        <f t="shared" si="24"/>
        <v>0</v>
      </c>
      <c r="Q59" s="2">
        <f t="shared" si="25"/>
        <v>0</v>
      </c>
      <c r="R59" s="2">
        <f t="shared" si="26"/>
        <v>0</v>
      </c>
      <c r="S59" s="3">
        <f t="shared" si="15"/>
        <v>0</v>
      </c>
      <c r="T59" s="2">
        <f t="shared" si="27"/>
        <v>0</v>
      </c>
      <c r="U59" s="2">
        <f t="shared" si="28"/>
        <v>0</v>
      </c>
      <c r="V59" s="2">
        <f t="shared" si="29"/>
        <v>0</v>
      </c>
    </row>
    <row r="60" spans="2:22">
      <c r="B60">
        <f t="shared" si="32"/>
        <v>202504</v>
      </c>
      <c r="C60" s="3"/>
      <c r="D60" s="26">
        <f t="shared" si="30"/>
        <v>-76923.354166666672</v>
      </c>
      <c r="E60" s="32" t="s">
        <v>23</v>
      </c>
      <c r="F60" s="24"/>
      <c r="G60" s="4">
        <f t="shared" si="17"/>
        <v>0</v>
      </c>
      <c r="H60" s="4">
        <f t="shared" si="18"/>
        <v>0</v>
      </c>
      <c r="I60" s="7">
        <f>'[2]Monthly Tariff Revenue'!I47</f>
        <v>0</v>
      </c>
      <c r="J60" s="2">
        <f t="shared" si="21"/>
        <v>-3925083.4720227295</v>
      </c>
      <c r="K60" s="6">
        <f t="shared" si="31"/>
        <v>9937733.9104705192</v>
      </c>
      <c r="L60" s="5"/>
      <c r="M60" s="4">
        <f t="shared" si="22"/>
        <v>0</v>
      </c>
      <c r="O60" s="2">
        <f t="shared" si="23"/>
        <v>0</v>
      </c>
      <c r="P60" s="2">
        <f t="shared" si="24"/>
        <v>0</v>
      </c>
      <c r="Q60" s="2">
        <f t="shared" si="25"/>
        <v>0</v>
      </c>
      <c r="R60" s="2">
        <f t="shared" si="26"/>
        <v>0</v>
      </c>
      <c r="S60" s="3">
        <f t="shared" si="15"/>
        <v>0</v>
      </c>
      <c r="T60" s="2">
        <f t="shared" si="27"/>
        <v>0</v>
      </c>
      <c r="U60" s="2">
        <f t="shared" si="28"/>
        <v>0</v>
      </c>
      <c r="V60" s="2">
        <f t="shared" si="29"/>
        <v>0</v>
      </c>
    </row>
    <row r="61" spans="2:22">
      <c r="B61">
        <f t="shared" si="32"/>
        <v>202505</v>
      </c>
      <c r="C61" s="3"/>
      <c r="D61" s="26">
        <f t="shared" si="30"/>
        <v>-76923.354166666672</v>
      </c>
      <c r="E61" s="32" t="s">
        <v>23</v>
      </c>
      <c r="F61" s="24"/>
      <c r="G61" s="4">
        <f t="shared" si="17"/>
        <v>0</v>
      </c>
      <c r="H61" s="4">
        <f t="shared" si="18"/>
        <v>0</v>
      </c>
      <c r="I61" s="7">
        <f>'[2]Monthly Tariff Revenue'!I48</f>
        <v>0</v>
      </c>
      <c r="J61" s="2">
        <f t="shared" si="21"/>
        <v>-3426350.1315573622</v>
      </c>
      <c r="K61" s="6">
        <f t="shared" si="31"/>
        <v>10436467.250935886</v>
      </c>
      <c r="L61" s="5"/>
      <c r="M61" s="4">
        <f t="shared" si="22"/>
        <v>0</v>
      </c>
      <c r="O61" s="2">
        <f t="shared" si="23"/>
        <v>0</v>
      </c>
      <c r="P61" s="2">
        <f t="shared" si="24"/>
        <v>0</v>
      </c>
      <c r="Q61" s="2">
        <f t="shared" si="25"/>
        <v>0</v>
      </c>
      <c r="R61" s="2">
        <f t="shared" si="26"/>
        <v>0</v>
      </c>
      <c r="S61" s="3">
        <f t="shared" si="15"/>
        <v>0</v>
      </c>
      <c r="T61" s="2">
        <f t="shared" si="27"/>
        <v>0</v>
      </c>
      <c r="U61" s="2">
        <f t="shared" si="28"/>
        <v>0</v>
      </c>
      <c r="V61" s="2">
        <f t="shared" si="29"/>
        <v>0</v>
      </c>
    </row>
    <row r="62" spans="2:22">
      <c r="B62">
        <f t="shared" si="32"/>
        <v>202506</v>
      </c>
      <c r="C62" s="3"/>
      <c r="D62" s="26">
        <f t="shared" si="30"/>
        <v>-76923.354166666672</v>
      </c>
      <c r="E62" s="32" t="s">
        <v>23</v>
      </c>
      <c r="F62" s="24"/>
      <c r="G62" s="4">
        <f t="shared" si="17"/>
        <v>0</v>
      </c>
      <c r="H62" s="4">
        <f t="shared" si="18"/>
        <v>0</v>
      </c>
      <c r="I62" s="7">
        <f>'[2]Monthly Tariff Revenue'!I49</f>
        <v>0</v>
      </c>
      <c r="J62" s="2">
        <f t="shared" si="21"/>
        <v>-2930763.3644470698</v>
      </c>
      <c r="K62" s="6">
        <f t="shared" si="31"/>
        <v>10932054.018046178</v>
      </c>
      <c r="L62" s="5"/>
      <c r="M62" s="4">
        <f t="shared" si="22"/>
        <v>0</v>
      </c>
      <c r="O62" s="2">
        <f t="shared" si="23"/>
        <v>0</v>
      </c>
      <c r="P62" s="2">
        <f t="shared" si="24"/>
        <v>0</v>
      </c>
      <c r="Q62" s="2">
        <f t="shared" si="25"/>
        <v>0</v>
      </c>
      <c r="R62" s="2">
        <f t="shared" si="26"/>
        <v>0</v>
      </c>
      <c r="S62" s="3">
        <f t="shared" si="15"/>
        <v>0</v>
      </c>
      <c r="T62" s="2">
        <f t="shared" si="27"/>
        <v>0</v>
      </c>
      <c r="U62" s="2">
        <f t="shared" si="28"/>
        <v>0</v>
      </c>
      <c r="V62" s="2">
        <f t="shared" si="29"/>
        <v>0</v>
      </c>
    </row>
    <row r="63" spans="2:22">
      <c r="B63">
        <f t="shared" si="32"/>
        <v>202507</v>
      </c>
      <c r="C63" s="3"/>
      <c r="D63" s="26">
        <f t="shared" si="30"/>
        <v>-76923.354166666672</v>
      </c>
      <c r="E63" s="32" t="s">
        <v>23</v>
      </c>
      <c r="F63" s="24"/>
      <c r="G63" s="4">
        <f t="shared" si="17"/>
        <v>0</v>
      </c>
      <c r="H63" s="4">
        <f t="shared" si="18"/>
        <v>0</v>
      </c>
      <c r="I63" s="7">
        <f>'[2]Monthly Tariff Revenue'!I50</f>
        <v>0</v>
      </c>
      <c r="J63" s="2">
        <f t="shared" si="21"/>
        <v>-2436594.0266844458</v>
      </c>
      <c r="K63" s="6">
        <f t="shared" si="31"/>
        <v>11426223.355808802</v>
      </c>
      <c r="L63" s="5"/>
      <c r="M63" s="4">
        <f t="shared" si="22"/>
        <v>0</v>
      </c>
      <c r="O63" s="2">
        <f t="shared" si="23"/>
        <v>0</v>
      </c>
      <c r="P63" s="2">
        <f t="shared" si="24"/>
        <v>0</v>
      </c>
      <c r="Q63" s="2">
        <f t="shared" si="25"/>
        <v>0</v>
      </c>
      <c r="R63" s="2">
        <f t="shared" si="26"/>
        <v>0</v>
      </c>
      <c r="S63" s="3">
        <f t="shared" si="15"/>
        <v>0</v>
      </c>
      <c r="T63" s="2">
        <f t="shared" si="27"/>
        <v>0</v>
      </c>
      <c r="U63" s="2">
        <f t="shared" si="28"/>
        <v>0</v>
      </c>
      <c r="V63" s="2">
        <f t="shared" si="29"/>
        <v>0</v>
      </c>
    </row>
    <row r="64" spans="2:22">
      <c r="B64">
        <f t="shared" si="32"/>
        <v>202508</v>
      </c>
      <c r="C64" s="3"/>
      <c r="D64" s="26">
        <f t="shared" si="30"/>
        <v>-76923.354166666672</v>
      </c>
      <c r="E64" s="32" t="s">
        <v>23</v>
      </c>
      <c r="F64" s="24"/>
      <c r="G64" s="4">
        <f t="shared" si="17"/>
        <v>0</v>
      </c>
      <c r="H64" s="4">
        <f t="shared" si="18"/>
        <v>0</v>
      </c>
      <c r="I64" s="7">
        <f>'[2]Monthly Tariff Revenue'!I51</f>
        <v>0</v>
      </c>
      <c r="J64" s="2">
        <f t="shared" si="21"/>
        <v>-1943754.7068922296</v>
      </c>
      <c r="K64" s="6">
        <f t="shared" si="31"/>
        <v>11919062.675601019</v>
      </c>
      <c r="L64" s="5"/>
      <c r="M64" s="4">
        <f t="shared" si="22"/>
        <v>0</v>
      </c>
      <c r="O64" s="2">
        <f t="shared" si="23"/>
        <v>0</v>
      </c>
      <c r="P64" s="2">
        <f t="shared" si="24"/>
        <v>0</v>
      </c>
      <c r="Q64" s="2">
        <f t="shared" si="25"/>
        <v>0</v>
      </c>
      <c r="R64" s="2">
        <f t="shared" si="26"/>
        <v>0</v>
      </c>
      <c r="S64" s="3">
        <f t="shared" si="15"/>
        <v>0</v>
      </c>
      <c r="T64" s="2">
        <f t="shared" si="27"/>
        <v>0</v>
      </c>
      <c r="U64" s="2">
        <f t="shared" si="28"/>
        <v>0</v>
      </c>
      <c r="V64" s="2">
        <f t="shared" si="29"/>
        <v>0</v>
      </c>
    </row>
    <row r="65" spans="2:22">
      <c r="B65">
        <f t="shared" si="32"/>
        <v>202509</v>
      </c>
      <c r="C65" s="3"/>
      <c r="D65" s="26">
        <f t="shared" si="30"/>
        <v>-76923.354166666672</v>
      </c>
      <c r="E65" s="32" t="s">
        <v>23</v>
      </c>
      <c r="F65" s="24"/>
      <c r="G65" s="4">
        <f t="shared" si="17"/>
        <v>0</v>
      </c>
      <c r="H65" s="4">
        <f t="shared" si="18"/>
        <v>0</v>
      </c>
      <c r="I65" s="7">
        <f>'[2]Monthly Tariff Revenue'!I52</f>
        <v>0</v>
      </c>
      <c r="J65" s="2">
        <f t="shared" si="21"/>
        <v>-1455165.7347345834</v>
      </c>
      <c r="K65" s="6">
        <f t="shared" si="31"/>
        <v>12407651.647758665</v>
      </c>
      <c r="L65" s="5"/>
      <c r="M65" s="4">
        <f t="shared" si="22"/>
        <v>0</v>
      </c>
      <c r="O65" s="2">
        <f t="shared" si="23"/>
        <v>0</v>
      </c>
      <c r="P65" s="2">
        <f t="shared" si="24"/>
        <v>0</v>
      </c>
      <c r="Q65" s="2">
        <f t="shared" si="25"/>
        <v>0</v>
      </c>
      <c r="R65" s="2">
        <f t="shared" si="26"/>
        <v>0</v>
      </c>
      <c r="S65" s="3">
        <f t="shared" si="15"/>
        <v>0</v>
      </c>
      <c r="T65" s="2">
        <f t="shared" si="27"/>
        <v>0</v>
      </c>
      <c r="U65" s="2">
        <f t="shared" si="28"/>
        <v>0</v>
      </c>
      <c r="V65" s="2">
        <f t="shared" si="29"/>
        <v>0</v>
      </c>
    </row>
    <row r="66" spans="2:22">
      <c r="B66">
        <f t="shared" si="32"/>
        <v>202510</v>
      </c>
      <c r="C66" s="3"/>
      <c r="D66" s="26">
        <f t="shared" si="30"/>
        <v>-76923.354166666672</v>
      </c>
      <c r="E66" s="32" t="s">
        <v>23</v>
      </c>
      <c r="F66" s="24"/>
      <c r="G66" s="4">
        <f t="shared" si="17"/>
        <v>0</v>
      </c>
      <c r="H66" s="4">
        <f t="shared" si="18"/>
        <v>0</v>
      </c>
      <c r="I66" s="7">
        <f>'[2]Monthly Tariff Revenue'!I53</f>
        <v>0</v>
      </c>
      <c r="J66" s="2">
        <f t="shared" si="21"/>
        <v>-985144.15059757011</v>
      </c>
      <c r="K66" s="6">
        <f t="shared" si="31"/>
        <v>12877673.231895678</v>
      </c>
      <c r="L66" s="5"/>
      <c r="M66" s="4">
        <f t="shared" si="22"/>
        <v>0</v>
      </c>
      <c r="O66" s="2">
        <f t="shared" si="23"/>
        <v>0</v>
      </c>
      <c r="P66" s="2">
        <f t="shared" si="24"/>
        <v>0</v>
      </c>
      <c r="Q66" s="2">
        <f t="shared" si="25"/>
        <v>0</v>
      </c>
      <c r="R66" s="2">
        <f t="shared" si="26"/>
        <v>0</v>
      </c>
      <c r="S66" s="3">
        <f t="shared" si="15"/>
        <v>0</v>
      </c>
      <c r="T66" s="2">
        <f t="shared" si="27"/>
        <v>0</v>
      </c>
      <c r="U66" s="2">
        <f t="shared" si="28"/>
        <v>0</v>
      </c>
      <c r="V66" s="2">
        <f t="shared" si="29"/>
        <v>0</v>
      </c>
    </row>
    <row r="67" spans="2:22">
      <c r="B67">
        <f t="shared" si="32"/>
        <v>202511</v>
      </c>
      <c r="C67" s="3"/>
      <c r="D67" s="26">
        <f t="shared" si="30"/>
        <v>-76923.354166666672</v>
      </c>
      <c r="E67" s="32" t="s">
        <v>23</v>
      </c>
      <c r="F67" s="24"/>
      <c r="G67" s="4">
        <f t="shared" si="17"/>
        <v>0</v>
      </c>
      <c r="H67" s="4">
        <f t="shared" si="18"/>
        <v>0</v>
      </c>
      <c r="I67" s="7">
        <f>'[2]Monthly Tariff Revenue'!I54</f>
        <v>0</v>
      </c>
      <c r="J67" s="2">
        <f t="shared" si="21"/>
        <v>-557832.0556065269</v>
      </c>
      <c r="K67" s="6">
        <f t="shared" si="31"/>
        <v>13304985.326886721</v>
      </c>
      <c r="L67" s="5"/>
      <c r="M67" s="4">
        <f t="shared" si="22"/>
        <v>0</v>
      </c>
      <c r="O67" s="2">
        <f t="shared" si="23"/>
        <v>0</v>
      </c>
      <c r="P67" s="2">
        <f t="shared" si="24"/>
        <v>0</v>
      </c>
      <c r="Q67" s="2">
        <f t="shared" si="25"/>
        <v>0</v>
      </c>
      <c r="R67" s="2">
        <f t="shared" si="26"/>
        <v>0</v>
      </c>
      <c r="S67" s="3">
        <f t="shared" si="15"/>
        <v>0</v>
      </c>
      <c r="T67" s="2">
        <f t="shared" si="27"/>
        <v>0</v>
      </c>
      <c r="U67" s="2">
        <f t="shared" si="28"/>
        <v>0</v>
      </c>
      <c r="V67" s="2">
        <f t="shared" si="29"/>
        <v>0</v>
      </c>
    </row>
    <row r="68" spans="2:22">
      <c r="B68">
        <f t="shared" si="32"/>
        <v>202512</v>
      </c>
      <c r="C68" s="3"/>
      <c r="D68" s="26">
        <f t="shared" si="30"/>
        <v>-76923.354166666672</v>
      </c>
      <c r="E68" s="33" t="s">
        <v>24</v>
      </c>
      <c r="F68" s="24"/>
      <c r="G68" s="4">
        <f t="shared" si="17"/>
        <v>0</v>
      </c>
      <c r="H68" s="4">
        <f t="shared" si="18"/>
        <v>0</v>
      </c>
      <c r="I68" s="7">
        <f>'[2]Monthly Tariff Revenue'!I55</f>
        <v>0</v>
      </c>
      <c r="J68" s="2">
        <f t="shared" si="21"/>
        <v>-178937.18237805806</v>
      </c>
      <c r="K68" s="6">
        <f t="shared" si="31"/>
        <v>13683880.200115191</v>
      </c>
      <c r="L68" s="5"/>
      <c r="M68" s="4">
        <f t="shared" si="22"/>
        <v>0</v>
      </c>
      <c r="O68" s="2">
        <f t="shared" si="23"/>
        <v>0</v>
      </c>
      <c r="P68" s="2">
        <f t="shared" si="24"/>
        <v>0</v>
      </c>
      <c r="Q68" s="2">
        <f t="shared" si="25"/>
        <v>0</v>
      </c>
      <c r="R68" s="2">
        <f t="shared" si="26"/>
        <v>0</v>
      </c>
      <c r="S68" s="3">
        <f t="shared" si="15"/>
        <v>0</v>
      </c>
      <c r="T68" s="2">
        <f t="shared" si="27"/>
        <v>0</v>
      </c>
      <c r="U68" s="2">
        <f t="shared" si="28"/>
        <v>0</v>
      </c>
      <c r="V68" s="2">
        <f t="shared" si="29"/>
        <v>0</v>
      </c>
    </row>
  </sheetData>
  <pageMargins left="0.7" right="0.7" top="0.25" bottom="0.25" header="0.3" footer="0.3"/>
  <pageSetup scale="77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B9629A-EF9C-48D3-9E86-60D95A8A4471}"/>
</file>

<file path=customXml/itemProps2.xml><?xml version="1.0" encoding="utf-8"?>
<ds:datastoreItem xmlns:ds="http://schemas.openxmlformats.org/officeDocument/2006/customXml" ds:itemID="{CF61058E-54E2-42B2-9CB9-75C888857FE9}"/>
</file>

<file path=customXml/itemProps3.xml><?xml version="1.0" encoding="utf-8"?>
<ds:datastoreItem xmlns:ds="http://schemas.openxmlformats.org/officeDocument/2006/customXml" ds:itemID="{23292B59-74D7-41E0-B9E7-376312DD75EF}"/>
</file>

<file path=customXml/itemProps4.xml><?xml version="1.0" encoding="utf-8"?>
<ds:datastoreItem xmlns:ds="http://schemas.openxmlformats.org/officeDocument/2006/customXml" ds:itemID="{D485C358-711E-44BE-903F-1BB5AD050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Monthly ADJ (Electric)</vt:lpstr>
      <vt:lpstr>Monthly ADJ (Gas)</vt:lpstr>
      <vt:lpstr>'Monthly ADJ (Electric)'!Print_Area</vt:lpstr>
      <vt:lpstr>'Monthly ADJ (Gas)'!Print_Area</vt:lpstr>
      <vt:lpstr>'Monthly ADJ (Electric)'!Print_Titles</vt:lpstr>
      <vt:lpstr>'Monthly ADJ (Gas)'!Print_Titles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Mullins</dc:creator>
  <cp:lastModifiedBy>Bradley Mullins</cp:lastModifiedBy>
  <dcterms:created xsi:type="dcterms:W3CDTF">2024-06-27T11:48:31Z</dcterms:created>
  <dcterms:modified xsi:type="dcterms:W3CDTF">2024-07-02T13:20:02Z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_docset_NoMedatataSyncRequired">
    <vt:lpwstr>False</vt:lpwstr>
  </property>
</Properties>
</file>