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metadata.xml" ContentType="application/vnd.openxmlformats-officedocument.spreadsheetml.sheetMetadata+xml"/>
  <Override PartName="/xl/comments1.xml" ContentType="application/vnd.openxmlformats-officedocument.spreadsheetml.comments+xml"/>
  <Override PartName="/docProps/app.xml" ContentType="application/vnd.openxmlformats-officedocument.extended-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E:\nwrk\30_ava\AV17 - UE-240006 2024 WA GRC\dir\exh\"/>
    </mc:Choice>
  </mc:AlternateContent>
  <xr:revisionPtr revIDLastSave="0" documentId="13_ncr:1_{BB29CBD3-8963-42C0-AA6E-4EEDA3C3EF88}" xr6:coauthVersionLast="47" xr6:coauthVersionMax="47" xr10:uidLastSave="{00000000-0000-0000-0000-000000000000}"/>
  <bookViews>
    <workbookView xWindow="-120" yWindow="-120" windowWidth="29040" windowHeight="15060" tabRatio="718" xr2:uid="{8F746D03-953E-49B0-8042-685ABF582400}"/>
  </bookViews>
  <sheets>
    <sheet name="Exh. BGM-3 (Sum)" sheetId="167" r:id="rId1"/>
    <sheet name="Exh. BGM-3 (Detail)" sheetId="164" r:id="rId2"/>
    <sheet name="Table 1" sheetId="162" r:id="rId3"/>
    <sheet name="Table 2" sheetId="165" r:id="rId4"/>
    <sheet name="AVA Model (Per Filing) -&gt;" sheetId="166" r:id="rId5"/>
    <sheet name="PROPOSED RATES-12.2024" sheetId="117" r:id="rId6"/>
    <sheet name="PROPOSED RATES-12.2025" sheetId="161" r:id="rId7"/>
    <sheet name="RR Summary" sheetId="51" r:id="rId8"/>
    <sheet name="CF " sheetId="52" r:id="rId9"/>
    <sheet name="ADJ DETAIL-INPUT" sheetId="1" r:id="rId10"/>
    <sheet name="Acerno_Cache_XXXXX" sheetId="115" state="veryHidden" r:id="rId11"/>
    <sheet name="ADJ SUMMARY" sheetId="3" r:id="rId12"/>
    <sheet name="CF WA Elec" sheetId="160" r:id="rId13"/>
    <sheet name="ROO INPUT 1.00" sheetId="111" r:id="rId14"/>
    <sheet name="DEBT CALC 2.14" sheetId="48" r:id="rId15"/>
    <sheet name="Recap Sum Comparison" sheetId="99" r:id="rId16"/>
    <sheet name="LEAD SHEETS-DO NOT ENTER" sheetId="113"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_____Jun09">" BS!$AI$7:$AI$1643"</definedName>
    <definedName name="_____Jun09">" BS!$AI$7:$AI$1643"</definedName>
    <definedName name="____Jun09">" BS!$AI$7:$AI$1643"</definedName>
    <definedName name="___Jun09">" BS!$AI$7:$AI$1643"</definedName>
    <definedName name="__123Graph_A" hidden="1">#REF!</definedName>
    <definedName name="__123Graph_B" hidden="1">#REF!</definedName>
    <definedName name="__123Graph_D" hidden="1">#REF!</definedName>
    <definedName name="__123Graph_E" hidden="1">#REF!</definedName>
    <definedName name="__123Graph_F" hidden="1">#REF!</definedName>
    <definedName name="__IntlFixup" hidden="1">TRUE</definedName>
    <definedName name="__Jun09">" BS!$AI$7:$AI$1643"</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d1" hidden="1">{"annual",#N/A,FALSE,"Pro Forma";#N/A,#N/A,FALSE,"Golf Operations"}</definedName>
    <definedName name="_Dist_Values" hidden="1">#REF!</definedName>
    <definedName name="_Fill" hidden="1">#REF!</definedName>
    <definedName name="_xlnm._FilterDatabase" hidden="1">#REF!</definedName>
    <definedName name="_gr1" hidden="1">{"three",#N/A,FALSE,"Capital";"four",#N/A,FALSE,"Capital"}</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OM1" hidden="1">{#N/A,#N/A,FALSE,"Summary";#N/A,#N/A,FALSE,"SmPlants";#N/A,#N/A,FALSE,"Utah";#N/A,#N/A,FALSE,"Idaho";#N/A,#N/A,FALSE,"Lewis River";#N/A,#N/A,FALSE,"NrthUmpq";#N/A,#N/A,FALSE,"KlamRog"}</definedName>
    <definedName name="_Order1" hidden="1">255</definedName>
    <definedName name="_Order2" hidden="1">255</definedName>
    <definedName name="_Regression_Int" hidden="1">1</definedName>
    <definedName name="_Regression_Out" hidden="1">#REF!</definedName>
    <definedName name="_Regression_X" hidden="1">#REF!</definedName>
    <definedName name="_Regression_Y" hidden="1">#REF!</definedName>
    <definedName name="_Sort" hidden="1">#REF!</definedName>
    <definedName name="_Table2_Out" hidden="1">#REF!</definedName>
    <definedName name="_wr1" hidden="1">{"Output-3Column",#N/A,FALSE,"Output"}</definedName>
    <definedName name="_wrn1" hidden="1">{"Inflation-BaseYear",#N/A,FALSE,"Inputs"}</definedName>
    <definedName name="a" hidden="1">{"Print_Detail",#N/A,FALSE,"Redemption_Maturity Extract"}</definedName>
    <definedName name="Access_Button1" hidden="1">"Headcount_Workbook_Schedules_List"</definedName>
    <definedName name="AccessCode" hidden="1">""""</definedName>
    <definedName name="AccessDatabase" hidden="1">"C:\ncux\bud\rms_inv.mdb"</definedName>
    <definedName name="ACwvu.allocations." hidden="1">#REF!</definedName>
    <definedName name="ACwvu.annual._.hotel." hidden="1">#REF!</definedName>
    <definedName name="ACwvu.bottom._.line." hidden="1">#REF!</definedName>
    <definedName name="ACwvu.cash._.flow." hidden="1">#REF!</definedName>
    <definedName name="ACwvu.combo." hidden="1">#REF!</definedName>
    <definedName name="ACwvu.full." hidden="1">#REF!</definedName>
    <definedName name="ACwvu.offsite." hidden="1">#REF!</definedName>
    <definedName name="ACwvu.onsite." hidden="1">#REF!</definedName>
    <definedName name="anscount" hidden="1">2</definedName>
    <definedName name="AS2DocOpenMode">"AS2DocumentEdit"</definedName>
    <definedName name="asa" hidden="1">{"Factors Pages 1-2",#N/A,FALSE,"Factors";"Factors Page 3",#N/A,FALSE,"Factors";"Factors Page 4",#N/A,FALSE,"Factors";"Factors Page 5",#N/A,FALSE,"Factors";"Factors Pages 8-27",#N/A,FALSE,"Factors"}</definedName>
    <definedName name="Aurora_Prices">"Monthly Price Summary'!$C$4:$H$63"</definedName>
    <definedName name="b" hidden="1">{"One",#N/A,FALSE,"CClub";"Two",#N/A,FALSE,"CClub";"Three",#N/A,FALSE,"CClub";"Four",#N/A,FALSE,"CClub";"Five",#N/A,FALSE,"CClub"}</definedName>
    <definedName name="bi" hidden="1">{#N/A,#N/A,FALSE,"BidCo Assumptions";#N/A,#N/A,FALSE,"Credit Stats";#N/A,#N/A,FALSE,"Bidco Summary";#N/A,#N/A,FALSE,"BIDCO Consolidated"}</definedName>
    <definedName name="BNE_MESSAGES_HIDDEN" hidden="1">#REF!</definedName>
    <definedName name="Button_1">"TradeSummary_Ken_Finicle_List"</definedName>
    <definedName name="CASE" localSheetId="1">#REF!</definedName>
    <definedName name="CASE" localSheetId="0">#REF!</definedName>
    <definedName name="CASE">#REF!</definedName>
    <definedName name="CASE_E" localSheetId="1">#REF!</definedName>
    <definedName name="CASE_E" localSheetId="0">#REF!</definedName>
    <definedName name="CASE_E">#REF!</definedName>
    <definedName name="CASE_GAS">#REF!</definedName>
    <definedName name="CBWorkbookPriority">-2060790043</definedName>
    <definedName name="cd" hidden="1">{"annual",#N/A,FALSE,"Pro Forma";#N/A,#N/A,FALSE,"Golf Operations"}</definedName>
    <definedName name="cgf" hidden="1">{"PRINT",#N/A,TRUE,"APPA";"PRINT",#N/A,TRUE,"APS";"PRINT",#N/A,TRUE,"BHPL";"PRINT",#N/A,TRUE,"BHPL2";"PRINT",#N/A,TRUE,"CDWR";"PRINT",#N/A,TRUE,"EWEB";"PRINT",#N/A,TRUE,"LADWP";"PRINT",#N/A,TRUE,"NEVBASE"}</definedName>
    <definedName name="CIQWBGuid">"533dd5ee-2992-4878-a6fe-10c93711618f"</definedName>
    <definedName name="combined1" hidden="1">{"YTD-Total",#N/A,TRUE,"Provision";"YTD-Utility",#N/A,TRUE,"Prov Utility";"YTD-NonUtility",#N/A,TRUE,"Prov NonUtility"}</definedName>
    <definedName name="Comp" localSheetId="1">#REF!</definedName>
    <definedName name="Comp" localSheetId="0">#REF!</definedName>
    <definedName name="Comp">#REF!</definedName>
    <definedName name="Comp_E" localSheetId="1">#REF!</definedName>
    <definedName name="Comp_E" localSheetId="0">#REF!</definedName>
    <definedName name="Comp_E">#REF!</definedName>
    <definedName name="Comp_GAS">#REF!</definedName>
    <definedName name="Company">#REF!</definedName>
    <definedName name="Cost_Debt">#REF!</definedName>
    <definedName name="Cost_equity">#REF!</definedName>
    <definedName name="Cost_pref">#REF!</definedName>
    <definedName name="Cwvu.annual." hidden="1">#REF!,#REF!,#REF!,#REF!,#REF!,#REF!,#REF!,#REF!,#REF!,#REF!,#REF!,#REF!,#REF!,#REF!,#REF!,#REF!,#REF!,#REF!,#REF!,#REF!,#REF!,#REF!,#REF!,#REF!</definedName>
    <definedName name="Cwvu.annual._.hotel." hidden="1">#REF!,#REF!,#REF!,#REF!,#REF!,#REF!,#REF!,#REF!,#REF!,#REF!,#REF!,#REF!,#REF!,#REF!,#REF!,#REF!,#REF!,#REF!,#REF!</definedName>
    <definedName name="Cwvu.bottom._.line." hidden="1">#REF!,#REF!,#REF!,#REF!,#REF!,#REF!,#REF!,#REF!,#REF!,#REF!,#REF!,#REF!,#REF!,#REF!,#REF!,#REF!,#REF!,#REF!,#REF!,#REF!,#REF!,#REF!</definedName>
    <definedName name="Cwvu.cash._.flow." hidden="1">#REF!,#REF!,#REF!,#REF!,#REF!,#REF!,#REF!,#REF!,#REF!,#REF!,#REF!,#REF!,#REF!,#REF!,#REF!,#REF!,#REF!,#REF!,#REF!,#REF!,#REF!,#REF!,#REF!,#REF!,#REF!,#REF!,#REF!,#REF!,#REF!,#REF!,#REF!,#REF!,#REF!,#REF!,#REF!,#REF!,#REF!,#REF!,#REF!,#REF!,#REF!</definedName>
    <definedName name="Cwvu.combo." hidden="1">#REF!,#REF!,#REF!,#REF!,#REF!,#REF!,#REF!,#REF!,#REF!,#REF!,#REF!,#REF!,#REF!,#REF!,#REF!,#REF!,#REF!,#REF!,#REF!,#REF!,#REF!,#REF!</definedName>
    <definedName name="Cwvu.GREY_ALL." hidden="1">#REF!</definedName>
    <definedName name="dd" hidden="1">{"Print_Detail",#N/A,FALSE,"Redemption_Maturity Extract"}</definedName>
    <definedName name="ddd" hidden="1">{"Full",#N/A,FALSE,"Sec MTN B Summary"}</definedName>
    <definedName name="dddd" hidden="1">{"RedPrem_InitRed View",#N/A,FALSE,"Sec MTN B Summary"}</definedName>
    <definedName name="dddddd" hidden="1">{"Pivot1",#N/A,FALSE,"Redemption_Maturity Extract"}</definedName>
    <definedName name="dddddddd" hidden="1">{"Pivot2",#N/A,FALSE,"Redemption_Maturity Extract"}</definedName>
    <definedName name="DOCKETNUMBER" localSheetId="1">#REF!</definedName>
    <definedName name="DOCKETNUMBER" localSheetId="0">#REF!</definedName>
    <definedName name="DOCKETNUMBER">#REF!</definedName>
    <definedName name="DOCKETNUMBER_E" localSheetId="1">#REF!</definedName>
    <definedName name="DOCKETNUMBER_E" localSheetId="0">#REF!</definedName>
    <definedName name="DOCKETNUMBER_E">#REF!</definedName>
    <definedName name="DOCKETNUMBER_GAS">#REF!</definedName>
    <definedName name="DUDE" hidden="1">#REF!</definedName>
    <definedName name="enrgy" hidden="1">{#N/A,#N/A,FALSE,"Bgt";#N/A,#N/A,FALSE,"Act";#N/A,#N/A,FALSE,"Chrt Data";#N/A,#N/A,FALSE,"Bus Result";#N/A,#N/A,FALSE,"Main Charts";#N/A,#N/A,FALSE,"P&amp;L Ttl";#N/A,#N/A,FALSE,"P&amp;L C_Ttl";#N/A,#N/A,FALSE,"P&amp;L C_Oct";#N/A,#N/A,FALSE,"P&amp;L C_Sep";#N/A,#N/A,FALSE,"1996";#N/A,#N/A,FALSE,"Data"}</definedName>
    <definedName name="EV__ALLOWSTOPEXPAND__" hidden="1">1</definedName>
    <definedName name="EV__EVCOM_OPTIONS__" hidden="1">8</definedName>
    <definedName name="EV__EXPOPTIONS__" hidden="1">0</definedName>
    <definedName name="EV__LASTREFTIME__" hidden="1">40535.431400463</definedName>
    <definedName name="EV__MAXEXPCOLS__" hidden="1">100</definedName>
    <definedName name="EV__MAXEXPROWS__" hidden="1">2000</definedName>
    <definedName name="EV__MEMORYCVW__" hidden="1">0</definedName>
    <definedName name="EV__WBEVMODE__" hidden="1">0</definedName>
    <definedName name="EV__WBREFOPTIONS__" hidden="1">55</definedName>
    <definedName name="EV__WBVERSION__" hidden="1">0</definedName>
    <definedName name="EV__WSINFO__" hidden="1">"kab"</definedName>
    <definedName name="fffff" hidden="1">{"ALL",#N/A,FALSE,"A"}</definedName>
    <definedName name="first_day">#REF!</definedName>
    <definedName name="FIT" localSheetId="1">#REF!</definedName>
    <definedName name="FIT" localSheetId="0">#REF!</definedName>
    <definedName name="FIT">#REF!</definedName>
    <definedName name="FIT_E" localSheetId="1">#REF!</definedName>
    <definedName name="FIT_E" localSheetId="0">#REF!</definedName>
    <definedName name="FIT_E">#REF!</definedName>
    <definedName name="FIT_GAS">#REF!</definedName>
    <definedName name="foo" hidden="1">{#N/A,#N/A,FALSE,"Bgt";#N/A,#N/A,FALSE,"Act";#N/A,#N/A,FALSE,"Chrt Data";#N/A,#N/A,FALSE,"Bus Result";#N/A,#N/A,FALSE,"Main Charts";#N/A,#N/A,FALSE,"P&amp;L Ttl";#N/A,#N/A,FALSE,"P&amp;L C_Ttl";#N/A,#N/A,FALSE,"P&amp;L C_Oct";#N/A,#N/A,FALSE,"P&amp;L C_Sep";#N/A,#N/A,FALSE,"1996";#N/A,#N/A,FALSE,"Data"}</definedName>
    <definedName name="friend" hidden="1">{"PRINT",#N/A,TRUE,"APPA";"PRINT",#N/A,TRUE,"APS";"PRINT",#N/A,TRUE,"BHPL";"PRINT",#N/A,TRUE,"BHPL2";"PRINT",#N/A,TRUE,"CDWR";"PRINT",#N/A,TRUE,"EWEB";"PRINT",#N/A,TRUE,"LADWP";"PRINT",#N/A,TRUE,"NEVBASE"}</definedName>
    <definedName name="fsdfsad" hidden="1">{"ALL",#N/A,FALSE,"A"}</definedName>
    <definedName name="gr" hidden="1">{"three",#N/A,FALSE,"Capital";"four",#N/A,FALSE,"Capital"}</definedName>
    <definedName name="gross_up_factor">#REF!</definedName>
    <definedName name="help" hidden="1">{"ALL",#N/A,FALSE,"A"}</definedName>
    <definedName name="HROptim" hidden="1">{#N/A,#N/A,FALSE,"Summary";#N/A,#N/A,FALSE,"SmPlants";#N/A,#N/A,FALSE,"Utah";#N/A,#N/A,FALSE,"Idaho";#N/A,#N/A,FALSE,"Lewis River";#N/A,#N/A,FALSE,"NrthUmpq";#N/A,#N/A,FALSE,"KlamRog"}</definedName>
    <definedName name="HTML_CodePage">1252</definedName>
    <definedName name="HTML_Control">{"'JAN99'!$A$1:$M$66"}</definedName>
    <definedName name="HTML_Description">""</definedName>
    <definedName name="HTML_Email">""</definedName>
    <definedName name="HTML_Header">"Sheet1"</definedName>
    <definedName name="HTML_LastUpdate">"10/21/99"</definedName>
    <definedName name="HTML_LineAfter">FALSE</definedName>
    <definedName name="HTML_LineBefore">FALSE</definedName>
    <definedName name="HTML_Name">"Paulette Peoples"</definedName>
    <definedName name="HTML_OBDlg2">TRUE</definedName>
    <definedName name="HTML_OBDlg4">TRUE</definedName>
    <definedName name="HTML_OS">0</definedName>
    <definedName name="HTML_PathFile">"\\Bhincres01\groups\Mkt_Dev\EXECMKTR\RIGS\RigBible\Web NA.htm"</definedName>
    <definedName name="HTML_Title">"Total North America"</definedName>
    <definedName name="HTML1_1" hidden="1">"'[MONET71.xls]Market Hubs by Condition'!$A$1:$F$44"</definedName>
    <definedName name="HTML1_10" hidden="1">"Dave_LeVee"</definedName>
    <definedName name="HTML1_11" hidden="1">1</definedName>
    <definedName name="HTML1_12" hidden="1">"G:\MONET\WEB\FORECAST\hub71.htm"</definedName>
    <definedName name="HTML1_2" hidden="1">1</definedName>
    <definedName name="HTML1_3" hidden="1">"MONET71"</definedName>
    <definedName name="HTML1_4" hidden="1">"Market Hubs by Condition"</definedName>
    <definedName name="HTML1_5" hidden="1">""</definedName>
    <definedName name="HTML1_6" hidden="1">1</definedName>
    <definedName name="HTML1_7" hidden="1">1</definedName>
    <definedName name="HTML1_8" hidden="1">"4/10/96"</definedName>
    <definedName name="HTML1_9" hidden="1">"Resource Forecasting Department"</definedName>
    <definedName name="HTML2_1" hidden="1">"[MONET71.xls]FlatMarginalCost!$A$1:$E$132"</definedName>
    <definedName name="HTML2_10" hidden="1">"Dave_LeVee"</definedName>
    <definedName name="HTML2_11" hidden="1">1</definedName>
    <definedName name="HTML2_12" hidden="1">"G:\MONET\WEB\FORECAST\mc71.htm"</definedName>
    <definedName name="HTML2_2" hidden="1">1</definedName>
    <definedName name="HTML2_3" hidden="1">"MONET71"</definedName>
    <definedName name="HTML2_4" hidden="1">"FlatMarginalCost"</definedName>
    <definedName name="HTML2_5" hidden="1">""</definedName>
    <definedName name="HTML2_6" hidden="1">1</definedName>
    <definedName name="HTML2_7" hidden="1">1</definedName>
    <definedName name="HTML2_8" hidden="1">"4/10/96"</definedName>
    <definedName name="HTML2_9" hidden="1">"Resource Forecasting Department"</definedName>
    <definedName name="HTML3_1" hidden="1">"'[MONET84.XLS]Market Hubs by Condition'!$A$1:$F$36"</definedName>
    <definedName name="HTML3_10" hidden="1">"dave_levee@pgn.com"</definedName>
    <definedName name="HTML3_11" hidden="1">1</definedName>
    <definedName name="HTML3_12" hidden="1">"G:\MONET\WEB\FORECAST\Hub84.htm"</definedName>
    <definedName name="HTML3_2" hidden="1">1</definedName>
    <definedName name="HTML3_3" hidden="1">"MONET84"</definedName>
    <definedName name="HTML3_4" hidden="1">"Market Hubs by Condition"</definedName>
    <definedName name="HTML3_5" hidden="1">""</definedName>
    <definedName name="HTML3_6" hidden="1">1</definedName>
    <definedName name="HTML3_7" hidden="1">1</definedName>
    <definedName name="HTML3_8" hidden="1">"4/15/96"</definedName>
    <definedName name="HTML3_9" hidden="1">"Resource Forecasting Department"</definedName>
    <definedName name="HTML4_1" hidden="1">"[MONET84.XLS]ConditionMarginalCost!$A$1:$E$286"</definedName>
    <definedName name="HTML4_10" hidden="1">"dave_levee@pgn.com"</definedName>
    <definedName name="HTML4_11" hidden="1">1</definedName>
    <definedName name="HTML4_12" hidden="1">"G:\MONET\WEB\FORECAST\mc84.htm"</definedName>
    <definedName name="HTML4_2" hidden="1">1</definedName>
    <definedName name="HTML4_3" hidden="1">"MONET84"</definedName>
    <definedName name="HTML4_4" hidden="1">"ConditionMarginalCost"</definedName>
    <definedName name="HTML4_5" hidden="1">""</definedName>
    <definedName name="HTML4_6" hidden="1">1</definedName>
    <definedName name="HTML4_7" hidden="1">1</definedName>
    <definedName name="HTML4_8" hidden="1">"4/15/96"</definedName>
    <definedName name="HTML4_9" hidden="1">"Resource Forecasting Department"</definedName>
    <definedName name="HTML5_1" hidden="1">"[MONET84.XLS]ConditionMarginalCost!$A$1:$E$177"</definedName>
    <definedName name="HTML5_10" hidden="1">"dave_levee@pgn.com"</definedName>
    <definedName name="HTML5_11" hidden="1">1</definedName>
    <definedName name="HTML5_12" hidden="1">"G:\MONET\WEB\FORECAST\mc84.htm"</definedName>
    <definedName name="HTML5_2" hidden="1">1</definedName>
    <definedName name="HTML5_3" hidden="1">"MONET84"</definedName>
    <definedName name="HTML5_4" hidden="1">"ConditionMarginalCost"</definedName>
    <definedName name="HTML5_5" hidden="1">""</definedName>
    <definedName name="HTML5_6" hidden="1">1</definedName>
    <definedName name="HTML5_7" hidden="1">1</definedName>
    <definedName name="HTML5_8" hidden="1">"4/15/96"</definedName>
    <definedName name="HTML5_9" hidden="1">"Resource Forecasting Department"</definedName>
    <definedName name="HTMLCount" hidden="1">5</definedName>
    <definedName name="ID_Gas" localSheetId="1">#REF!</definedName>
    <definedName name="ID_Gas" localSheetId="0">#REF!</definedName>
    <definedName name="ID_Gas">#REF!</definedName>
    <definedName name="inctaxrate">0.4</definedName>
    <definedName name="inventory" hidden="1">{#N/A,#N/A,FALSE,"Summary";#N/A,#N/A,FALSE,"SmPlants";#N/A,#N/A,FALSE,"Utah";#N/A,#N/A,FALSE,"Idaho";#N/A,#N/A,FALSE,"Lewis River";#N/A,#N/A,FALSE,"NrthUmpq";#N/A,#N/A,FALSE,"KlamRog"}</definedName>
    <definedName name="IQ_ACCOUNT_CHANGE">"c1449"</definedName>
    <definedName name="IQ_ACCOUNTS_PAY">"c1343"</definedName>
    <definedName name="IQ_ACCR_INT_PAY">"c1"</definedName>
    <definedName name="IQ_ACCR_INT_PAY_CF">"c2"</definedName>
    <definedName name="IQ_ACCR_INT_RECEIV">"c3"</definedName>
    <definedName name="IQ_ACCR_INT_RECEIV_CF">"c4"</definedName>
    <definedName name="IQ_ACCRUED_EXP">"c1341"</definedName>
    <definedName name="IQ_ACCT_RECV_10YR_ANN_GROWTH">"c1924"</definedName>
    <definedName name="IQ_ACCT_RECV_1YR_ANN_GROWTH">"c1919"</definedName>
    <definedName name="IQ_ACCT_RECV_2YR_ANN_GROWTH">"c1920"</definedName>
    <definedName name="IQ_ACCT_RECV_3YR_ANN_GROWTH">"c1921"</definedName>
    <definedName name="IQ_ACCT_RECV_5YR_ANN_GROWTH">"c1922"</definedName>
    <definedName name="IQ_ACCT_RECV_7YR_ANN_GROWTH">"c1923"</definedName>
    <definedName name="IQ_ACCUM_DEP">"c1340"</definedName>
    <definedName name="IQ_ACCUMULATED_PENSION_OBLIGATION">"c2244"</definedName>
    <definedName name="IQ_ACCUMULATED_PENSION_OBLIGATION_DOMESTIC">"c2657"</definedName>
    <definedName name="IQ_ACCUMULATED_PENSION_OBLIGATION_FOREIGN">"c2665"</definedName>
    <definedName name="IQ_ACQ_COST_SUB">"c2125"</definedName>
    <definedName name="IQ_ACQ_COSTS_CAPITALIZED">"c5"</definedName>
    <definedName name="IQ_ACQUIRE_REAL_ESTATE_CF">"c6"</definedName>
    <definedName name="IQ_ACQUISITION_RE_ASSETS">"c1628"</definedName>
    <definedName name="IQ_AD">"c7"</definedName>
    <definedName name="IQ_ADD_PAID_IN">"c1344"</definedName>
    <definedName name="IQ_ADJ_AVG_BANK_ASSETS">"c2671"</definedName>
    <definedName name="IQ_ADMIN_RATIO">"c2784"</definedName>
    <definedName name="IQ_ADVERTISING">"c2246"</definedName>
    <definedName name="IQ_ADVERTISING_MARKETING">"c1566"</definedName>
    <definedName name="IQ_AE">"c8"</definedName>
    <definedName name="IQ_AE_BNK">"c9"</definedName>
    <definedName name="IQ_AE_BR">"c10"</definedName>
    <definedName name="IQ_AE_FIN">"c11"</definedName>
    <definedName name="IQ_AE_INS">"c12"</definedName>
    <definedName name="IQ_AE_REIT">"c13"</definedName>
    <definedName name="IQ_AE_UTI">"c14"</definedName>
    <definedName name="IQ_AH_EARNED">"c2744"</definedName>
    <definedName name="IQ_AH_POLICY_BENEFITS_EXP">"c2789"</definedName>
    <definedName name="IQ_AIR_AIRPLANES_NOT_IN_SERVICE">"c2842"</definedName>
    <definedName name="IQ_AIR_AIRPLANES_SUBLEASED">"c2841"</definedName>
    <definedName name="IQ_AIR_ASK">"c2813"</definedName>
    <definedName name="IQ_AIR_ASK_INCREASE">"c2826"</definedName>
    <definedName name="IQ_AIR_ASM">"c2812"</definedName>
    <definedName name="IQ_AIR_ASM_INCREASE">"c2825"</definedName>
    <definedName name="IQ_AIR_AVG_AGE">"c2843"</definedName>
    <definedName name="IQ_AIR_BREAK_EVEN_FACTOR">"c2822"</definedName>
    <definedName name="IQ_AIR_CAPITAL_LEASE">"c2833"</definedName>
    <definedName name="IQ_AIR_COMPLETION_FACTOR">"c2824"</definedName>
    <definedName name="IQ_AIR_ENPLANED_PSGRS">"c2809"</definedName>
    <definedName name="IQ_AIR_FUEL_CONSUMED">"c2806"</definedName>
    <definedName name="IQ_AIR_FUEL_CONSUMED_L">"c2807"</definedName>
    <definedName name="IQ_AIR_FUEL_COST">"c2803"</definedName>
    <definedName name="IQ_AIR_FUEL_COST_L">"c2804"</definedName>
    <definedName name="IQ_AIR_FUEL_EXP">"c2802"</definedName>
    <definedName name="IQ_AIR_FUEL_EXP_PERCENT">"c2805"</definedName>
    <definedName name="IQ_AIR_LEASED">"c2835"</definedName>
    <definedName name="IQ_AIR_LOAD_FACTOR">"c2823"</definedName>
    <definedName name="IQ_AIR_NEW_AIRPLANES">"c2839"</definedName>
    <definedName name="IQ_AIR_OPER_EXP_ASK">"c2821"</definedName>
    <definedName name="IQ_AIR_OPER_EXP_ASM">"c2820"</definedName>
    <definedName name="IQ_AIR_OPER_LEASE">"c2834"</definedName>
    <definedName name="IQ_AIR_OPER_REV_YIELD_ASK">"c2819"</definedName>
    <definedName name="IQ_AIR_OPER_REV_YIELD_ASM">"c2818"</definedName>
    <definedName name="IQ_AIR_OPTIONS">"c2837"</definedName>
    <definedName name="IQ_AIR_ORDERS">"c2836"</definedName>
    <definedName name="IQ_AIR_OWNED">"c2832"</definedName>
    <definedName name="IQ_AIR_PSGR_REV_YIELD_ASK">"c2817"</definedName>
    <definedName name="IQ_AIR_PSGR_REV_YIELD_ASM">"c2816"</definedName>
    <definedName name="IQ_AIR_PSGR_REV_YIELD_RPK">"c2815"</definedName>
    <definedName name="IQ_AIR_PSGR_REV_YIELD_RPM">"c2814"</definedName>
    <definedName name="IQ_AIR_PURCHASE_RIGHTS">"c2838"</definedName>
    <definedName name="IQ_AIR_RETIRED_AIRPLANES">"c2840"</definedName>
    <definedName name="IQ_AIR_REV_PSGRS_CARRIED">"c2808"</definedName>
    <definedName name="IQ_AIR_REV_SCHEDULED_SERVICE">"c2830"</definedName>
    <definedName name="IQ_AIR_RPK">"c2811"</definedName>
    <definedName name="IQ_AIR_RPM">"c2810"</definedName>
    <definedName name="IQ_AIR_STAGE_LENGTH">"c2828"</definedName>
    <definedName name="IQ_AIR_STAGE_LENGTH_KM">"c2829"</definedName>
    <definedName name="IQ_AIR_TOTAL">"c2831"</definedName>
    <definedName name="IQ_AIR_UTILIZATION">"c2827"</definedName>
    <definedName name="IQ_ALLOW_BORROW_CONST">"c15"</definedName>
    <definedName name="IQ_ALLOW_CONST">"c1342"</definedName>
    <definedName name="IQ_ALLOW_DOUBT_ACCT">"c2092"</definedName>
    <definedName name="IQ_ALLOW_EQUITY_CONST">"c16"</definedName>
    <definedName name="IQ_ALLOW_LL">"c17"</definedName>
    <definedName name="IQ_ALLOWANCE_10YR_ANN_GROWTH">"c18"</definedName>
    <definedName name="IQ_ALLOWANCE_1YR_ANN_GROWTH">"c19"</definedName>
    <definedName name="IQ_ALLOWANCE_2YR_ANN_GROWTH">"c20"</definedName>
    <definedName name="IQ_ALLOWANCE_3YR_ANN_GROWTH">"c21"</definedName>
    <definedName name="IQ_ALLOWANCE_5YR_ANN_GROWTH">"c22"</definedName>
    <definedName name="IQ_ALLOWANCE_7YR_ANN_GROWTH">"c23"</definedName>
    <definedName name="IQ_ALLOWANCE_CHARGE_OFFS">"c24"</definedName>
    <definedName name="IQ_ALLOWANCE_NON_PERF_LOANS">"c25"</definedName>
    <definedName name="IQ_ALLOWANCE_TOTAL_LOANS">"c26"</definedName>
    <definedName name="IQ_AMORTIZATION">"c1591"</definedName>
    <definedName name="IQ_ANNU_DISTRIBUTION_UNIT">"c3004"</definedName>
    <definedName name="IQ_ANNUALIZED_DIVIDEND">"c1579"</definedName>
    <definedName name="IQ_ANNUITY_LIAB">"c27"</definedName>
    <definedName name="IQ_ANNUITY_PAY">"c28"</definedName>
    <definedName name="IQ_ANNUITY_POLICY_EXP">"c29"</definedName>
    <definedName name="IQ_ANNUITY_REC">"c30"</definedName>
    <definedName name="IQ_ANNUITY_REV">"c31"</definedName>
    <definedName name="IQ_AP">"c32"</definedName>
    <definedName name="IQ_AP_BNK">"c33"</definedName>
    <definedName name="IQ_AP_BR">"c34"</definedName>
    <definedName name="IQ_AP_FIN">"c35"</definedName>
    <definedName name="IQ_AP_INS">"c36"</definedName>
    <definedName name="IQ_AP_REIT">"c37"</definedName>
    <definedName name="IQ_AP_UTI">"c38"</definedName>
    <definedName name="IQ_APIC">"c39"</definedName>
    <definedName name="IQ_AR">"c40"</definedName>
    <definedName name="IQ_AR_BR">"c41"</definedName>
    <definedName name="IQ_AR_LT">"c42"</definedName>
    <definedName name="IQ_AR_REIT">"c43"</definedName>
    <definedName name="IQ_AR_TURNS">"c44"</definedName>
    <definedName name="IQ_AR_UTI">"c45"</definedName>
    <definedName name="IQ_ARPU">"c2126"</definedName>
    <definedName name="IQ_ASSET_MGMT_FEE">"c46"</definedName>
    <definedName name="IQ_ASSET_TURNS">"c47"</definedName>
    <definedName name="IQ_ASSET_WRITEDOWN">"c48"</definedName>
    <definedName name="IQ_ASSET_WRITEDOWN_BNK">"c49"</definedName>
    <definedName name="IQ_ASSET_WRITEDOWN_BR">"c50"</definedName>
    <definedName name="IQ_ASSET_WRITEDOWN_CF">"c51"</definedName>
    <definedName name="IQ_ASSET_WRITEDOWN_CF_BNK">"c52"</definedName>
    <definedName name="IQ_ASSET_WRITEDOWN_CF_BR">"c53"</definedName>
    <definedName name="IQ_ASSET_WRITEDOWN_CF_FIN">"c54"</definedName>
    <definedName name="IQ_ASSET_WRITEDOWN_CF_INS">"c55"</definedName>
    <definedName name="IQ_ASSET_WRITEDOWN_CF_REIT">"c56"</definedName>
    <definedName name="IQ_ASSET_WRITEDOWN_CF_UTI">"c57"</definedName>
    <definedName name="IQ_ASSET_WRITEDOWN_FIN">"c58"</definedName>
    <definedName name="IQ_ASSET_WRITEDOWN_INS">"c59"</definedName>
    <definedName name="IQ_ASSET_WRITEDOWN_REIT">"c60"</definedName>
    <definedName name="IQ_ASSET_WRITEDOWN_UTI">"c61"</definedName>
    <definedName name="IQ_ASSETS_CAP_LEASE_DEPR">"c2068"</definedName>
    <definedName name="IQ_ASSETS_CAP_LEASE_GROSS">"c2069"</definedName>
    <definedName name="IQ_ASSETS_OPER_LEASE_DEPR">"c2070"</definedName>
    <definedName name="IQ_ASSETS_OPER_LEASE_GROSS">"c2071"</definedName>
    <definedName name="IQ_ASSUMED_AH_EARNED">"c2741"</definedName>
    <definedName name="IQ_ASSUMED_EARNED">"c2731"</definedName>
    <definedName name="IQ_ASSUMED_LIFE_EARNED">"c2736"</definedName>
    <definedName name="IQ_ASSUMED_LIFE_IN_FORCE">"c2766"</definedName>
    <definedName name="IQ_ASSUMED_PC_EARNED">"c2746"</definedName>
    <definedName name="IQ_ASSUMED_WRITTEN">"c2725"</definedName>
    <definedName name="IQ_AUDITOR_NAME">"c1539"</definedName>
    <definedName name="IQ_AUDITOR_OPINION">"c1540"</definedName>
    <definedName name="IQ_AUTO_WRITTEN">"c62"</definedName>
    <definedName name="IQ_AVG_BANK_ASSETS">"c2072"</definedName>
    <definedName name="IQ_AVG_BANK_LOANS">"c2073"</definedName>
    <definedName name="IQ_AVG_BROKER_REC">"c63"</definedName>
    <definedName name="IQ_AVG_BROKER_REC_NO">"c64"</definedName>
    <definedName name="IQ_AVG_DAILY_VOL">"c65"</definedName>
    <definedName name="IQ_AVG_INT_BEAR_LIAB">"c66"</definedName>
    <definedName name="IQ_AVG_INT_BEAR_LIAB_10YR_ANN_GROWTH">"c67"</definedName>
    <definedName name="IQ_AVG_INT_BEAR_LIAB_1YR_ANN_GROWTH">"c68"</definedName>
    <definedName name="IQ_AVG_INT_BEAR_LIAB_2YR_ANN_GROWTH">"c69"</definedName>
    <definedName name="IQ_AVG_INT_BEAR_LIAB_3YR_ANN_GROWTH">"c70"</definedName>
    <definedName name="IQ_AVG_INT_BEAR_LIAB_5YR_ANN_GROWTH">"c71"</definedName>
    <definedName name="IQ_AVG_INT_BEAR_LIAB_7YR_ANN_GROWTH">"c72"</definedName>
    <definedName name="IQ_AVG_INT_EARN_ASSETS">"c73"</definedName>
    <definedName name="IQ_AVG_INT_EARN_ASSETS_10YR_ANN_GROWTH">"c74"</definedName>
    <definedName name="IQ_AVG_INT_EARN_ASSETS_1YR_ANN_GROWTH">"c75"</definedName>
    <definedName name="IQ_AVG_INT_EARN_ASSETS_2YR_ANN_GROWTH">"c76"</definedName>
    <definedName name="IQ_AVG_INT_EARN_ASSETS_3YR_ANN_GROWTH">"c77"</definedName>
    <definedName name="IQ_AVG_INT_EARN_ASSETS_5YR_ANN_GROWTH">"c78"</definedName>
    <definedName name="IQ_AVG_INT_EARN_ASSETS_7YR_ANN_GROWTH">"c79"</definedName>
    <definedName name="IQ_AVG_MKTCAP">"c80"</definedName>
    <definedName name="IQ_AVG_PRICE">"c81"</definedName>
    <definedName name="IQ_AVG_SHAREOUTSTANDING">"c83"</definedName>
    <definedName name="IQ_AVG_TEV">"c84"</definedName>
    <definedName name="IQ_AVG_VOLUME">"c1346"</definedName>
    <definedName name="IQ_BANK_DEBT">"c2544"</definedName>
    <definedName name="IQ_BANK_DEBT_PCT">"c2545"</definedName>
    <definedName name="IQ_BASIC_EPS_EXCL">"c85"</definedName>
    <definedName name="IQ_BASIC_EPS_INCL">"c86"</definedName>
    <definedName name="IQ_BASIC_NORMAL_EPS">"c1592"</definedName>
    <definedName name="IQ_BASIC_WEIGHT">"c87"</definedName>
    <definedName name="IQ_BETA">"c2133"</definedName>
    <definedName name="IQ_BETA_1YR">"c1966"</definedName>
    <definedName name="IQ_BETA_1YR_RSQ">"c2132"</definedName>
    <definedName name="IQ_BETA_2YR">"c1965"</definedName>
    <definedName name="IQ_BETA_2YR_RSQ">"c2131"</definedName>
    <definedName name="IQ_BETA_5YR">"c88"</definedName>
    <definedName name="IQ_BETA_5YR_RSQ">"c2130"</definedName>
    <definedName name="IQ_BIG_INT_BEAR_CD">"c89"</definedName>
    <definedName name="IQ_BOARD_MEMBER">"c96"</definedName>
    <definedName name="IQ_BOARD_MEMBER_BACKGROUND">"c2101"</definedName>
    <definedName name="IQ_BOARD_MEMBER_TITLE">"c97"</definedName>
    <definedName name="IQ_BROK_COMISSION">"c98"</definedName>
    <definedName name="IQ_BUILDINGS">"c99"</definedName>
    <definedName name="IQ_BUSINESS_DESCRIPTION">"c322"</definedName>
    <definedName name="IQ_BV_OVER_SHARES">"c1349"</definedName>
    <definedName name="IQ_BV_SHARE">"c100"</definedName>
    <definedName name="IQ_CABLE_ARPU">"c2869"</definedName>
    <definedName name="IQ_CABLE_ARPU_ANALOG">"c2864"</definedName>
    <definedName name="IQ_CABLE_ARPU_BASIC">"c2866"</definedName>
    <definedName name="IQ_CABLE_ARPU_BBAND">"c2867"</definedName>
    <definedName name="IQ_CABLE_ARPU_DIG">"c2865"</definedName>
    <definedName name="IQ_CABLE_ARPU_PHONE">"c2868"</definedName>
    <definedName name="IQ_CABLE_BASIC_PENETRATION">"c2850"</definedName>
    <definedName name="IQ_CABLE_BBAND_PENETRATION">"c2852"</definedName>
    <definedName name="IQ_CABLE_BBAND_PENETRATION_THP">"c2851"</definedName>
    <definedName name="IQ_CABLE_CHURN">"c2874"</definedName>
    <definedName name="IQ_CABLE_CHURN_BASIC">"c2871"</definedName>
    <definedName name="IQ_CABLE_CHURN_BBAND">"c2872"</definedName>
    <definedName name="IQ_CABLE_CHURN_DIG">"c2870"</definedName>
    <definedName name="IQ_CABLE_CHURN_PHONE">"c2873"</definedName>
    <definedName name="IQ_CABLE_HOMES_PER_MILE">"c2849"</definedName>
    <definedName name="IQ_CABLE_HP_BBAND">"c2845"</definedName>
    <definedName name="IQ_CABLE_HP_DIG">"c2844"</definedName>
    <definedName name="IQ_CABLE_HP_PHONE">"c2846"</definedName>
    <definedName name="IQ_CABLE_MILES_PASSED">"c2848"</definedName>
    <definedName name="IQ_CABLE_OTHER_REV">"c2882"</definedName>
    <definedName name="IQ_CABLE_PHONE_PENETRATION">"c2853"</definedName>
    <definedName name="IQ_CABLE_PROGRAMMING_COSTS">"c2884"</definedName>
    <definedName name="IQ_CABLE_REV_ADVERT">"c2880"</definedName>
    <definedName name="IQ_CABLE_REV_ANALOG">"c2875"</definedName>
    <definedName name="IQ_CABLE_REV_BASIC">"c2877"</definedName>
    <definedName name="IQ_CABLE_REV_BBAND">"c2878"</definedName>
    <definedName name="IQ_CABLE_REV_COMMERCIAL">"c2881"</definedName>
    <definedName name="IQ_CABLE_REV_DIG">"c2876"</definedName>
    <definedName name="IQ_CABLE_REV_PHONE">"c2879"</definedName>
    <definedName name="IQ_CABLE_RGU">"c2863"</definedName>
    <definedName name="IQ_CABLE_SUBS_ANALOG">"c2855"</definedName>
    <definedName name="IQ_CABLE_SUBS_BASIC">"c2857"</definedName>
    <definedName name="IQ_CABLE_SUBS_BBAND">"c2858"</definedName>
    <definedName name="IQ_CABLE_SUBS_BUNDLED">"c2861"</definedName>
    <definedName name="IQ_CABLE_SUBS_DIG">"c2856"</definedName>
    <definedName name="IQ_CABLE_SUBS_NON_VIDEO">"c2860"</definedName>
    <definedName name="IQ_CABLE_SUBS_PHONE">"c2859"</definedName>
    <definedName name="IQ_CABLE_SUBS_TOTAL">"c2862"</definedName>
    <definedName name="IQ_CABLE_THP">"c2847"</definedName>
    <definedName name="IQ_CABLE_TOTAL_PENETRATION">"c2854"</definedName>
    <definedName name="IQ_CABLE_TOTAL_REV">"c2883"</definedName>
    <definedName name="IQ_CAL_Q">"c101"</definedName>
    <definedName name="IQ_CAL_Y">"c102"</definedName>
    <definedName name="IQ_CAPEX">"c103"</definedName>
    <definedName name="IQ_CAPEX_10YR_ANN_GROWTH">"c104"</definedName>
    <definedName name="IQ_CAPEX_1YR_ANN_GROWTH">"c105"</definedName>
    <definedName name="IQ_CAPEX_2YR_ANN_GROWTH">"c106"</definedName>
    <definedName name="IQ_CAPEX_3YR_ANN_GROWTH">"c107"</definedName>
    <definedName name="IQ_CAPEX_5YR_ANN_GROWTH">"c108"</definedName>
    <definedName name="IQ_CAPEX_7YR_ANN_GROWTH">"c109"</definedName>
    <definedName name="IQ_CAPEX_BNK">"c110"</definedName>
    <definedName name="IQ_CAPEX_BR">"c111"</definedName>
    <definedName name="IQ_CAPEX_FIN">"c112"</definedName>
    <definedName name="IQ_CAPEX_INS">"c113"</definedName>
    <definedName name="IQ_CAPEX_UTI">"c114"</definedName>
    <definedName name="IQ_CAPITAL_LEASE">"c1350"</definedName>
    <definedName name="IQ_CAPITAL_LEASES">"c115"</definedName>
    <definedName name="IQ_CAPITAL_LEASES_TOTAL">"c3031"</definedName>
    <definedName name="IQ_CAPITAL_LEASES_TOTAL_PCT">"c2506"</definedName>
    <definedName name="IQ_CAPITALIZED_INTEREST">"c2076"</definedName>
    <definedName name="IQ_CASH">"c1458"</definedName>
    <definedName name="IQ_CASH_ACQUIRE_CF">"c116"</definedName>
    <definedName name="IQ_CASH_CONVERSION">"c117"</definedName>
    <definedName name="IQ_CASH_DUE_BANKS">"c1351"</definedName>
    <definedName name="IQ_CASH_EQUIV">"c118"</definedName>
    <definedName name="IQ_CASH_FINAN">"c119"</definedName>
    <definedName name="IQ_CASH_INTEREST">"c120"</definedName>
    <definedName name="IQ_CASH_INVEST">"c121"</definedName>
    <definedName name="IQ_CASH_OPER">"c122"</definedName>
    <definedName name="IQ_CASH_SEGREG">"c123"</definedName>
    <definedName name="IQ_CASH_SHARE">"c1911"</definedName>
    <definedName name="IQ_CASH_ST">"c1355"</definedName>
    <definedName name="IQ_CASH_ST_INVEST">"c124"</definedName>
    <definedName name="IQ_CASH_TAXES">"c125"</definedName>
    <definedName name="IQ_CEDED_AH_EARNED">"c2743"</definedName>
    <definedName name="IQ_CEDED_CLAIM_EXP_INCUR">"c2756"</definedName>
    <definedName name="IQ_CEDED_CLAIM_EXP_PAID">"c2759"</definedName>
    <definedName name="IQ_CEDED_CLAIM_EXP_RES">"c2753"</definedName>
    <definedName name="IQ_CEDED_EARNED">"c2733"</definedName>
    <definedName name="IQ_CEDED_LIFE_EARNED">"c2738"</definedName>
    <definedName name="IQ_CEDED_LIFE_IN_FORCE">"c2768"</definedName>
    <definedName name="IQ_CEDED_PC_EARNED">"c2748"</definedName>
    <definedName name="IQ_CEDED_WRITTEN">"c2727"</definedName>
    <definedName name="IQ_CFO_10YR_ANN_GROWTH">"c126"</definedName>
    <definedName name="IQ_CFO_1YR_ANN_GROWTH">"c127"</definedName>
    <definedName name="IQ_CFO_2YR_ANN_GROWTH">"c128"</definedName>
    <definedName name="IQ_CFO_3YR_ANN_GROWTH">"c129"</definedName>
    <definedName name="IQ_CFO_5YR_ANN_GROWTH">"c130"</definedName>
    <definedName name="IQ_CFO_7YR_ANN_GROWTH">"c131"</definedName>
    <definedName name="IQ_CFO_CURRENT_LIAB">"c132"</definedName>
    <definedName name="IQ_CFPS_ACT_OR_EST">"c2217"</definedName>
    <definedName name="IQ_CFPS_EST">"c1667"</definedName>
    <definedName name="IQ_CFPS_HIGH_EST">"c1669"</definedName>
    <definedName name="IQ_CFPS_LOW_EST">"c1670"</definedName>
    <definedName name="IQ_CFPS_MEDIAN_EST">"c1668"</definedName>
    <definedName name="IQ_CFPS_NUM_EST">"c1671"</definedName>
    <definedName name="IQ_CFPS_STDDEV_EST">"c1672"</definedName>
    <definedName name="IQ_CH">110000</definedName>
    <definedName name="IQ_CHANGE_AP">"c133"</definedName>
    <definedName name="IQ_CHANGE_AP_BNK">"c134"</definedName>
    <definedName name="IQ_CHANGE_AP_BR">"c135"</definedName>
    <definedName name="IQ_CHANGE_AP_FIN">"c136"</definedName>
    <definedName name="IQ_CHANGE_AP_INS">"c137"</definedName>
    <definedName name="IQ_CHANGE_AP_REIT">"c138"</definedName>
    <definedName name="IQ_CHANGE_AP_UTI">"c139"</definedName>
    <definedName name="IQ_CHANGE_AR">"c140"</definedName>
    <definedName name="IQ_CHANGE_AR_BNK">"c141"</definedName>
    <definedName name="IQ_CHANGE_AR_BR">"c142"</definedName>
    <definedName name="IQ_CHANGE_AR_FIN">"c143"</definedName>
    <definedName name="IQ_CHANGE_AR_INS">"c144"</definedName>
    <definedName name="IQ_CHANGE_AR_REIT">"c145"</definedName>
    <definedName name="IQ_CHANGE_AR_UTI">"c146"</definedName>
    <definedName name="IQ_CHANGE_DEF_TAX">"c147"</definedName>
    <definedName name="IQ_CHANGE_DEPOSIT_ACCT">"c148"</definedName>
    <definedName name="IQ_CHANGE_INC_TAX">"c149"</definedName>
    <definedName name="IQ_CHANGE_INS_RES_LIAB">"c150"</definedName>
    <definedName name="IQ_CHANGE_INVENTORY">"c151"</definedName>
    <definedName name="IQ_CHANGE_NET_WORKING_CAPITAL">"c1909"</definedName>
    <definedName name="IQ_CHANGE_OTHER_WORK_CAP">"c152"</definedName>
    <definedName name="IQ_CHANGE_OTHER_WORK_CAP_BNK">"c153"</definedName>
    <definedName name="IQ_CHANGE_OTHER_WORK_CAP_BR">"c154"</definedName>
    <definedName name="IQ_CHANGE_OTHER_WORK_CAP_FIN">"c155"</definedName>
    <definedName name="IQ_CHANGE_OTHER_WORK_CAP_INS">"c156"</definedName>
    <definedName name="IQ_CHANGE_OTHER_WORK_CAP_REIT">"c157"</definedName>
    <definedName name="IQ_CHANGE_OTHER_WORK_CAP_UTI">"c158"</definedName>
    <definedName name="IQ_CHANGE_TRADING_ASSETS">"c159"</definedName>
    <definedName name="IQ_CHANGE_UNEARN_REV">"c160"</definedName>
    <definedName name="IQ_CHANGE_WORK_CAP">"c161"</definedName>
    <definedName name="IQ_CHANGES_WORK_CAP">"c1357"</definedName>
    <definedName name="IQ_CHARGE_OFFS_GROSS">"c162"</definedName>
    <definedName name="IQ_CHARGE_OFFS_NET">"c163"</definedName>
    <definedName name="IQ_CHARGE_OFFS_RECOVERED">"c164"</definedName>
    <definedName name="IQ_CHARGE_OFFS_TOTAL_AVG_LOANS">"c165"</definedName>
    <definedName name="IQ_CITY">"c166"</definedName>
    <definedName name="IQ_CL_DUE_AFTER_FIVE">"c167"</definedName>
    <definedName name="IQ_CL_DUE_CY">"c168"</definedName>
    <definedName name="IQ_CL_DUE_CY1">"c169"</definedName>
    <definedName name="IQ_CL_DUE_CY2">"c170"</definedName>
    <definedName name="IQ_CL_DUE_CY3">"c171"</definedName>
    <definedName name="IQ_CL_DUE_CY4">"c172"</definedName>
    <definedName name="IQ_CL_DUE_NEXT_FIVE">"c173"</definedName>
    <definedName name="IQ_CL_OBLIGATION_IMMEDIATE">"c2253"</definedName>
    <definedName name="IQ_CLASSA_OPTIONS_BEG_OS">"c2679"</definedName>
    <definedName name="IQ_CLASSA_OPTIONS_CANCELLED">"c2682"</definedName>
    <definedName name="IQ_CLASSA_OPTIONS_END_OS">"c2683"</definedName>
    <definedName name="IQ_CLASSA_OPTIONS_EXERCISED">"c2681"</definedName>
    <definedName name="IQ_CLASSA_OPTIONS_GRANTED">"c2680"</definedName>
    <definedName name="IQ_CLASSA_OPTIONS_STRIKE_PRICE_OS">"c2684"</definedName>
    <definedName name="IQ_CLASSA_OUTSTANDING_BS_DATE">"c1971"</definedName>
    <definedName name="IQ_CLASSA_OUTSTANDING_FILING_DATE">"c1973"</definedName>
    <definedName name="IQ_CLASSA_STRIKE_PRICE_GRANTED">"c2685"</definedName>
    <definedName name="IQ_CLASSA_WARRANTS_BEG_OS">"c2705"</definedName>
    <definedName name="IQ_CLASSA_WARRANTS_CANCELLED">"c2708"</definedName>
    <definedName name="IQ_CLASSA_WARRANTS_END_OS">"c2709"</definedName>
    <definedName name="IQ_CLASSA_WARRANTS_EXERCISED">"c2707"</definedName>
    <definedName name="IQ_CLASSA_WARRANTS_ISSUED">"c2706"</definedName>
    <definedName name="IQ_CLASSA_WARRANTS_STRIKE_PRICE_ISSUED">"c2711"</definedName>
    <definedName name="IQ_CLASSA_WARRANTS_STRIKE_PRICE_OS">"c2710"</definedName>
    <definedName name="IQ_CLOSEPRICE">"c174"</definedName>
    <definedName name="IQ_CLOSEPRICE_ADJ">"c2115"</definedName>
    <definedName name="IQ_COGS">"c175"</definedName>
    <definedName name="IQ_COMBINED_RATIO">"c176"</definedName>
    <definedName name="IQ_COMMERCIAL_DOM">"c177"</definedName>
    <definedName name="IQ_COMMERCIAL_FIRE_WRITTEN">"c178"</definedName>
    <definedName name="IQ_COMMERCIAL_MORT">"c179"</definedName>
    <definedName name="IQ_COMMISS_FEES">"c180"</definedName>
    <definedName name="IQ_COMMISSION_DEF">"c181"</definedName>
    <definedName name="IQ_COMMON">"c182"</definedName>
    <definedName name="IQ_COMMON_APIC">"c183"</definedName>
    <definedName name="IQ_COMMON_APIC_BNK">"c184"</definedName>
    <definedName name="IQ_COMMON_APIC_BR">"c185"</definedName>
    <definedName name="IQ_COMMON_APIC_FIN">"c186"</definedName>
    <definedName name="IQ_COMMON_APIC_INS">"c187"</definedName>
    <definedName name="IQ_COMMON_APIC_REIT">"c188"</definedName>
    <definedName name="IQ_COMMON_APIC_UTI">"c189"</definedName>
    <definedName name="IQ_COMMON_DIV">"c3006"</definedName>
    <definedName name="IQ_COMMON_DIV_CF">"c190"</definedName>
    <definedName name="IQ_COMMON_EQUITY_10YR_ANN_GROWTH">"c191"</definedName>
    <definedName name="IQ_COMMON_EQUITY_1YR_ANN_GROWTH">"c192"</definedName>
    <definedName name="IQ_COMMON_EQUITY_2YR_ANN_GROWTH">"c193"</definedName>
    <definedName name="IQ_COMMON_EQUITY_3YR_ANN_GROWTH">"c194"</definedName>
    <definedName name="IQ_COMMON_EQUITY_5YR_ANN_GROWTH">"c195"</definedName>
    <definedName name="IQ_COMMON_EQUITY_7YR_ANN_GROWTH">"c196"</definedName>
    <definedName name="IQ_COMMON_ISSUED">"c197"</definedName>
    <definedName name="IQ_COMMON_ISSUED_BNK">"c198"</definedName>
    <definedName name="IQ_COMMON_ISSUED_BR">"c199"</definedName>
    <definedName name="IQ_COMMON_ISSUED_FIN">"c200"</definedName>
    <definedName name="IQ_COMMON_ISSUED_INS">"c201"</definedName>
    <definedName name="IQ_COMMON_ISSUED_REIT">"c202"</definedName>
    <definedName name="IQ_COMMON_ISSUED_UTI">"c203"</definedName>
    <definedName name="IQ_COMMON_PER_ADR">"c204"</definedName>
    <definedName name="IQ_COMMON_PREF_DIV_CF">"c205"</definedName>
    <definedName name="IQ_COMMON_REP">"c206"</definedName>
    <definedName name="IQ_COMMON_REP_BNK">"c207"</definedName>
    <definedName name="IQ_COMMON_REP_BR">"c208"</definedName>
    <definedName name="IQ_COMMON_REP_FIN">"c209"</definedName>
    <definedName name="IQ_COMMON_REP_INS">"c210"</definedName>
    <definedName name="IQ_COMMON_REP_REIT">"c211"</definedName>
    <definedName name="IQ_COMMON_REP_UTI">"c212"</definedName>
    <definedName name="IQ_COMMON_STOCK">"c1358"</definedName>
    <definedName name="IQ_COMP_BENEFITS">"c213"</definedName>
    <definedName name="IQ_COMPANY_ADDRESS">"c214"</definedName>
    <definedName name="IQ_COMPANY_NAME">"c215"</definedName>
    <definedName name="IQ_COMPANY_NAME_LONG">"c1585"</definedName>
    <definedName name="IQ_COMPANY_PHONE">"c216"</definedName>
    <definedName name="IQ_COMPANY_STATUS">"c2097"</definedName>
    <definedName name="IQ_COMPANY_STREET1">"c217"</definedName>
    <definedName name="IQ_COMPANY_STREET2">"c218"</definedName>
    <definedName name="IQ_COMPANY_TICKER">"c219"</definedName>
    <definedName name="IQ_COMPANY_TYPE">"c2096"</definedName>
    <definedName name="IQ_COMPANY_WEBSITE">"c220"</definedName>
    <definedName name="IQ_COMPANY_ZIP">"c221"</definedName>
    <definedName name="IQ_CONSTRUCTION_LOANS">"c222"</definedName>
    <definedName name="IQ_CONSUMER_LOANS">"c223"</definedName>
    <definedName name="IQ_CONVERT">"c2536"</definedName>
    <definedName name="IQ_CONVERT_PCT">"c2537"</definedName>
    <definedName name="IQ_COST_BORROWING">"c2936"</definedName>
    <definedName name="IQ_COST_BORROWINGS">"c225"</definedName>
    <definedName name="IQ_COST_REV">"c226"</definedName>
    <definedName name="IQ_COST_REVENUE">"c1359"</definedName>
    <definedName name="IQ_COST_SAVINGS">"c227"</definedName>
    <definedName name="IQ_COST_SERVICE">"c228"</definedName>
    <definedName name="IQ_COST_TOTAL_BORROWINGS">"c229"</definedName>
    <definedName name="IQ_COUNTRY_NAME">"c230"</definedName>
    <definedName name="IQ_COVERED_POPS">"c2124"</definedName>
    <definedName name="IQ_CP">"c2495"</definedName>
    <definedName name="IQ_CP_PCT">"c2496"</definedName>
    <definedName name="IQ_CQ">5000</definedName>
    <definedName name="IQ_CREDIT_CARD_FEE_BNK">"c231"</definedName>
    <definedName name="IQ_CREDIT_CARD_FEE_FIN">"c1583"</definedName>
    <definedName name="IQ_CREDIT_LOSS_CF">"c232"</definedName>
    <definedName name="IQ_CUMULATIVE_SPLIT_FACTOR">"c2094"</definedName>
    <definedName name="IQ_CURR_DOMESTIC_TAXES">"c2074"</definedName>
    <definedName name="IQ_CURR_FOREIGN_TAXES">"c2075"</definedName>
    <definedName name="IQ_CURRENCY_FACTOR_BS">"c233"</definedName>
    <definedName name="IQ_CURRENCY_FACTOR_IS">"c234"</definedName>
    <definedName name="IQ_CURRENCY_GAIN">"c235"</definedName>
    <definedName name="IQ_CURRENCY_GAIN_BR">"c236"</definedName>
    <definedName name="IQ_CURRENCY_GAIN_FIN">"c237"</definedName>
    <definedName name="IQ_CURRENCY_GAIN_INS">"c238"</definedName>
    <definedName name="IQ_CURRENCY_GAIN_REIT">"c239"</definedName>
    <definedName name="IQ_CURRENCY_GAIN_UTI">"c240"</definedName>
    <definedName name="IQ_CURRENT_PORT">"c241"</definedName>
    <definedName name="IQ_CURRENT_PORT_BNK">"c242"</definedName>
    <definedName name="IQ_CURRENT_PORT_DEBT">"c243"</definedName>
    <definedName name="IQ_CURRENT_PORT_DEBT_BNK">"c244"</definedName>
    <definedName name="IQ_CURRENT_PORT_DEBT_BR">"c1567"</definedName>
    <definedName name="IQ_CURRENT_PORT_DEBT_FIN">"c1568"</definedName>
    <definedName name="IQ_CURRENT_PORT_DEBT_INS">"c1569"</definedName>
    <definedName name="IQ_CURRENT_PORT_DEBT_REIT">"c1570"</definedName>
    <definedName name="IQ_CURRENT_PORT_DEBT_UTI">"c1571"</definedName>
    <definedName name="IQ_CURRENT_PORT_LEASES">"c245"</definedName>
    <definedName name="IQ_CURRENT_PORT_PCT">"c2541"</definedName>
    <definedName name="IQ_CURRENT_RATIO">"c246"</definedName>
    <definedName name="IQ_CY">10000</definedName>
    <definedName name="IQ_DA">"c247"</definedName>
    <definedName name="IQ_DA_BR">"c248"</definedName>
    <definedName name="IQ_DA_CF">"c249"</definedName>
    <definedName name="IQ_DA_CF_BNK">"c250"</definedName>
    <definedName name="IQ_DA_CF_BR">"c251"</definedName>
    <definedName name="IQ_DA_CF_FIN">"c252"</definedName>
    <definedName name="IQ_DA_CF_INS">"c253"</definedName>
    <definedName name="IQ_DA_CF_REIT">"c254"</definedName>
    <definedName name="IQ_DA_CF_UTI">"c255"</definedName>
    <definedName name="IQ_DA_FIN">"c256"</definedName>
    <definedName name="IQ_DA_INS">"c257"</definedName>
    <definedName name="IQ_DA_REIT">"c258"</definedName>
    <definedName name="IQ_DA_SUPPL">"c259"</definedName>
    <definedName name="IQ_DA_SUPPL_BR">"c260"</definedName>
    <definedName name="IQ_DA_SUPPL_CF">"c261"</definedName>
    <definedName name="IQ_DA_SUPPL_CF_BNK">"c262"</definedName>
    <definedName name="IQ_DA_SUPPL_CF_BR">"c263"</definedName>
    <definedName name="IQ_DA_SUPPL_CF_FIN">"c264"</definedName>
    <definedName name="IQ_DA_SUPPL_CF_INS">"c265"</definedName>
    <definedName name="IQ_DA_SUPPL_CF_REIT">"c266"</definedName>
    <definedName name="IQ_DA_SUPPL_CF_UTI">"c267"</definedName>
    <definedName name="IQ_DA_SUPPL_FIN">"c268"</definedName>
    <definedName name="IQ_DA_SUPPL_INS">"c269"</definedName>
    <definedName name="IQ_DA_SUPPL_REIT">"c270"</definedName>
    <definedName name="IQ_DA_SUPPL_UTI">"c271"</definedName>
    <definedName name="IQ_DA_UTI">"c272"</definedName>
    <definedName name="IQ_DAILY">500000</definedName>
    <definedName name="IQ_DAYS_COVER_SHORT">"c1578"</definedName>
    <definedName name="IQ_DAYS_INVENTORY_OUT">"c273"</definedName>
    <definedName name="IQ_DAYS_PAY_OUTST">"c1362"</definedName>
    <definedName name="IQ_DAYS_PAYABLE_OUT">"c274"</definedName>
    <definedName name="IQ_DAYS_SALES_OUT">"c275"</definedName>
    <definedName name="IQ_DAYS_SALES_OUTST">"c1363"</definedName>
    <definedName name="IQ_DEBT_ADJ">"c2515"</definedName>
    <definedName name="IQ_DEBT_ADJ_PCT">"c2516"</definedName>
    <definedName name="IQ_DEBT_EQUIV_NET_PBO">"c2938"</definedName>
    <definedName name="IQ_DEBT_EQUIV_OPER_LEASE">"c2935"</definedName>
    <definedName name="IQ_DEF_ACQ_CST">"c1364"</definedName>
    <definedName name="IQ_DEF_AMORT">"c276"</definedName>
    <definedName name="IQ_DEF_AMORT_BNK">"c277"</definedName>
    <definedName name="IQ_DEF_AMORT_BR">"c278"</definedName>
    <definedName name="IQ_DEF_AMORT_FIN">"c279"</definedName>
    <definedName name="IQ_DEF_AMORT_INS">"c280"</definedName>
    <definedName name="IQ_DEF_AMORT_REIT">"c281"</definedName>
    <definedName name="IQ_DEF_AMORT_UTI">"c282"</definedName>
    <definedName name="IQ_DEF_BENEFIT_INTEREST_COST">"c283"</definedName>
    <definedName name="IQ_DEF_BENEFIT_INTEREST_COST_DOMESTIC">"c2652"</definedName>
    <definedName name="IQ_DEF_BENEFIT_INTEREST_COST_FOREIGN">"c2660"</definedName>
    <definedName name="IQ_DEF_BENEFIT_OTHER_COST">"c284"</definedName>
    <definedName name="IQ_DEF_BENEFIT_OTHER_COST_DOMESTIC">"c2654"</definedName>
    <definedName name="IQ_DEF_BENEFIT_OTHER_COST_FOREIGN">"c2662"</definedName>
    <definedName name="IQ_DEF_BENEFIT_ROA">"c285"</definedName>
    <definedName name="IQ_DEF_BENEFIT_ROA_DOMESTIC">"c2653"</definedName>
    <definedName name="IQ_DEF_BENEFIT_ROA_FOREIGN">"c2661"</definedName>
    <definedName name="IQ_DEF_BENEFIT_SERVICE_COST">"c286"</definedName>
    <definedName name="IQ_DEF_BENEFIT_SERVICE_COST_DOMESTIC">"c2651"</definedName>
    <definedName name="IQ_DEF_BENEFIT_SERVICE_COST_FOREIGN">"c2659"</definedName>
    <definedName name="IQ_DEF_BENEFIT_TOTAL_COST">"c287"</definedName>
    <definedName name="IQ_DEF_BENEFIT_TOTAL_COST_DOMESTIC">"c2655"</definedName>
    <definedName name="IQ_DEF_BENEFIT_TOTAL_COST_FOREIGN">"c2663"</definedName>
    <definedName name="IQ_DEF_CHARGES_BR">"c288"</definedName>
    <definedName name="IQ_DEF_CHARGES_CF">"c289"</definedName>
    <definedName name="IQ_DEF_CHARGES_FIN">"c290"</definedName>
    <definedName name="IQ_DEF_CHARGES_INS">"c291"</definedName>
    <definedName name="IQ_DEF_CHARGES_LT">"c292"</definedName>
    <definedName name="IQ_DEF_CHARGES_LT_BNK">"c293"</definedName>
    <definedName name="IQ_DEF_CHARGES_LT_BR">"c294"</definedName>
    <definedName name="IQ_DEF_CHARGES_LT_FIN">"c295"</definedName>
    <definedName name="IQ_DEF_CHARGES_LT_INS">"c296"</definedName>
    <definedName name="IQ_DEF_CHARGES_LT_REIT">"c297"</definedName>
    <definedName name="IQ_DEF_CHARGES_LT_UTI">"c298"</definedName>
    <definedName name="IQ_DEF_CHARGES_REIT">"c299"</definedName>
    <definedName name="IQ_DEF_CONTRIBUTION_TOTAL_COST">"c300"</definedName>
    <definedName name="IQ_DEF_INC_TAX">"c1365"</definedName>
    <definedName name="IQ_DEF_POLICY_ACQ_COSTS">"c301"</definedName>
    <definedName name="IQ_DEF_POLICY_ACQ_COSTS_CF">"c302"</definedName>
    <definedName name="IQ_DEF_POLICY_AMORT">"c303"</definedName>
    <definedName name="IQ_DEF_TAX_ASSET_LT_BR">"c304"</definedName>
    <definedName name="IQ_DEF_TAX_ASSET_LT_FIN">"c305"</definedName>
    <definedName name="IQ_DEF_TAX_ASSET_LT_INS">"c306"</definedName>
    <definedName name="IQ_DEF_TAX_ASSET_LT_REIT">"c307"</definedName>
    <definedName name="IQ_DEF_TAX_ASSET_LT_UTI">"c308"</definedName>
    <definedName name="IQ_DEF_TAX_ASSETS_CURRENT">"c309"</definedName>
    <definedName name="IQ_DEF_TAX_ASSETS_LT">"c310"</definedName>
    <definedName name="IQ_DEF_TAX_ASSETS_LT_BNK">"c311"</definedName>
    <definedName name="IQ_DEF_TAX_LIAB_CURRENT">"c312"</definedName>
    <definedName name="IQ_DEF_TAX_LIAB_LT">"c313"</definedName>
    <definedName name="IQ_DEF_TAX_LIAB_LT_BNK">"c314"</definedName>
    <definedName name="IQ_DEF_TAX_LIAB_LT_BR">"c315"</definedName>
    <definedName name="IQ_DEF_TAX_LIAB_LT_FIN">"c316"</definedName>
    <definedName name="IQ_DEF_TAX_LIAB_LT_INS">"c317"</definedName>
    <definedName name="IQ_DEF_TAX_LIAB_LT_REIT">"c318"</definedName>
    <definedName name="IQ_DEF_TAX_LIAB_LT_UTI">"c319"</definedName>
    <definedName name="IQ_DEFERRED_DOMESTIC_TAXES">"c2077"</definedName>
    <definedName name="IQ_DEFERRED_FOREIGN_TAXES">"c2078"</definedName>
    <definedName name="IQ_DEFERRED_INC_TAX">"c1447"</definedName>
    <definedName name="IQ_DEFERRED_TAXES">"c1356"</definedName>
    <definedName name="IQ_DEMAND_DEP">"c320"</definedName>
    <definedName name="IQ_DEPOSITS_FIN">"c321"</definedName>
    <definedName name="IQ_DEPRE_AMORT">"c1360"</definedName>
    <definedName name="IQ_DEPRE_AMORT_SUPPL">"c1593"</definedName>
    <definedName name="IQ_DEPRE_DEPLE">"c1361"</definedName>
    <definedName name="IQ_DEPRE_SUPP">"c1443"</definedName>
    <definedName name="IQ_DESCRIPTION_LONG">"c1520"</definedName>
    <definedName name="IQ_DEVELOP_LAND">"c323"</definedName>
    <definedName name="IQ_DIFF_LASTCLOSE_TARGET_PRICE">"c1854"</definedName>
    <definedName name="IQ_DILUT_ADJUST">"c1621"</definedName>
    <definedName name="IQ_DILUT_EPS_EXCL">"c324"</definedName>
    <definedName name="IQ_DILUT_EPS_INCL">"c325"</definedName>
    <definedName name="IQ_DILUT_EPS_NORM">"c1903"</definedName>
    <definedName name="IQ_DILUT_NI">"c2079"</definedName>
    <definedName name="IQ_DILUT_NORMAL_EPS">"c1594"</definedName>
    <definedName name="IQ_DILUT_WEIGHT">"c326"</definedName>
    <definedName name="IQ_DIRECT_AH_EARNED">"c2740"</definedName>
    <definedName name="IQ_DIRECT_EARNED">"c2730"</definedName>
    <definedName name="IQ_DIRECT_LIFE_EARNED">"c2735"</definedName>
    <definedName name="IQ_DIRECT_LIFE_IN_FORCE">"c2765"</definedName>
    <definedName name="IQ_DIRECT_PC_EARNED">"c2745"</definedName>
    <definedName name="IQ_DIRECT_WRITTEN">"c2724"</definedName>
    <definedName name="IQ_DISCONT_OPER">"c1367"</definedName>
    <definedName name="IQ_DISCOUNT_RATE_PENSION_DOMESTIC">"c327"</definedName>
    <definedName name="IQ_DISCOUNT_RATE_PENSION_FOREIGN">"c328"</definedName>
    <definedName name="IQ_DISTR_EXCESS_EARN">"c329"</definedName>
    <definedName name="IQ_DISTRIBUTABLE_CASH">"c3002"</definedName>
    <definedName name="IQ_DISTRIBUTABLE_CASH_PAYOUT">"c3005"</definedName>
    <definedName name="IQ_DISTRIBUTABLE_CASH_SHARE">"c3003"</definedName>
    <definedName name="IQ_DIV_AMOUNT">"c3041"</definedName>
    <definedName name="IQ_DIV_PAYMENT_DATE">"c2205"</definedName>
    <definedName name="IQ_DIV_RECORD_DATE">"c2204"</definedName>
    <definedName name="IQ_DIV_SHARE">"c330"</definedName>
    <definedName name="IQ_DIVEST_CF">"c331"</definedName>
    <definedName name="IQ_DIVID_SHARE">"c1366"</definedName>
    <definedName name="IQ_DIVIDEND_YIELD">"c332"</definedName>
    <definedName name="IQ_DNTM">700000</definedName>
    <definedName name="IQ_DO">"c333"</definedName>
    <definedName name="IQ_DO_ASSETS_CURRENT">"c334"</definedName>
    <definedName name="IQ_DO_ASSETS_LT">"c335"</definedName>
    <definedName name="IQ_DO_CF">"c336"</definedName>
    <definedName name="IQ_DPAC_ACC">"c2799"</definedName>
    <definedName name="IQ_DPAC_AMORT">"c2795"</definedName>
    <definedName name="IQ_DPAC_BEG">"c2791"</definedName>
    <definedName name="IQ_DPAC_COMMISSIONS">"c2792"</definedName>
    <definedName name="IQ_DPAC_END">"c2801"</definedName>
    <definedName name="IQ_DPAC_FX">"c2798"</definedName>
    <definedName name="IQ_DPAC_OTHER_ADJ">"c2800"</definedName>
    <definedName name="IQ_DPAC_OTHERS">"c2793"</definedName>
    <definedName name="IQ_DPAC_PERIOD">"c2794"</definedName>
    <definedName name="IQ_DPAC_REAL_GAIN">"c2797"</definedName>
    <definedName name="IQ_DPAC_UNREAL_GAIN">"c2796"</definedName>
    <definedName name="IQ_DPS_10YR_ANN_GROWTH">"c337"</definedName>
    <definedName name="IQ_DPS_1YR_ANN_GROWTH">"c338"</definedName>
    <definedName name="IQ_DPS_2YR_ANN_GROWTH">"c339"</definedName>
    <definedName name="IQ_DPS_3YR_ANN_GROWTH">"c340"</definedName>
    <definedName name="IQ_DPS_5YR_ANN_GROWTH">"c341"</definedName>
    <definedName name="IQ_DPS_7YR_ANN_GROWTH">"c342"</definedName>
    <definedName name="IQ_DPS_ACT_OR_EST">"c2218"</definedName>
    <definedName name="IQ_DPS_EST">"c1674"</definedName>
    <definedName name="IQ_DPS_HIGH_EST">"c1676"</definedName>
    <definedName name="IQ_DPS_LOW_EST">"c1677"</definedName>
    <definedName name="IQ_DPS_MEDIAN_EST">"c1675"</definedName>
    <definedName name="IQ_DPS_NUM_EST">"c1678"</definedName>
    <definedName name="IQ_DPS_STDDEV_EST">"c1679"</definedName>
    <definedName name="IQ_EARNING_ASSET_YIELD">"c343"</definedName>
    <definedName name="IQ_EARNING_CO">"c344"</definedName>
    <definedName name="IQ_EARNING_CO_10YR_ANN_GROWTH">"c345"</definedName>
    <definedName name="IQ_EARNING_CO_1YR_ANN_GROWTH">"c346"</definedName>
    <definedName name="IQ_EARNING_CO_2YR_ANN_GROWTH">"c347"</definedName>
    <definedName name="IQ_EARNING_CO_3YR_ANN_GROWTH">"c348"</definedName>
    <definedName name="IQ_EARNING_CO_5YR_ANN_GROWTH">"c349"</definedName>
    <definedName name="IQ_EARNING_CO_7YR_ANN_GROWTH">"c350"</definedName>
    <definedName name="IQ_EARNING_CO_MARGIN">"c351"</definedName>
    <definedName name="IQ_EARNINGS_ANNOUNCE_DATE">"c1649"</definedName>
    <definedName name="IQ_EBIT">"c352"</definedName>
    <definedName name="IQ_EBIT_10YR_ANN_GROWTH">"c353"</definedName>
    <definedName name="IQ_EBIT_1YR_ANN_GROWTH">"c354"</definedName>
    <definedName name="IQ_EBIT_2YR_ANN_GROWTH">"c355"</definedName>
    <definedName name="IQ_EBIT_3YR_ANN_GROWTH">"c356"</definedName>
    <definedName name="IQ_EBIT_5YR_ANN_GROWTH">"c357"</definedName>
    <definedName name="IQ_EBIT_7YR_ANN_GROWTH">"c358"</definedName>
    <definedName name="IQ_EBIT_ACT_OR_EST">"c2219"</definedName>
    <definedName name="IQ_EBIT_EST">"c1681"</definedName>
    <definedName name="IQ_EBIT_HIGH_EST">"c1683"</definedName>
    <definedName name="IQ_EBIT_INT">"c360"</definedName>
    <definedName name="IQ_EBIT_LOW_EST">"c1684"</definedName>
    <definedName name="IQ_EBIT_MARGIN">"c359"</definedName>
    <definedName name="IQ_EBIT_MEDIAN_EST">"c1682"</definedName>
    <definedName name="IQ_EBIT_NUM_EST">"c1685"</definedName>
    <definedName name="IQ_EBIT_OVER_IE">"c1369"</definedName>
    <definedName name="IQ_EBIT_STDDEV_EST">"c1686"</definedName>
    <definedName name="IQ_EBITA">"c1910"</definedName>
    <definedName name="IQ_EBITA_10YR_ANN_GROWTH">"c1954"</definedName>
    <definedName name="IQ_EBITA_1YR_ANN_GROWTH">"c1949"</definedName>
    <definedName name="IQ_EBITA_2YR_ANN_GROWTH">"c1950"</definedName>
    <definedName name="IQ_EBITA_3YR_ANN_GROWTH">"c1951"</definedName>
    <definedName name="IQ_EBITA_5YR_ANN_GROWTH">"c1952"</definedName>
    <definedName name="IQ_EBITA_7YR_ANN_GROWTH">"c1953"</definedName>
    <definedName name="IQ_EBITA_MARGIN">"c1963"</definedName>
    <definedName name="IQ_EBITDA">"c361"</definedName>
    <definedName name="IQ_EBITDA_10YR_ANN_GROWTH">"c362"</definedName>
    <definedName name="IQ_EBITDA_1YR_ANN_GROWTH">"c363"</definedName>
    <definedName name="IQ_EBITDA_2YR_ANN_GROWTH">"c364"</definedName>
    <definedName name="IQ_EBITDA_3YR_ANN_GROWTH">"c365"</definedName>
    <definedName name="IQ_EBITDA_5YR_ANN_GROWTH">"c366"</definedName>
    <definedName name="IQ_EBITDA_7YR_ANN_GROWTH">"c367"</definedName>
    <definedName name="IQ_EBITDA_ACT_OR_EST">"c2215"</definedName>
    <definedName name="IQ_EBITDA_CAPEX_INT">"c368"</definedName>
    <definedName name="IQ_EBITDA_CAPEX_OVER_TOTAL_IE">"c1370"</definedName>
    <definedName name="IQ_EBITDA_EST">"c369"</definedName>
    <definedName name="IQ_EBITDA_HIGH_EST">"c370"</definedName>
    <definedName name="IQ_EBITDA_INT">"c373"</definedName>
    <definedName name="IQ_EBITDA_LOW_EST">"c371"</definedName>
    <definedName name="IQ_EBITDA_MARGIN">"c372"</definedName>
    <definedName name="IQ_EBITDA_MEDIAN_EST">"c1663"</definedName>
    <definedName name="IQ_EBITDA_NUM_EST">"c374"</definedName>
    <definedName name="IQ_EBITDA_OVER_TOTAL_IE">"c1371"</definedName>
    <definedName name="IQ_EBITDA_STDDEV_EST">"c375"</definedName>
    <definedName name="IQ_EBITDAR">"c2989"</definedName>
    <definedName name="IQ_EBT">"c376"</definedName>
    <definedName name="IQ_EBT_BNK">"c377"</definedName>
    <definedName name="IQ_EBT_BR">"c378"</definedName>
    <definedName name="IQ_EBT_EXCL">"c379"</definedName>
    <definedName name="IQ_EBT_EXCL_BNK">"c380"</definedName>
    <definedName name="IQ_EBT_EXCL_BR">"c381"</definedName>
    <definedName name="IQ_EBT_EXCL_FIN">"c382"</definedName>
    <definedName name="IQ_EBT_EXCL_INS">"c383"</definedName>
    <definedName name="IQ_EBT_EXCL_MARGIN">"c1462"</definedName>
    <definedName name="IQ_EBT_EXCL_REIT">"c384"</definedName>
    <definedName name="IQ_EBT_EXCL_UTI">"c385"</definedName>
    <definedName name="IQ_EBT_FIN">"c386"</definedName>
    <definedName name="IQ_EBT_INCL_MARGIN">"c387"</definedName>
    <definedName name="IQ_EBT_INS">"c388"</definedName>
    <definedName name="IQ_EBT_REIT">"c389"</definedName>
    <definedName name="IQ_EBT_UTI">"c390"</definedName>
    <definedName name="IQ_EFFECT_SPECIAL_CHARGE">"c1595"</definedName>
    <definedName name="IQ_EFFECT_TAX_RATE">"c1899"</definedName>
    <definedName name="IQ_EFFICIENCY_RATIO">"c391"</definedName>
    <definedName name="IQ_EMPLOYEES">"c392"</definedName>
    <definedName name="IQ_ENTERPRISE_VALUE">"c1348"</definedName>
    <definedName name="IQ_EPS_10YR_ANN_GROWTH">"c393"</definedName>
    <definedName name="IQ_EPS_1YR_ANN_GROWTH">"c394"</definedName>
    <definedName name="IQ_EPS_2YR_ANN_GROWTH">"c395"</definedName>
    <definedName name="IQ_EPS_3YR_ANN_GROWTH">"c396"</definedName>
    <definedName name="IQ_EPS_5YR_ANN_GROWTH">"c397"</definedName>
    <definedName name="IQ_EPS_7YR_ANN_GROWTH">"c398"</definedName>
    <definedName name="IQ_EPS_ACT_OR_EST">"c2213"</definedName>
    <definedName name="IQ_EPS_EST">"c399"</definedName>
    <definedName name="IQ_EPS_GW_ACT_OR_EST">"c2223"</definedName>
    <definedName name="IQ_EPS_GW_EST">"c1737"</definedName>
    <definedName name="IQ_EPS_GW_HIGH_EST">"c1739"</definedName>
    <definedName name="IQ_EPS_GW_LOW_EST">"c1740"</definedName>
    <definedName name="IQ_EPS_GW_MEDIAN_EST">"c1738"</definedName>
    <definedName name="IQ_EPS_GW_NUM_EST">"c1741"</definedName>
    <definedName name="IQ_EPS_GW_STDDEV_EST">"c1742"</definedName>
    <definedName name="IQ_EPS_HIGH_EST">"c400"</definedName>
    <definedName name="IQ_EPS_LOW_EST">"c401"</definedName>
    <definedName name="IQ_EPS_MEDIAN_EST">"c1661"</definedName>
    <definedName name="IQ_EPS_NORM">"c1902"</definedName>
    <definedName name="IQ_EPS_NORM_EST">"c2226"</definedName>
    <definedName name="IQ_EPS_NORM_HIGH_EST">"c2228"</definedName>
    <definedName name="IQ_EPS_NORM_LOW_EST">"c2229"</definedName>
    <definedName name="IQ_EPS_NORM_MEDIAN_EST">"c2227"</definedName>
    <definedName name="IQ_EPS_NORM_NUM_EST">"c2230"</definedName>
    <definedName name="IQ_EPS_NORM_STDDEV_EST">"c2231"</definedName>
    <definedName name="IQ_EPS_NUM_EST">"c402"</definedName>
    <definedName name="IQ_EPS_REPORT_ACT_OR_EST">"c2224"</definedName>
    <definedName name="IQ_EPS_REPORTED_EST">"c1744"</definedName>
    <definedName name="IQ_EPS_REPORTED_HIGH_EST">"c1746"</definedName>
    <definedName name="IQ_EPS_REPORTED_LOW_EST">"c1747"</definedName>
    <definedName name="IQ_EPS_REPORTED_MEDIAN_EST">"c1745"</definedName>
    <definedName name="IQ_EPS_REPORTED_NUM_EST">"c1748"</definedName>
    <definedName name="IQ_EPS_REPORTED_STDDEV_EST">"c1749"</definedName>
    <definedName name="IQ_EPS_STDDEV_EST">"c403"</definedName>
    <definedName name="IQ_EQUITY_AFFIL">"c1451"</definedName>
    <definedName name="IQ_EQUITY_METHOD">"c404"</definedName>
    <definedName name="IQ_EQV_OVER_BV">"c1596"</definedName>
    <definedName name="IQ_EQV_OVER_LTM_PRETAX_INC">"c1390"</definedName>
    <definedName name="IQ_ESOP_DEBT">"c1597"</definedName>
    <definedName name="IQ_EST_ACT_CFPS">"c1673"</definedName>
    <definedName name="IQ_EST_ACT_DPS">"c1680"</definedName>
    <definedName name="IQ_EST_ACT_EBIT">"c1687"</definedName>
    <definedName name="IQ_EST_ACT_EBITDA">"c1664"</definedName>
    <definedName name="IQ_EST_ACT_EPS">"c1648"</definedName>
    <definedName name="IQ_EST_ACT_EPS_GW">"c1743"</definedName>
    <definedName name="IQ_EST_ACT_EPS_NORM">"c2232"</definedName>
    <definedName name="IQ_EST_ACT_EPS_REPORTED">"c1750"</definedName>
    <definedName name="IQ_EST_ACT_FFO">"c1666"</definedName>
    <definedName name="IQ_EST_ACT_NAV">"c1757"</definedName>
    <definedName name="IQ_EST_ACT_NI">"c1722"</definedName>
    <definedName name="IQ_EST_ACT_NI_GW">"c1729"</definedName>
    <definedName name="IQ_EST_ACT_NI_REPORTED">"c1736"</definedName>
    <definedName name="IQ_EST_ACT_OPER_INC">"c1694"</definedName>
    <definedName name="IQ_EST_ACT_PRETAX_GW_INC">"c1708"</definedName>
    <definedName name="IQ_EST_ACT_PRETAX_INC">"c1701"</definedName>
    <definedName name="IQ_EST_ACT_PRETAX_REPORT_INC">"c1715"</definedName>
    <definedName name="IQ_EST_ACT_REV">"c2113"</definedName>
    <definedName name="IQ_EST_CFPS_DIFF">"c1871"</definedName>
    <definedName name="IQ_EST_CFPS_GROWTH_1YR">"c1774"</definedName>
    <definedName name="IQ_EST_CFPS_GROWTH_2YR">"c1775"</definedName>
    <definedName name="IQ_EST_CFPS_GROWTH_Q_1YR">"c1776"</definedName>
    <definedName name="IQ_EST_CFPS_SEQ_GROWTH_Q">"c1777"</definedName>
    <definedName name="IQ_EST_CFPS_SURPRISE_PERCENT">"c1872"</definedName>
    <definedName name="IQ_EST_CURRENCY">"c2140"</definedName>
    <definedName name="IQ_EST_DATE">"c1634"</definedName>
    <definedName name="IQ_EST_DPS_DIFF">"c1873"</definedName>
    <definedName name="IQ_EST_DPS_GROWTH_1YR">"c1778"</definedName>
    <definedName name="IQ_EST_DPS_GROWTH_2YR">"c1779"</definedName>
    <definedName name="IQ_EST_DPS_GROWTH_Q_1YR">"c1780"</definedName>
    <definedName name="IQ_EST_DPS_SEQ_GROWTH_Q">"c1781"</definedName>
    <definedName name="IQ_EST_DPS_SURPRISE_PERCENT">"c1874"</definedName>
    <definedName name="IQ_EST_EBIT_DIFF">"c1875"</definedName>
    <definedName name="IQ_EST_EBIT_SURPRISE_PERCENT">"c1876"</definedName>
    <definedName name="IQ_EST_EBITDA_DIFF">"c1867"</definedName>
    <definedName name="IQ_EST_EBITDA_GROWTH_1YR">"c1766"</definedName>
    <definedName name="IQ_EST_EBITDA_GROWTH_2YR">"c1767"</definedName>
    <definedName name="IQ_EST_EBITDA_GROWTH_Q_1YR">"c1768"</definedName>
    <definedName name="IQ_EST_EBITDA_SEQ_GROWTH_Q">"c1769"</definedName>
    <definedName name="IQ_EST_EBITDA_SURPRISE_PERCENT">"c1868"</definedName>
    <definedName name="IQ_EST_EPS_DIFF">"c1864"</definedName>
    <definedName name="IQ_EST_EPS_GROWTH_1YR">"c1636"</definedName>
    <definedName name="IQ_EST_EPS_GROWTH_2YR">"c1637"</definedName>
    <definedName name="IQ_EST_EPS_GROWTH_5YR">"c1655"</definedName>
    <definedName name="IQ_EST_EPS_GROWTH_5YR_HIGH">"c1657"</definedName>
    <definedName name="IQ_EST_EPS_GROWTH_5YR_LOW">"c1658"</definedName>
    <definedName name="IQ_EST_EPS_GROWTH_5YR_MEDIAN">"c1656"</definedName>
    <definedName name="IQ_EST_EPS_GROWTH_5YR_NUM">"c1659"</definedName>
    <definedName name="IQ_EST_EPS_GROWTH_5YR_STDDEV">"c1660"</definedName>
    <definedName name="IQ_EST_EPS_GROWTH_Q_1YR">"c1641"</definedName>
    <definedName name="IQ_EST_EPS_GW_DIFF">"c1891"</definedName>
    <definedName name="IQ_EST_EPS_GW_SURPRISE_PERCENT">"c1892"</definedName>
    <definedName name="IQ_EST_EPS_NORM_DIFF">"c2247"</definedName>
    <definedName name="IQ_EST_EPS_NORM_SURPRISE_PERCENT">"c2248"</definedName>
    <definedName name="IQ_EST_EPS_REPORT_DIFF">"c1893"</definedName>
    <definedName name="IQ_EST_EPS_REPORT_SURPRISE_PERCENT">"c1894"</definedName>
    <definedName name="IQ_EST_EPS_SEQ_GROWTH_Q">"c1764"</definedName>
    <definedName name="IQ_EST_EPS_SURPRISE_PERCENT">"c1635"</definedName>
    <definedName name="IQ_EST_FFO_DIFF">"c1869"</definedName>
    <definedName name="IQ_EST_FFO_GROWTH_1YR">"c1770"</definedName>
    <definedName name="IQ_EST_FFO_GROWTH_2YR">"c1771"</definedName>
    <definedName name="IQ_EST_FFO_GROWTH_Q_1YR">"c1772"</definedName>
    <definedName name="IQ_EST_FFO_SEQ_GROWTH_Q">"c1773"</definedName>
    <definedName name="IQ_EST_FFO_SURPRISE_PERCENT">"c1870"</definedName>
    <definedName name="IQ_EST_NAV_DIFF">"c1895"</definedName>
    <definedName name="IQ_EST_NAV_SURPRISE_PERCENT">"c1896"</definedName>
    <definedName name="IQ_EST_NI_DIFF">"c1885"</definedName>
    <definedName name="IQ_EST_NI_GW_DIFF">"c1887"</definedName>
    <definedName name="IQ_EST_NI_GW_SURPRISE_PERCENT">"c1888"</definedName>
    <definedName name="IQ_EST_NI_REPORT_DIFF">"c1889"</definedName>
    <definedName name="IQ_EST_NI_REPORT_SURPRISE_PERCENT">"c1890"</definedName>
    <definedName name="IQ_EST_NI_SURPRISE_PERCENT">"c1886"</definedName>
    <definedName name="IQ_EST_NUM_BUY">"c1759"</definedName>
    <definedName name="IQ_EST_NUM_HOLD">"c1761"</definedName>
    <definedName name="IQ_EST_NUM_NO_OPINION">"c1758"</definedName>
    <definedName name="IQ_EST_NUM_OUTPERFORM">"c1760"</definedName>
    <definedName name="IQ_EST_NUM_SELL">"c1763"</definedName>
    <definedName name="IQ_EST_NUM_UNDERPERFORM">"c1762"</definedName>
    <definedName name="IQ_EST_OPER_INC_DIFF">"c1877"</definedName>
    <definedName name="IQ_EST_OPER_INC_SURPRISE_PERCENT">"c1878"</definedName>
    <definedName name="IQ_EST_PRE_TAX_DIFF">"c1879"</definedName>
    <definedName name="IQ_EST_PRE_TAX_GW_DIFF">"c1881"</definedName>
    <definedName name="IQ_EST_PRE_TAX_GW_SURPRISE_PERCENT">"c1882"</definedName>
    <definedName name="IQ_EST_PRE_TAX_REPORT_DIFF">"c1883"</definedName>
    <definedName name="IQ_EST_PRE_TAX_REPORT_SURPRISE_PERCENT">"c1884"</definedName>
    <definedName name="IQ_EST_PRE_TAX_SURPRISE_PERCENT">"c1880"</definedName>
    <definedName name="IQ_EST_REV_DIFF">"c1865"</definedName>
    <definedName name="IQ_EST_REV_GROWTH_1YR">"c1638"</definedName>
    <definedName name="IQ_EST_REV_GROWTH_2YR">"c1639"</definedName>
    <definedName name="IQ_EST_REV_GROWTH_Q_1YR">"c1640"</definedName>
    <definedName name="IQ_EST_REV_SEQ_GROWTH_Q">"c1765"</definedName>
    <definedName name="IQ_EST_REV_SURPRISE_PERCENT">"c1866"</definedName>
    <definedName name="IQ_EV_OVER_EMPLOYEE">"c1428"</definedName>
    <definedName name="IQ_EV_OVER_LTM_EBIT">"c1426"</definedName>
    <definedName name="IQ_EV_OVER_LTM_EBITDA">"c1427"</definedName>
    <definedName name="IQ_EV_OVER_LTM_REVENUE">"c1429"</definedName>
    <definedName name="IQ_EXCHANGE">"c405"</definedName>
    <definedName name="IQ_EXERCISE_PRICE">"c1897"</definedName>
    <definedName name="IQ_EXERCISED">"c406"</definedName>
    <definedName name="IQ_EXP_RETURN_PENSION_DOMESTIC">"c407"</definedName>
    <definedName name="IQ_EXP_RETURN_PENSION_FOREIGN">"c408"</definedName>
    <definedName name="IQ_EXPLORE_DRILL">"c409"</definedName>
    <definedName name="IQ_EXTRA_ACC_ITEMS">"c410"</definedName>
    <definedName name="IQ_EXTRA_ACC_ITEMS_BNK">"c411"</definedName>
    <definedName name="IQ_EXTRA_ACC_ITEMS_BR">"c412"</definedName>
    <definedName name="IQ_EXTRA_ACC_ITEMS_FIN">"c413"</definedName>
    <definedName name="IQ_EXTRA_ACC_ITEMS_INS">"c414"</definedName>
    <definedName name="IQ_EXTRA_ACC_ITEMS_REIT">"c415"</definedName>
    <definedName name="IQ_EXTRA_ACC_ITEMS_UTI">"c416"</definedName>
    <definedName name="IQ_EXTRA_ITEMS">"c1459"</definedName>
    <definedName name="IQ_FDIC">"c417"</definedName>
    <definedName name="IQ_FEDFUNDS_SOLD">"c2256"</definedName>
    <definedName name="IQ_FFO">"c1574"</definedName>
    <definedName name="IQ_FFO_ACT_OR_EST">"c2216"</definedName>
    <definedName name="IQ_FFO_EST">"c418"</definedName>
    <definedName name="IQ_FFO_HIGH_EST">"c419"</definedName>
    <definedName name="IQ_FFO_LOW_EST">"c420"</definedName>
    <definedName name="IQ_FFO_MEDIAN_EST">"c1665"</definedName>
    <definedName name="IQ_FFO_NUM_EST">"c421"</definedName>
    <definedName name="IQ_FFO_STDDEV_EST">"c422"</definedName>
    <definedName name="IQ_FH">100000</definedName>
    <definedName name="IQ_FHLB_DEBT">"c423"</definedName>
    <definedName name="IQ_FHLB_DUE_CY">"c2080"</definedName>
    <definedName name="IQ_FHLB_DUE_CY1">"c2081"</definedName>
    <definedName name="IQ_FHLB_DUE_CY2">"c2082"</definedName>
    <definedName name="IQ_FHLB_DUE_CY3">"c2083"</definedName>
    <definedName name="IQ_FHLB_DUE_CY4">"c2084"</definedName>
    <definedName name="IQ_FHLB_DUE_NEXT_FIVE">"c2085"</definedName>
    <definedName name="IQ_FILING_CURRENCY">"c2129"</definedName>
    <definedName name="IQ_FILINGDATE_BS">"c424"</definedName>
    <definedName name="IQ_FILINGDATE_CF">"c425"</definedName>
    <definedName name="IQ_FILINGDATE_IS">"c426"</definedName>
    <definedName name="IQ_FILM_RIGHTS">"c2254"</definedName>
    <definedName name="IQ_FIN_DIV_ASSETS_CURRENT">"c427"</definedName>
    <definedName name="IQ_FIN_DIV_ASSETS_LT">"c428"</definedName>
    <definedName name="IQ_FIN_DIV_DEBT_CURRENT">"c429"</definedName>
    <definedName name="IQ_FIN_DIV_DEBT_LT">"c430"</definedName>
    <definedName name="IQ_FIN_DIV_EXP">"c431"</definedName>
    <definedName name="IQ_FIN_DIV_INT_EXP">"c432"</definedName>
    <definedName name="IQ_FIN_DIV_LIAB_CURRENT">"c433"</definedName>
    <definedName name="IQ_FIN_DIV_LIAB_LT">"c434"</definedName>
    <definedName name="IQ_FIN_DIV_LOANS_CURRENT">"c435"</definedName>
    <definedName name="IQ_FIN_DIV_LOANS_LT">"c436"</definedName>
    <definedName name="IQ_FIN_DIV_REV">"c437"</definedName>
    <definedName name="IQ_FINANCING_CASH">"c1405"</definedName>
    <definedName name="IQ_FINANCING_CASH_SUPPL">"c1406"</definedName>
    <definedName name="IQ_FINISHED_INV">"c438"</definedName>
    <definedName name="IQ_FIRST_YEAR_LIFE">"c439"</definedName>
    <definedName name="IQ_FIRST_YEAR_LIFE_PREM">"c2787"</definedName>
    <definedName name="IQ_FIRST_YEAR_PREM">"c2786"</definedName>
    <definedName name="IQ_FIRSTPRICINGDATE">"c3050"</definedName>
    <definedName name="IQ_FISCAL_Q">"c440"</definedName>
    <definedName name="IQ_FISCAL_Y">"c441"</definedName>
    <definedName name="IQ_FIVE_PERCENT_OWNER">"c442"</definedName>
    <definedName name="IQ_FIVEPERCENT_PERCENT">"c443"</definedName>
    <definedName name="IQ_FIVEPERCENT_SHARES">"c444"</definedName>
    <definedName name="IQ_FIXED_ASSET_TURNS">"c445"</definedName>
    <definedName name="IQ_FLOAT_PERCENT">"c1575"</definedName>
    <definedName name="IQ_FOREIGN_DEP_IB">"c446"</definedName>
    <definedName name="IQ_FOREIGN_DEP_NON_IB">"c447"</definedName>
    <definedName name="IQ_FOREIGN_EXCHANGE">"c1376"</definedName>
    <definedName name="IQ_FOREIGN_LOANS">"c448"</definedName>
    <definedName name="IQ_FQ">500</definedName>
    <definedName name="IQ_FUEL">"c449"</definedName>
    <definedName name="IQ_FULL_TIME">"c450"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"c451"</definedName>
    <definedName name="IQ_FY">1000</definedName>
    <definedName name="IQ_GA_EXP">"c2241"</definedName>
    <definedName name="IQ_GAIN_ASSETS">"c452"</definedName>
    <definedName name="IQ_GAIN_ASSETS_BNK">"c453"</definedName>
    <definedName name="IQ_GAIN_ASSETS_BR">"c454"</definedName>
    <definedName name="IQ_GAIN_ASSETS_CF">"c455"</definedName>
    <definedName name="IQ_GAIN_ASSETS_CF_BNK">"c456"</definedName>
    <definedName name="IQ_GAIN_ASSETS_CF_BR">"c457"</definedName>
    <definedName name="IQ_GAIN_ASSETS_CF_FIN">"c458"</definedName>
    <definedName name="IQ_GAIN_ASSETS_CF_INS">"c459"</definedName>
    <definedName name="IQ_GAIN_ASSETS_CF_REIT">"c460"</definedName>
    <definedName name="IQ_GAIN_ASSETS_CF_UTI">"c461"</definedName>
    <definedName name="IQ_GAIN_ASSETS_FIN">"c462"</definedName>
    <definedName name="IQ_GAIN_ASSETS_INS">"c463"</definedName>
    <definedName name="IQ_GAIN_ASSETS_REIT">"c471"</definedName>
    <definedName name="IQ_GAIN_ASSETS_REV">"c472"</definedName>
    <definedName name="IQ_GAIN_ASSETS_REV_BNK">"c473"</definedName>
    <definedName name="IQ_GAIN_ASSETS_REV_BR">"c474"</definedName>
    <definedName name="IQ_GAIN_ASSETS_REV_FIN">"c475"</definedName>
    <definedName name="IQ_GAIN_ASSETS_REV_INS">"c476"</definedName>
    <definedName name="IQ_GAIN_ASSETS_REV_REIT">"c477"</definedName>
    <definedName name="IQ_GAIN_ASSETS_REV_UTI">"c478"</definedName>
    <definedName name="IQ_GAIN_ASSETS_UTI">"c479"</definedName>
    <definedName name="IQ_GAIN_INVEST">"c1463"</definedName>
    <definedName name="IQ_GAIN_INVEST_BNK">"c1582"</definedName>
    <definedName name="IQ_GAIN_INVEST_BR">"c1464"</definedName>
    <definedName name="IQ_GAIN_INVEST_CF">"c480"</definedName>
    <definedName name="IQ_GAIN_INVEST_CF_BNK">"c481"</definedName>
    <definedName name="IQ_GAIN_INVEST_CF_BR">"c482"</definedName>
    <definedName name="IQ_GAIN_INVEST_CF_FIN">"c483"</definedName>
    <definedName name="IQ_GAIN_INVEST_CF_INS">"c484"</definedName>
    <definedName name="IQ_GAIN_INVEST_CF_REIT">"c485"</definedName>
    <definedName name="IQ_GAIN_INVEST_CF_UTI">"c486"</definedName>
    <definedName name="IQ_GAIN_INVEST_FIN">"c1465"</definedName>
    <definedName name="IQ_GAIN_INVEST_INS">"c1466"</definedName>
    <definedName name="IQ_GAIN_INVEST_REIT">"c1467"</definedName>
    <definedName name="IQ_GAIN_INVEST_REV">"c494"</definedName>
    <definedName name="IQ_GAIN_INVEST_REV_BNK">"c495"</definedName>
    <definedName name="IQ_GAIN_INVEST_REV_BR">"c496"</definedName>
    <definedName name="IQ_GAIN_INVEST_REV_FIN">"c497"</definedName>
    <definedName name="IQ_GAIN_INVEST_REV_INS">"c498"</definedName>
    <definedName name="IQ_GAIN_INVEST_REV_REIT">"c499"</definedName>
    <definedName name="IQ_GAIN_INVEST_REV_UTI">"c500"</definedName>
    <definedName name="IQ_GAIN_INVEST_UTI">"c1468"</definedName>
    <definedName name="IQ_GAIN_LOANS_REC">"c501"</definedName>
    <definedName name="IQ_GAIN_LOANS_RECEIV">"c502"</definedName>
    <definedName name="IQ_GAIN_LOANS_RECEIV_REV_FIN">"c503"</definedName>
    <definedName name="IQ_GAIN_LOANS_REV">"c504"</definedName>
    <definedName name="IQ_GAIN_SALE_ASSETS">"c1377"</definedName>
    <definedName name="IQ_GOODWILL_NET">"c1380"</definedName>
    <definedName name="IQ_GP">"c511"</definedName>
    <definedName name="IQ_GP_10YR_ANN_GROWTH">"c512"</definedName>
    <definedName name="IQ_GP_1YR_ANN_GROWTH">"c513"</definedName>
    <definedName name="IQ_GP_2YR_ANN_GROWTH">"c514"</definedName>
    <definedName name="IQ_GP_3YR_ANN_GROWTH">"c515"</definedName>
    <definedName name="IQ_GP_5YR_ANN_GROWTH">"c516"</definedName>
    <definedName name="IQ_GP_7YR_ANN_GROWTH">"c517"</definedName>
    <definedName name="IQ_GPPE">"c518"</definedName>
    <definedName name="IQ_GROSS_AH_EARNED">"c2742"</definedName>
    <definedName name="IQ_GROSS_CLAIM_EXP_INCUR">"c2755"</definedName>
    <definedName name="IQ_GROSS_CLAIM_EXP_PAID">"c2758"</definedName>
    <definedName name="IQ_GROSS_CLAIM_EXP_RES">"c2752"</definedName>
    <definedName name="IQ_GROSS_DIVID">"c1446"</definedName>
    <definedName name="IQ_GROSS_EARNED">"c2732"</definedName>
    <definedName name="IQ_GROSS_LIFE_EARNED">"c2737"</definedName>
    <definedName name="IQ_GROSS_LIFE_IN_FORCE">"c2767"</definedName>
    <definedName name="IQ_GROSS_LOANS">"c521"</definedName>
    <definedName name="IQ_GROSS_LOANS_10YR_ANN_GROWTH">"c522"</definedName>
    <definedName name="IQ_GROSS_LOANS_1YR_ANN_GROWTH">"c523"</definedName>
    <definedName name="IQ_GROSS_LOANS_2YR_ANN_GROWTH">"c524"</definedName>
    <definedName name="IQ_GROSS_LOANS_3YR_ANN_GROWTH">"c525"</definedName>
    <definedName name="IQ_GROSS_LOANS_5YR_ANN_GROWTH">"c526"</definedName>
    <definedName name="IQ_GROSS_LOANS_7YR_ANN_GROWTH">"c527"</definedName>
    <definedName name="IQ_GROSS_LOANS_TOTAL_DEPOSITS">"c528"</definedName>
    <definedName name="IQ_GROSS_MARGIN">"c529"</definedName>
    <definedName name="IQ_GROSS_PC_EARNED">"c2747"</definedName>
    <definedName name="IQ_GROSS_PROFIT">"c1378"</definedName>
    <definedName name="IQ_GROSS_WRITTEN">"c2726"</definedName>
    <definedName name="IQ_GW">"c530"</definedName>
    <definedName name="IQ_GW_AMORT_BR">"c532"</definedName>
    <definedName name="IQ_GW_AMORT_FIN">"c540"</definedName>
    <definedName name="IQ_GW_AMORT_INS">"c541"</definedName>
    <definedName name="IQ_GW_AMORT_REIT">"c542"</definedName>
    <definedName name="IQ_GW_AMORT_UTI">"c543"</definedName>
    <definedName name="IQ_GW_INTAN_AMORT">"c1469"</definedName>
    <definedName name="IQ_GW_INTAN_AMORT_BNK">"c544"</definedName>
    <definedName name="IQ_GW_INTAN_AMORT_BR">"c1470"</definedName>
    <definedName name="IQ_GW_INTAN_AMORT_CF">"c1471"</definedName>
    <definedName name="IQ_GW_INTAN_AMORT_CF_BNK">"c1472"</definedName>
    <definedName name="IQ_GW_INTAN_AMORT_CF_BR">"c1473"</definedName>
    <definedName name="IQ_GW_INTAN_AMORT_CF_FIN">"c1474"</definedName>
    <definedName name="IQ_GW_INTAN_AMORT_CF_INS">"c1475"</definedName>
    <definedName name="IQ_GW_INTAN_AMORT_CF_REIT">"c1476"</definedName>
    <definedName name="IQ_GW_INTAN_AMORT_CF_UTI">"c1477"</definedName>
    <definedName name="IQ_GW_INTAN_AMORT_FIN">"c1478"</definedName>
    <definedName name="IQ_GW_INTAN_AMORT_INS">"c1479"</definedName>
    <definedName name="IQ_GW_INTAN_AMORT_REIT">"c1480"</definedName>
    <definedName name="IQ_GW_INTAN_AMORT_UTI">"c1481"</definedName>
    <definedName name="IQ_HIGH_TARGET_PRICE">"c1651"</definedName>
    <definedName name="IQ_HIGHPRICE">"c545"</definedName>
    <definedName name="IQ_HOMEOWNERS_WRITTEN">"c546"</definedName>
    <definedName name="IQ_IMPAIR_OIL">"c547"</definedName>
    <definedName name="IQ_IMPAIRMENT_GW">"c548"</definedName>
    <definedName name="IQ_IMPUT_OPER_LEASE_DEPR">"c2987"</definedName>
    <definedName name="IQ_IMPUT_OPER_LEASE_INT_EXP">"c2986"</definedName>
    <definedName name="IQ_INC_AFTER_TAX">"c1598"</definedName>
    <definedName name="IQ_INC_AVAIL_EXCL">"c1395"</definedName>
    <definedName name="IQ_INC_AVAIL_INCL">"c1396"</definedName>
    <definedName name="IQ_INC_BEFORE_TAX">"c1375"</definedName>
    <definedName name="IQ_INC_EQUITY">"c549"</definedName>
    <definedName name="IQ_INC_EQUITY_BR">"c550"</definedName>
    <definedName name="IQ_INC_EQUITY_CF">"c551"</definedName>
    <definedName name="IQ_INC_EQUITY_FIN">"c552"</definedName>
    <definedName name="IQ_INC_EQUITY_INS">"c553"</definedName>
    <definedName name="IQ_INC_EQUITY_REC_BNK">"c554"</definedName>
    <definedName name="IQ_INC_EQUITY_REIT">"c555"</definedName>
    <definedName name="IQ_INC_EQUITY_REV_BNK">"c556"</definedName>
    <definedName name="IQ_INC_EQUITY_UTI">"c557"</definedName>
    <definedName name="IQ_INC_REAL_ESTATE_REC">"c558"</definedName>
    <definedName name="IQ_INC_REAL_ESTATE_REV">"c559"</definedName>
    <definedName name="IQ_INC_TAX">"c560"</definedName>
    <definedName name="IQ_INC_TAX_EXCL">"c1599"</definedName>
    <definedName name="IQ_INC_TAX_PAY_CURRENT">"c561"</definedName>
    <definedName name="IQ_INC_TRADE_ACT">"c562"</definedName>
    <definedName name="IQ_INS_ANNUITY_LIAB">"c563"</definedName>
    <definedName name="IQ_INS_ANNUITY_REV">"c2788"</definedName>
    <definedName name="IQ_INS_DIV_EXP">"c564"</definedName>
    <definedName name="IQ_INS_DIV_REV">"c565"</definedName>
    <definedName name="IQ_INS_IN_FORCE">"c566"</definedName>
    <definedName name="IQ_INS_LIAB">"c567"</definedName>
    <definedName name="IQ_INS_POLICY_EXP">"c568"</definedName>
    <definedName name="IQ_INS_REV">"c569"</definedName>
    <definedName name="IQ_INS_SETTLE">"c570"</definedName>
    <definedName name="IQ_INS_SETTLE_BNK">"c571"</definedName>
    <definedName name="IQ_INS_SETTLE_BR">"c572"</definedName>
    <definedName name="IQ_INS_SETTLE_FIN">"c573"</definedName>
    <definedName name="IQ_INS_SETTLE_INS">"c574"</definedName>
    <definedName name="IQ_INS_SETTLE_REIT">"c575"</definedName>
    <definedName name="IQ_INS_SETTLE_UTI">"c576"</definedName>
    <definedName name="IQ_INSIDER_3MTH_BOUGHT_PCT">"c1534"</definedName>
    <definedName name="IQ_INSIDER_3MTH_NET_PCT">"c1535"</definedName>
    <definedName name="IQ_INSIDER_3MTH_SOLD_PCT">"c1533"</definedName>
    <definedName name="IQ_INSIDER_6MTH_BOUGHT_PCT">"c1537"</definedName>
    <definedName name="IQ_INSIDER_6MTH_NET_PCT">"c1538"</definedName>
    <definedName name="IQ_INSIDER_6MTH_SOLD_PCT">"c1536"</definedName>
    <definedName name="IQ_INSIDER_OVER_TOTAL">"c1581"</definedName>
    <definedName name="IQ_INSIDER_OWNER">"c577"</definedName>
    <definedName name="IQ_INSIDER_PERCENT">"c578"</definedName>
    <definedName name="IQ_INSIDER_SHARES">"c579"</definedName>
    <definedName name="IQ_INSTITUTIONAL_OVER_TOTAL">"c1580"</definedName>
    <definedName name="IQ_INSTITUTIONAL_OWNER">"c580"</definedName>
    <definedName name="IQ_INSTITUTIONAL_PERCENT">"c581"</definedName>
    <definedName name="IQ_INSTITUTIONAL_SHARES">"c582"</definedName>
    <definedName name="IQ_INSUR_RECEIV">"c1600"</definedName>
    <definedName name="IQ_INT_BORROW">"c583"</definedName>
    <definedName name="IQ_INT_DEPOSITS">"c584"</definedName>
    <definedName name="IQ_INT_DIV_INC">"c585"</definedName>
    <definedName name="IQ_INT_EXP_BR">"c586"</definedName>
    <definedName name="IQ_INT_EXP_COVERAGE">"c587"</definedName>
    <definedName name="IQ_INT_EXP_FIN">"c588"</definedName>
    <definedName name="IQ_INT_EXP_INCL_CAP">"c2988"</definedName>
    <definedName name="IQ_INT_EXP_INS">"c589"</definedName>
    <definedName name="IQ_INT_EXP_LTD">"c2086"</definedName>
    <definedName name="IQ_INT_EXP_REIT">"c590"</definedName>
    <definedName name="IQ_INT_EXP_TOTAL">"c591"</definedName>
    <definedName name="IQ_INT_EXP_UTI">"c592"</definedName>
    <definedName name="IQ_INT_INC_BR">"c593"</definedName>
    <definedName name="IQ_INT_INC_FIN">"c594"</definedName>
    <definedName name="IQ_INT_INC_INVEST">"c595"</definedName>
    <definedName name="IQ_INT_INC_LOANS">"c596"</definedName>
    <definedName name="IQ_INT_INC_REIT">"c597"</definedName>
    <definedName name="IQ_INT_INC_TOTAL">"c598"</definedName>
    <definedName name="IQ_INT_INC_UTI">"c599"</definedName>
    <definedName name="IQ_INT_INV_INC">"c600"</definedName>
    <definedName name="IQ_INT_INV_INC_REIT">"c601"</definedName>
    <definedName name="IQ_INT_INV_INC_UTI">"c602"</definedName>
    <definedName name="IQ_INT_ON_BORROWING_COVERAGE">"c603"</definedName>
    <definedName name="IQ_INT_RATE_SPREAD">"c604"</definedName>
    <definedName name="IQ_INTANGIBLES_NET">"c1407"</definedName>
    <definedName name="IQ_INTEREST_CASH_DEPOSITS">"c2255"</definedName>
    <definedName name="IQ_INTEREST_EXP">"c618"</definedName>
    <definedName name="IQ_INTEREST_EXP_NET">"c1450"</definedName>
    <definedName name="IQ_INTEREST_EXP_NON">"c1383"</definedName>
    <definedName name="IQ_INTEREST_EXP_SUPPL">"c1460"</definedName>
    <definedName name="IQ_INTEREST_INC">"c1393"</definedName>
    <definedName name="IQ_INTEREST_INC_NON">"c1384"</definedName>
    <definedName name="IQ_INTEREST_INVEST_INC">"c619"</definedName>
    <definedName name="IQ_INV_10YR_ANN_GROWTH">"c1930"</definedName>
    <definedName name="IQ_INV_1YR_ANN_GROWTH">"c1925"</definedName>
    <definedName name="IQ_INV_2YR_ANN_GROWTH">"c1926"</definedName>
    <definedName name="IQ_INV_3YR_ANN_GROWTH">"c1927"</definedName>
    <definedName name="IQ_INV_5YR_ANN_GROWTH">"c1928"</definedName>
    <definedName name="IQ_INV_7YR_ANN_GROWTH">"c1929"</definedName>
    <definedName name="IQ_INV_BANKING_FEE">"c620"</definedName>
    <definedName name="IQ_INV_METHOD">"c621"</definedName>
    <definedName name="IQ_INVENTORY">"c622"</definedName>
    <definedName name="IQ_INVENTORY_TURNS">"c623"</definedName>
    <definedName name="IQ_INVENTORY_UTI">"c624"</definedName>
    <definedName name="IQ_INVEST_DEBT">"c625"</definedName>
    <definedName name="IQ_INVEST_EQUITY_PREF">"c626"</definedName>
    <definedName name="IQ_INVEST_FHLB">"c627"</definedName>
    <definedName name="IQ_INVEST_LOANS_CF">"c628"</definedName>
    <definedName name="IQ_INVEST_LOANS_CF_BNK">"c629"</definedName>
    <definedName name="IQ_INVEST_LOANS_CF_BR">"c630"</definedName>
    <definedName name="IQ_INVEST_LOANS_CF_FIN">"c631"</definedName>
    <definedName name="IQ_INVEST_LOANS_CF_INS">"c632"</definedName>
    <definedName name="IQ_INVEST_LOANS_CF_REIT">"c633"</definedName>
    <definedName name="IQ_INVEST_LOANS_CF_UTI">"c634"</definedName>
    <definedName name="IQ_INVEST_REAL_ESTATE">"c635"</definedName>
    <definedName name="IQ_INVEST_SECURITY">"c636"</definedName>
    <definedName name="IQ_INVEST_SECURITY_CF">"c637"</definedName>
    <definedName name="IQ_INVEST_SECURITY_CF_BNK">"c638"</definedName>
    <definedName name="IQ_INVEST_SECURITY_CF_BR">"c639"</definedName>
    <definedName name="IQ_INVEST_SECURITY_CF_FIN">"c640"</definedName>
    <definedName name="IQ_INVEST_SECURITY_CF_INS">"c641"</definedName>
    <definedName name="IQ_INVEST_SECURITY_CF_REIT">"c642"</definedName>
    <definedName name="IQ_INVEST_SECURITY_CF_UTI">"c643"</definedName>
    <definedName name="IQ_IPRD">"c644"</definedName>
    <definedName name="IQ_ISS_DEBT_NET">"c1391"</definedName>
    <definedName name="IQ_ISS_STOCK_NET">"c1601"</definedName>
    <definedName name="IQ_JR_SUB_DEBT">"c2534"</definedName>
    <definedName name="IQ_JR_SUB_DEBT_EBITDA">"c2560"</definedName>
    <definedName name="IQ_JR_SUB_DEBT_EBITDA_CAPEX">"c2561"</definedName>
    <definedName name="IQ_JR_SUB_DEBT_PCT">"c2535"</definedName>
    <definedName name="IQ_LAND">"c645"</definedName>
    <definedName name="IQ_LAST_SPLIT_DATE">"c2095"</definedName>
    <definedName name="IQ_LAST_SPLIT_FACTOR">"c2093"</definedName>
    <definedName name="IQ_LASTPRICINGDATE">"c3051"</definedName>
    <definedName name="IQ_LASTSALEPRICE">"c646"</definedName>
    <definedName name="IQ_LASTSALEPRICE_DATE">"c2109"</definedName>
    <definedName name="IQ_LATESTK" hidden="1">1000</definedName>
    <definedName name="IQ_LATESTQ" hidden="1">500</definedName>
    <definedName name="IQ_LEGAL_SETTLE">"c647"</definedName>
    <definedName name="IQ_LEGAL_SETTLE_BNK">"c648"</definedName>
    <definedName name="IQ_LEGAL_SETTLE_BR">"c649"</definedName>
    <definedName name="IQ_LEGAL_SETTLE_FIN">"c650"</definedName>
    <definedName name="IQ_LEGAL_SETTLE_INS">"c651"</definedName>
    <definedName name="IQ_LEGAL_SETTLE_REIT">"c652"</definedName>
    <definedName name="IQ_LEGAL_SETTLE_UTI">"c653"</definedName>
    <definedName name="IQ_LEVERAGE_RATIO">"c654"</definedName>
    <definedName name="IQ_LEVERED_FCF">"c1907"</definedName>
    <definedName name="IQ_LFCF_10YR_ANN_GROWTH">"c1942"</definedName>
    <definedName name="IQ_LFCF_1YR_ANN_GROWTH">"c1937"</definedName>
    <definedName name="IQ_LFCF_2YR_ANN_GROWTH">"c1938"</definedName>
    <definedName name="IQ_LFCF_3YR_ANN_GROWTH">"c1939"</definedName>
    <definedName name="IQ_LFCF_5YR_ANN_GROWTH">"c1940"</definedName>
    <definedName name="IQ_LFCF_7YR_ANN_GROWTH">"c1941"</definedName>
    <definedName name="IQ_LFCF_MARGIN">"c1961"</definedName>
    <definedName name="IQ_LH_STATUTORY_SURPLUS">"c2771"</definedName>
    <definedName name="IQ_LICENSED_POPS">"c2123"</definedName>
    <definedName name="IQ_LIFE_EARNED">"c2739"</definedName>
    <definedName name="IQ_LIFOR">"c655"</definedName>
    <definedName name="IQ_LL">"c656"</definedName>
    <definedName name="IQ_LOAN_LEASE_RECEIV">"c657"</definedName>
    <definedName name="IQ_LOAN_LOSS">"c1386"</definedName>
    <definedName name="IQ_LOAN_SERVICE_REV">"c658"</definedName>
    <definedName name="IQ_LOANS_CF">"c659"</definedName>
    <definedName name="IQ_LOANS_CF_BNK">"c660"</definedName>
    <definedName name="IQ_LOANS_CF_BR">"c661"</definedName>
    <definedName name="IQ_LOANS_CF_FIN">"c662"</definedName>
    <definedName name="IQ_LOANS_CF_INS">"c663"</definedName>
    <definedName name="IQ_LOANS_CF_REIT">"c664"</definedName>
    <definedName name="IQ_LOANS_CF_UTI">"c665"</definedName>
    <definedName name="IQ_LOANS_FOR_SALE">"c666"</definedName>
    <definedName name="IQ_LOANS_PAST_DUE">"c667"</definedName>
    <definedName name="IQ_LOANS_RECEIV_CURRENT">"c668"</definedName>
    <definedName name="IQ_LOANS_RECEIV_LT">"c669"</definedName>
    <definedName name="IQ_LOANS_RECEIV_LT_UTI">"c670"</definedName>
    <definedName name="IQ_LONG_TERM_DEBT">"c1387"</definedName>
    <definedName name="IQ_LONG_TERM_DEBT_OVER_TOTAL_CAP">"c1388"</definedName>
    <definedName name="IQ_LONG_TERM_GROWTH">"c671"</definedName>
    <definedName name="IQ_LONG_TERM_INV">"c1389"</definedName>
    <definedName name="IQ_LOSS_LOSS_EXP">"c672"</definedName>
    <definedName name="IQ_LOSS_TO_NET_EARNED">"c2751"</definedName>
    <definedName name="IQ_LOW_TARGET_PRICE">"c1652"</definedName>
    <definedName name="IQ_LOWPRICE">"c673"</definedName>
    <definedName name="IQ_LT_DEBT">"c674"</definedName>
    <definedName name="IQ_LT_DEBT_BNK">"c675"</definedName>
    <definedName name="IQ_LT_DEBT_BR">"c676"</definedName>
    <definedName name="IQ_LT_DEBT_CAPITAL">"c677"</definedName>
    <definedName name="IQ_LT_DEBT_CAPITAL_LEASES">"c2542"</definedName>
    <definedName name="IQ_LT_DEBT_CAPITAL_LEASES_PCT">"c2543"</definedName>
    <definedName name="IQ_LT_DEBT_EQUITY">"c678"</definedName>
    <definedName name="IQ_LT_DEBT_FIN">"c679"</definedName>
    <definedName name="IQ_LT_DEBT_INS">"c680"</definedName>
    <definedName name="IQ_LT_DEBT_ISSUED">"c681"</definedName>
    <definedName name="IQ_LT_DEBT_ISSUED_BNK">"c682"</definedName>
    <definedName name="IQ_LT_DEBT_ISSUED_BR">"c683"</definedName>
    <definedName name="IQ_LT_DEBT_ISSUED_FIN">"c684"</definedName>
    <definedName name="IQ_LT_DEBT_ISSUED_INS">"c685"</definedName>
    <definedName name="IQ_LT_DEBT_ISSUED_REIT">"c686"</definedName>
    <definedName name="IQ_LT_DEBT_ISSUED_UTI">"c687"</definedName>
    <definedName name="IQ_LT_DEBT_REIT">"c688"</definedName>
    <definedName name="IQ_LT_DEBT_REPAID">"c689"</definedName>
    <definedName name="IQ_LT_DEBT_REPAID_BNK">"c690"</definedName>
    <definedName name="IQ_LT_DEBT_REPAID_BR">"c691"</definedName>
    <definedName name="IQ_LT_DEBT_REPAID_FIN">"c692"</definedName>
    <definedName name="IQ_LT_DEBT_REPAID_INS">"c693"</definedName>
    <definedName name="IQ_LT_DEBT_REPAID_REIT">"c694"</definedName>
    <definedName name="IQ_LT_DEBT_REPAID_UTI">"c695"</definedName>
    <definedName name="IQ_LT_DEBT_UTI">"c696"</definedName>
    <definedName name="IQ_LT_INVEST">"c697"</definedName>
    <definedName name="IQ_LT_INVEST_BR">"c698"</definedName>
    <definedName name="IQ_LT_INVEST_FIN">"c699"</definedName>
    <definedName name="IQ_LT_INVEST_REIT">"c700"</definedName>
    <definedName name="IQ_LT_INVEST_UTI">"c701"</definedName>
    <definedName name="IQ_LT_NOTE_RECEIV">"c1602"</definedName>
    <definedName name="IQ_LTD_DUE_AFTER_FIVE">"c704"</definedName>
    <definedName name="IQ_LTD_DUE_CY">"c705"</definedName>
    <definedName name="IQ_LTD_DUE_CY1">"c706"</definedName>
    <definedName name="IQ_LTD_DUE_CY2">"c707"</definedName>
    <definedName name="IQ_LTD_DUE_CY3">"c708"</definedName>
    <definedName name="IQ_LTD_DUE_CY4">"c709"</definedName>
    <definedName name="IQ_LTD_DUE_NEXT_FIVE">"c710"</definedName>
    <definedName name="IQ_LTM">2000</definedName>
    <definedName name="IQ_LTM_REVENUE_OVER_EMPLOYEES">"c1437"</definedName>
    <definedName name="IQ_LTMMONTH" hidden="1">120000</definedName>
    <definedName name="IQ_MACHINERY">"c711"</definedName>
    <definedName name="IQ_MAINT_CAPEX">"c2947"</definedName>
    <definedName name="IQ_MAINT_REPAIR">"c2087"</definedName>
    <definedName name="IQ_MARKET_CAP_LFCF">"c2209"</definedName>
    <definedName name="IQ_MARKETCAP">"c712"</definedName>
    <definedName name="IQ_MARKETING">"c2239"</definedName>
    <definedName name="IQ_MC_RATIO">"c2783"</definedName>
    <definedName name="IQ_MC_STATUTORY_SURPLUS">"c2772"</definedName>
    <definedName name="IQ_MEDIAN_TARGET_PRICE">"c1650"</definedName>
    <definedName name="IQ_MERGER">"c713"</definedName>
    <definedName name="IQ_MERGER_BNK">"c714"</definedName>
    <definedName name="IQ_MERGER_BR">"c715"</definedName>
    <definedName name="IQ_MERGER_FIN">"c716"</definedName>
    <definedName name="IQ_MERGER_INS">"c717"</definedName>
    <definedName name="IQ_MERGER_REIT">"c718"</definedName>
    <definedName name="IQ_MERGER_RESTRUCTURE">"c719"</definedName>
    <definedName name="IQ_MERGER_RESTRUCTURE_BNK">"c720"</definedName>
    <definedName name="IQ_MERGER_RESTRUCTURE_BR">"c721"</definedName>
    <definedName name="IQ_MERGER_RESTRUCTURE_FIN">"c722"</definedName>
    <definedName name="IQ_MERGER_RESTRUCTURE_INS">"c723"</definedName>
    <definedName name="IQ_MERGER_RESTRUCTURE_REIT">"c724"</definedName>
    <definedName name="IQ_MERGER_RESTRUCTURE_UTI">"c725"</definedName>
    <definedName name="IQ_MERGER_UTI">"c726"</definedName>
    <definedName name="IQ_MINORITY_INTEREST">"c727"</definedName>
    <definedName name="IQ_MINORITY_INTEREST_BNK">"c728"</definedName>
    <definedName name="IQ_MINORITY_INTEREST_BR">"c729"</definedName>
    <definedName name="IQ_MINORITY_INTEREST_CF">"c730"</definedName>
    <definedName name="IQ_MINORITY_INTEREST_FIN">"c731"</definedName>
    <definedName name="IQ_MINORITY_INTEREST_INS">"c732"</definedName>
    <definedName name="IQ_MINORITY_INTEREST_IS">"c733"</definedName>
    <definedName name="IQ_MINORITY_INTEREST_REIT">"c734"</definedName>
    <definedName name="IQ_MINORITY_INTEREST_TOTAL">"c1905"</definedName>
    <definedName name="IQ_MINORITY_INTEREST_UTI">"c735"</definedName>
    <definedName name="IQ_MISC_ADJUST_CF">"c736"</definedName>
    <definedName name="IQ_MISC_EARN_ADJ">"c1603"</definedName>
    <definedName name="IQ_MKTCAP_EBT_EXCL">"c737"</definedName>
    <definedName name="IQ_MKTCAP_EBT_EXCL_AVG">"c738"</definedName>
    <definedName name="IQ_MKTCAP_EBT_INCL_AVG">"c739"</definedName>
    <definedName name="IQ_MKTCAP_TOTAL_REV">"c740"</definedName>
    <definedName name="IQ_MKTCAP_TOTAL_REV_AVG">"c741"</definedName>
    <definedName name="IQ_MKTCAP_TOTAL_REV_FWD">"c742"</definedName>
    <definedName name="IQ_MM_ACCOUNT">"c743"</definedName>
    <definedName name="IQ_MONTH">15000</definedName>
    <definedName name="IQ_MORT_BANK_ACT">"c744"</definedName>
    <definedName name="IQ_MORT_BANKING_FEE">"c745"</definedName>
    <definedName name="IQ_MORT_INT_INC">"c746"</definedName>
    <definedName name="IQ_MORT_LOANS">"c747"</definedName>
    <definedName name="IQ_MORT_SECURITY">"c748"</definedName>
    <definedName name="IQ_MORTGAGE_SERV_RIGHTS">"c2242"</definedName>
    <definedName name="IQ_MTD">800000</definedName>
    <definedName name="IQ_NAMES_REVISION_DATE_">41626.981087963</definedName>
    <definedName name="IQ_NAV_ACT_OR_EST">"c2225"</definedName>
    <definedName name="IQ_NAV_EST">"c1751"</definedName>
    <definedName name="IQ_NAV_HIGH_EST">"c1753"</definedName>
    <definedName name="IQ_NAV_LOW_EST">"c1754"</definedName>
    <definedName name="IQ_NAV_MEDIAN_EST">"c1752"</definedName>
    <definedName name="IQ_NAV_NUM_EST">"c1755"</definedName>
    <definedName name="IQ_NAV_STDDEV_EST">"c1756"</definedName>
    <definedName name="IQ_NET_CHANGE">"c749"</definedName>
    <definedName name="IQ_NET_CLAIM_EXP_INCUR">"c2757"</definedName>
    <definedName name="IQ_NET_CLAIM_EXP_INCUR_CY">"c2761"</definedName>
    <definedName name="IQ_NET_CLAIM_EXP_INCUR_PY">"c2762"</definedName>
    <definedName name="IQ_NET_CLAIM_EXP_PAID">"c2760"</definedName>
    <definedName name="IQ_NET_CLAIM_EXP_PAID_CY">"c2763"</definedName>
    <definedName name="IQ_NET_CLAIM_EXP_PAID_PY">"c2764"</definedName>
    <definedName name="IQ_NET_CLAIM_EXP_RES">"c2754"</definedName>
    <definedName name="IQ_NET_DEBT">"c1584"</definedName>
    <definedName name="IQ_NET_DEBT_EBITDA">"c750"</definedName>
    <definedName name="IQ_NET_DEBT_EBITDA_CAPEX">"c2949"</definedName>
    <definedName name="IQ_NET_DEBT_ISSUED">"c751"</definedName>
    <definedName name="IQ_NET_DEBT_ISSUED_BNK">"c752"</definedName>
    <definedName name="IQ_NET_DEBT_ISSUED_BR">"c753"</definedName>
    <definedName name="IQ_NET_DEBT_ISSUED_FIN">"c754"</definedName>
    <definedName name="IQ_NET_DEBT_ISSUED_INS">"c755"</definedName>
    <definedName name="IQ_NET_DEBT_ISSUED_REIT">"c756"</definedName>
    <definedName name="IQ_NET_DEBT_ISSUED_UTI">"c757"</definedName>
    <definedName name="IQ_NET_EARNED">"c2734"</definedName>
    <definedName name="IQ_NET_INC">"c1394"</definedName>
    <definedName name="IQ_NET_INC_BEFORE">"c1368"</definedName>
    <definedName name="IQ_NET_INC_CF">"c1397"</definedName>
    <definedName name="IQ_NET_INC_MARGIN">"c1398"</definedName>
    <definedName name="IQ_NET_INT_INC_10YR_ANN_GROWTH">"c758"</definedName>
    <definedName name="IQ_NET_INT_INC_1YR_ANN_GROWTH">"c759"</definedName>
    <definedName name="IQ_NET_INT_INC_2YR_ANN_GROWTH">"c760"</definedName>
    <definedName name="IQ_NET_INT_INC_3YR_ANN_GROWTH">"c761"</definedName>
    <definedName name="IQ_NET_INT_INC_5YR_ANN_GROWTH">"c762"</definedName>
    <definedName name="IQ_NET_INT_INC_7YR_ANN_GROWTH">"c763"</definedName>
    <definedName name="IQ_NET_INT_INC_BNK">"c764"</definedName>
    <definedName name="IQ_NET_INT_INC_BR">"c765"</definedName>
    <definedName name="IQ_NET_INT_INC_FIN">"c766"</definedName>
    <definedName name="IQ_NET_INT_INC_TOTAL_REV">"c767"</definedName>
    <definedName name="IQ_NET_INT_MARGIN">"c768"</definedName>
    <definedName name="IQ_NET_INTEREST_EXP">"c769"</definedName>
    <definedName name="IQ_NET_INTEREST_EXP_REIT">"c770"</definedName>
    <definedName name="IQ_NET_INTEREST_EXP_UTI">"c771"</definedName>
    <definedName name="IQ_NET_INTEREST_INC">"c1392"</definedName>
    <definedName name="IQ_NET_INTEREST_INC_AFTER_LL">"c1604"</definedName>
    <definedName name="IQ_NET_LIFE_INS_IN_FORCE">"c2769"</definedName>
    <definedName name="IQ_NET_LOANS">"c772"</definedName>
    <definedName name="IQ_NET_LOANS_10YR_ANN_GROWTH">"c773"</definedName>
    <definedName name="IQ_NET_LOANS_1YR_ANN_GROWTH">"c774"</definedName>
    <definedName name="IQ_NET_LOANS_2YR_ANN_GROWTH">"c775"</definedName>
    <definedName name="IQ_NET_LOANS_3YR_ANN_GROWTH">"c776"</definedName>
    <definedName name="IQ_NET_LOANS_5YR_ANN_GROWTH">"c777"</definedName>
    <definedName name="IQ_NET_LOANS_7YR_ANN_GROWTH">"c778"</definedName>
    <definedName name="IQ_NET_LOANS_TOTAL_DEPOSITS">"c779"</definedName>
    <definedName name="IQ_NET_RENTAL_EXP_FN">"c780"</definedName>
    <definedName name="IQ_NET_TO_GROSS_EARNED">"c2750"</definedName>
    <definedName name="IQ_NET_TO_GROSS_WRITTEN">"c2729"</definedName>
    <definedName name="IQ_NET_WRITTEN">"c2728"</definedName>
    <definedName name="IQ_NEW_PREM">"c2785"</definedName>
    <definedName name="IQ_NI">"c781"</definedName>
    <definedName name="IQ_NI_10YR_ANN_GROWTH">"c782"</definedName>
    <definedName name="IQ_NI_1YR_ANN_GROWTH">"c783"</definedName>
    <definedName name="IQ_NI_2YR_ANN_GROWTH">"c784"</definedName>
    <definedName name="IQ_NI_3YR_ANN_GROWTH">"c785"</definedName>
    <definedName name="IQ_NI_5YR_ANN_GROWTH">"c786"</definedName>
    <definedName name="IQ_NI_7YR_ANN_GROWTH">"c787"</definedName>
    <definedName name="IQ_NI_ACT_OR_EST">"c2222"</definedName>
    <definedName name="IQ_NI_AFTER_CAPITALIZED">"c788"</definedName>
    <definedName name="IQ_NI_AVAIL_EXCL">"c789"</definedName>
    <definedName name="IQ_NI_AVAIL_EXCL_MARGIN">"c790"</definedName>
    <definedName name="IQ_NI_AVAIL_INCL">"c791"</definedName>
    <definedName name="IQ_NI_BEFORE_CAPITALIZED">"c792"</definedName>
    <definedName name="IQ_NI_CF">"c793"</definedName>
    <definedName name="IQ_NI_EST">"c1716"</definedName>
    <definedName name="IQ_NI_GW_EST">"c1723"</definedName>
    <definedName name="IQ_NI_GW_HIGH_EST">"c1725"</definedName>
    <definedName name="IQ_NI_GW_LOW_EST">"c1726"</definedName>
    <definedName name="IQ_NI_GW_MEDIAN_EST">"c1724"</definedName>
    <definedName name="IQ_NI_GW_NUM_EST">"c1727"</definedName>
    <definedName name="IQ_NI_GW_STDDEV_EST">"c1728"</definedName>
    <definedName name="IQ_NI_HIGH_EST">"c1718"</definedName>
    <definedName name="IQ_NI_LOW_EST">"c1719"</definedName>
    <definedName name="IQ_NI_MARGIN">"c794"</definedName>
    <definedName name="IQ_NI_MEDIAN_EST">"c1717"</definedName>
    <definedName name="IQ_NI_NORM">"c1901"</definedName>
    <definedName name="IQ_NI_NORM_10YR_ANN_GROWTH">"c1960"</definedName>
    <definedName name="IQ_NI_NORM_1YR_ANN_GROWTH">"c1955"</definedName>
    <definedName name="IQ_NI_NORM_2YR_ANN_GROWTH">"c1956"</definedName>
    <definedName name="IQ_NI_NORM_3YR_ANN_GROWTH">"c1957"</definedName>
    <definedName name="IQ_NI_NORM_5YR_ANN_GROWTH">"c1958"</definedName>
    <definedName name="IQ_NI_NORM_7YR_ANN_GROWTH">"c1959"</definedName>
    <definedName name="IQ_NI_NORM_MARGIN">"c1964"</definedName>
    <definedName name="IQ_NI_NUM_EST">"c1720"</definedName>
    <definedName name="IQ_NI_REPORTED_EST">"c1730"</definedName>
    <definedName name="IQ_NI_REPORTED_HIGH_EST">"c1732"</definedName>
    <definedName name="IQ_NI_REPORTED_LOW_EST">"c1733"</definedName>
    <definedName name="IQ_NI_REPORTED_MEDIAN_EST">"c1731"</definedName>
    <definedName name="IQ_NI_REPORTED_NUM_EST">"c1734"</definedName>
    <definedName name="IQ_NI_REPORTED_STDDEV_EST">"c1735"</definedName>
    <definedName name="IQ_NI_SFAS">"c795"</definedName>
    <definedName name="IQ_NI_STDDEV_EST">"c1721"</definedName>
    <definedName name="IQ_NON_ACCRUAL_LOANS">"c796"</definedName>
    <definedName name="IQ_NON_CASH">"c1399"</definedName>
    <definedName name="IQ_NON_CASH_ITEMS">"c797"</definedName>
    <definedName name="IQ_NON_INS_EXP">"c798"</definedName>
    <definedName name="IQ_NON_INS_REV">"c799"</definedName>
    <definedName name="IQ_NON_INT_BEAR_CD">"c800"</definedName>
    <definedName name="IQ_NON_INT_EXP">"c801"</definedName>
    <definedName name="IQ_NON_INT_INC">"c802"</definedName>
    <definedName name="IQ_NON_INT_INC_10YR_ANN_GROWTH">"c803"</definedName>
    <definedName name="IQ_NON_INT_INC_1YR_ANN_GROWTH">"c804"</definedName>
    <definedName name="IQ_NON_INT_INC_2YR_ANN_GROWTH">"c805"</definedName>
    <definedName name="IQ_NON_INT_INC_3YR_ANN_GROWTH">"c806"</definedName>
    <definedName name="IQ_NON_INT_INC_5YR_ANN_GROWTH">"c807"</definedName>
    <definedName name="IQ_NON_INT_INC_7YR_ANN_GROWTH">"c808"</definedName>
    <definedName name="IQ_NON_INTEREST_EXP">"c1400"</definedName>
    <definedName name="IQ_NON_INTEREST_INC">"c1401"</definedName>
    <definedName name="IQ_NON_OPER_EXP">"c809"</definedName>
    <definedName name="IQ_NON_OPER_INC">"c810"</definedName>
    <definedName name="IQ_NON_PERF_ASSETS_10YR_ANN_GROWTH">"c811"</definedName>
    <definedName name="IQ_NON_PERF_ASSETS_1YR_ANN_GROWTH">"c812"</definedName>
    <definedName name="IQ_NON_PERF_ASSETS_2YR_ANN_GROWTH">"c813"</definedName>
    <definedName name="IQ_NON_PERF_ASSETS_3YR_ANN_GROWTH">"c814"</definedName>
    <definedName name="IQ_NON_PERF_ASSETS_5YR_ANN_GROWTH">"c815"</definedName>
    <definedName name="IQ_NON_PERF_ASSETS_7YR_ANN_GROWTH">"c816"</definedName>
    <definedName name="IQ_NON_PERF_ASSETS_TOTAL_ASSETS">"c817"</definedName>
    <definedName name="IQ_NON_PERF_LOANS_10YR_ANN_GROWTH">"c818"</definedName>
    <definedName name="IQ_NON_PERF_LOANS_1YR_ANN_GROWTH">"c819"</definedName>
    <definedName name="IQ_NON_PERF_LOANS_2YR_ANN_GROWTH">"c820"</definedName>
    <definedName name="IQ_NON_PERF_LOANS_3YR_ANN_GROWTH">"c821"</definedName>
    <definedName name="IQ_NON_PERF_LOANS_5YR_ANN_GROWTH">"c822"</definedName>
    <definedName name="IQ_NON_PERF_LOANS_7YR_ANN_GROWTH">"c823"</definedName>
    <definedName name="IQ_NON_PERF_LOANS_TOTAL_ASSETS">"c824"</definedName>
    <definedName name="IQ_NON_PERF_LOANS_TOTAL_LOANS">"c825"</definedName>
    <definedName name="IQ_NON_PERFORMING_ASSETS">"c826"</definedName>
    <definedName name="IQ_NON_PERFORMING_LOANS">"c827"</definedName>
    <definedName name="IQ_NONCASH_PENSION_EXP">"c3000"</definedName>
    <definedName name="IQ_NONRECOURSE_DEBT">"c2550"</definedName>
    <definedName name="IQ_NONRECOURSE_DEBT_PCT">"c2551"</definedName>
    <definedName name="IQ_NONUTIL_REV">"c2089"</definedName>
    <definedName name="IQ_NORM_EPS_ACT_OR_EST">"c2249"</definedName>
    <definedName name="IQ_NORMAL_INC_AFTER">"c1605"</definedName>
    <definedName name="IQ_NORMAL_INC_AVAIL">"c1606"</definedName>
    <definedName name="IQ_NORMAL_INC_BEFORE">"c1607"</definedName>
    <definedName name="IQ_NOTES_PAY">"c1423"</definedName>
    <definedName name="IQ_NOW_ACCOUNT">"c828"</definedName>
    <definedName name="IQ_NPPE">"c829"</definedName>
    <definedName name="IQ_NPPE_10YR_ANN_GROWTH">"c830"</definedName>
    <definedName name="IQ_NPPE_1YR_ANN_GROWTH">"c831"</definedName>
    <definedName name="IQ_NPPE_2YR_ANN_GROWTH">"c832"</definedName>
    <definedName name="IQ_NPPE_3YR_ANN_GROWTH">"c833"</definedName>
    <definedName name="IQ_NPPE_5YR_ANN_GROWTH">"c834"</definedName>
    <definedName name="IQ_NPPE_7YR_ANN_GROWTH">"c835"</definedName>
    <definedName name="IQ_NTM">6000</definedName>
    <definedName name="IQ_NUKE">"c836"</definedName>
    <definedName name="IQ_NUKE_CF">"c837"</definedName>
    <definedName name="IQ_NUKE_CONTR">"c838"</definedName>
    <definedName name="IQ_NUM_BRANCHES">"c2088"</definedName>
    <definedName name="IQ_NUMBER_ADRHOLDERS">"c1970"</definedName>
    <definedName name="IQ_NUMBER_DAYS">"c1904"</definedName>
    <definedName name="IQ_NUMBER_SHAREHOLDERS">"c1967"</definedName>
    <definedName name="IQ_NUMBER_SHAREHOLDERS_CLASSA">"c1968"</definedName>
    <definedName name="IQ_NUMBER_SHAREHOLDERS_OTHER">"c1969"</definedName>
    <definedName name="IQ_OCCUPY_EXP">"c839"</definedName>
    <definedName name="IQ_OG_10DISC">"c1998"</definedName>
    <definedName name="IQ_OG_10DISC_GAS">"c2018"</definedName>
    <definedName name="IQ_OG_10DISC_OIL">"c2008"</definedName>
    <definedName name="IQ_OG_ACQ_COST_PROVED">"c1975"</definedName>
    <definedName name="IQ_OG_ACQ_COST_PROVED_GAS">"c1987"</definedName>
    <definedName name="IQ_OG_ACQ_COST_PROVED_OIL">"c1981"</definedName>
    <definedName name="IQ_OG_ACQ_COST_UNPROVED">"c1976"</definedName>
    <definedName name="IQ_OG_ACQ_COST_UNPROVED_GAS">"c1988"</definedName>
    <definedName name="IQ_OG_ACQ_COST_UNPROVED_OIL">"c1982"</definedName>
    <definedName name="IQ_OG_AVG_DAILY_PROD_GAS">"c2910"</definedName>
    <definedName name="IQ_OG_AVG_DAILY_PROD_NGL">"c2911"</definedName>
    <definedName name="IQ_OG_AVG_DAILY_PROD_OIL">"c2909"</definedName>
    <definedName name="IQ_OG_CLOSE_BALANCE_GAS">"c2049"</definedName>
    <definedName name="IQ_OG_CLOSE_BALANCE_NGL">"c2920"</definedName>
    <definedName name="IQ_OG_CLOSE_BALANCE_OIL">"c2037"</definedName>
    <definedName name="IQ_OG_DCF_BEFORE_TAXES">"c2023"</definedName>
    <definedName name="IQ_OG_DCF_BEFORE_TAXES_GAS">"c2025"</definedName>
    <definedName name="IQ_OG_DCF_BEFORE_TAXES_OIL">"c2024"</definedName>
    <definedName name="IQ_OG_DEVELOPED_RESERVES_GAS">"c2053"</definedName>
    <definedName name="IQ_OG_DEVELOPED_RESERVES_NGL">"c2922"</definedName>
    <definedName name="IQ_OG_DEVELOPED_RESERVES_OIL">"c2054"</definedName>
    <definedName name="IQ_OG_DEVELOPMENT_COSTS">"c1978"</definedName>
    <definedName name="IQ_OG_DEVELOPMENT_COSTS_GAS">"c1990"</definedName>
    <definedName name="IQ_OG_DEVELOPMENT_COSTS_OIL">"c1984"</definedName>
    <definedName name="IQ_OG_EQUITY_DCF">"c2002"</definedName>
    <definedName name="IQ_OG_EQUITY_DCF_GAS">"c2022"</definedName>
    <definedName name="IQ_OG_EQUITY_DCF_OIL">"c2012"</definedName>
    <definedName name="IQ_OG_EQUTY_RESERVES_GAS">"c2050"</definedName>
    <definedName name="IQ_OG_EQUTY_RESERVES_NGL">"c2921"</definedName>
    <definedName name="IQ_OG_EQUTY_RESERVES_OIL">"c2038"</definedName>
    <definedName name="IQ_OG_EXPLORATION_COSTS">"c1977"</definedName>
    <definedName name="IQ_OG_EXPLORATION_COSTS_GAS">"c1989"</definedName>
    <definedName name="IQ_OG_EXPLORATION_COSTS_OIL">"c1983"</definedName>
    <definedName name="IQ_OG_EXT_DISC_GAS">"c2043"</definedName>
    <definedName name="IQ_OG_EXT_DISC_NGL">"c2914"</definedName>
    <definedName name="IQ_OG_EXT_DISC_OIL">"c2031"</definedName>
    <definedName name="IQ_OG_FUTURE_CASH_INFLOWS">"c1993"</definedName>
    <definedName name="IQ_OG_FUTURE_CASH_INFLOWS_GAS">"c2013"</definedName>
    <definedName name="IQ_OG_FUTURE_CASH_INFLOWS_OIL">"c2003"</definedName>
    <definedName name="IQ_OG_FUTURE_DEVELOPMENT_COSTS">"c1995"</definedName>
    <definedName name="IQ_OG_FUTURE_DEVELOPMENT_COSTS_GAS">"c2015"</definedName>
    <definedName name="IQ_OG_FUTURE_DEVELOPMENT_COSTS_OIL">"c2005"</definedName>
    <definedName name="IQ_OG_FUTURE_INC_TAXES">"c1997"</definedName>
    <definedName name="IQ_OG_FUTURE_INC_TAXES_GAS">"c2017"</definedName>
    <definedName name="IQ_OG_FUTURE_INC_TAXES_OIL">"c2007"</definedName>
    <definedName name="IQ_OG_FUTURE_PRODUCTION_COSTS">"c1994"</definedName>
    <definedName name="IQ_OG_FUTURE_PRODUCTION_COSTS_GAS">"c2014"</definedName>
    <definedName name="IQ_OG_FUTURE_PRODUCTION_COSTS_OIL">"c2004"</definedName>
    <definedName name="IQ_OG_GAS_PRICE_HEDGED">"c2056"</definedName>
    <definedName name="IQ_OG_GAS_PRICE_UNHEDGED">"c2058"</definedName>
    <definedName name="IQ_OG_IMPROVED_RECOVERY_GAS">"c2044"</definedName>
    <definedName name="IQ_OG_IMPROVED_RECOVERY_NGL">"c2915"</definedName>
    <definedName name="IQ_OG_IMPROVED_RECOVERY_OIL">"c2032"</definedName>
    <definedName name="IQ_OG_LIQUID_GAS_PRICE_HEDGED">"c2233"</definedName>
    <definedName name="IQ_OG_LIQUID_GAS_PRICE_UNHEDGED">"c2234"</definedName>
    <definedName name="IQ_OG_NET_FUTURE_CASH_FLOWS">"c1996"</definedName>
    <definedName name="IQ_OG_NET_FUTURE_CASH_FLOWS_GAS">"c2016"</definedName>
    <definedName name="IQ_OG_NET_FUTURE_CASH_FLOWS_OIL">"c2006"</definedName>
    <definedName name="IQ_OG_OIL_PRICE_HEDGED">"c2055"</definedName>
    <definedName name="IQ_OG_OIL_PRICE_UNHEDGED">"c2057"</definedName>
    <definedName name="IQ_OG_OPEN_BALANCE_GAS">"c2041"</definedName>
    <definedName name="IQ_OG_OPEN_BALANCE_NGL">"c2912"</definedName>
    <definedName name="IQ_OG_OPEN_BALANCE_OIL">"c2029"</definedName>
    <definedName name="IQ_OG_OTHER_ADJ_FCF">"c1999"</definedName>
    <definedName name="IQ_OG_OTHER_ADJ_FCF_GAS">"c2019"</definedName>
    <definedName name="IQ_OG_OTHER_ADJ_FCF_OIL">"c2009"</definedName>
    <definedName name="IQ_OG_OTHER_ADJ_GAS">"c2048"</definedName>
    <definedName name="IQ_OG_OTHER_ADJ_NGL">"c2919"</definedName>
    <definedName name="IQ_OG_OTHER_ADJ_OIL">"c2036"</definedName>
    <definedName name="IQ_OG_OTHER_COSTS">"c1979"</definedName>
    <definedName name="IQ_OG_OTHER_COSTS_GAS">"c1991"</definedName>
    <definedName name="IQ_OG_OTHER_COSTS_OIL">"c1985"</definedName>
    <definedName name="IQ_OG_PRODUCTION_GAS">"c2047"</definedName>
    <definedName name="IQ_OG_PRODUCTION_NGL">"c2918"</definedName>
    <definedName name="IQ_OG_PRODUCTION_OIL">"c2035"</definedName>
    <definedName name="IQ_OG_PURCHASES_GAS">"c2045"</definedName>
    <definedName name="IQ_OG_PURCHASES_NGL">"c2916"</definedName>
    <definedName name="IQ_OG_PURCHASES_OIL">"c2033"</definedName>
    <definedName name="IQ_OG_REVISIONS_GAS">"c2042"</definedName>
    <definedName name="IQ_OG_REVISIONS_NGL">"c2913"</definedName>
    <definedName name="IQ_OG_REVISIONS_OIL">"c2030"</definedName>
    <definedName name="IQ_OG_SALES_IN_PLACE_GAS">"c2046"</definedName>
    <definedName name="IQ_OG_SALES_IN_PLACE_NGL">"c2917"</definedName>
    <definedName name="IQ_OG_SALES_IN_PLACE_OIL">"c2034"</definedName>
    <definedName name="IQ_OG_STANDARDIZED_DCF">"c2000"</definedName>
    <definedName name="IQ_OG_STANDARDIZED_DCF_GAS">"c2020"</definedName>
    <definedName name="IQ_OG_STANDARDIZED_DCF_HEDGED">"c2001"</definedName>
    <definedName name="IQ_OG_STANDARDIZED_DCF_HEDGED_GAS">"c2021"</definedName>
    <definedName name="IQ_OG_STANDARDIZED_DCF_HEDGED_OIL">"c2011"</definedName>
    <definedName name="IQ_OG_STANDARDIZED_DCF_OIL">"c2010"</definedName>
    <definedName name="IQ_OG_TAXES">"c2026"</definedName>
    <definedName name="IQ_OG_TAXES_GAS">"c2028"</definedName>
    <definedName name="IQ_OG_TAXES_OIL">"c2027"</definedName>
    <definedName name="IQ_OG_TOTAL_COSTS">"c1980"</definedName>
    <definedName name="IQ_OG_TOTAL_COSTS_GAS">"c1992"</definedName>
    <definedName name="IQ_OG_TOTAL_COSTS_OIL">"c1986"</definedName>
    <definedName name="IQ_OG_TOTAL_EST_PROVED_RESERVES_GAS">"c2052"</definedName>
    <definedName name="IQ_OG_TOTAL_GAS_PRODUCTION">"c2060"</definedName>
    <definedName name="IQ_OG_TOTAL_LIQUID_GAS_PRODUCTION">"c2235"</definedName>
    <definedName name="IQ_OG_TOTAL_OIL_PRODUCTION">"c2059"</definedName>
    <definedName name="IQ_OG_UNDEVELOPED_RESERVES_GAS">"c2051"</definedName>
    <definedName name="IQ_OG_UNDEVELOPED_RESERVES_NGL">"c2923"</definedName>
    <definedName name="IQ_OG_UNDEVELOPED_RESERVES_OIL">"c2039"</definedName>
    <definedName name="IQ_OIL_IMPAIR">"c840"</definedName>
    <definedName name="IQ_OL_COMM_AFTER_FIVE">"c841"</definedName>
    <definedName name="IQ_OL_COMM_CY">"c842"</definedName>
    <definedName name="IQ_OL_COMM_CY1">"c843"</definedName>
    <definedName name="IQ_OL_COMM_CY2">"c844"</definedName>
    <definedName name="IQ_OL_COMM_CY3">"c845"</definedName>
    <definedName name="IQ_OL_COMM_CY4">"c846"</definedName>
    <definedName name="IQ_OL_COMM_NEXT_FIVE">"c847"</definedName>
    <definedName name="IQ_OPENPRICE">"c848"</definedName>
    <definedName name="IQ_OPER_INC">"c849"</definedName>
    <definedName name="IQ_OPER_INC_ACT_OR_EST">"c2220"</definedName>
    <definedName name="IQ_OPER_INC_BR">"c850"</definedName>
    <definedName name="IQ_OPER_INC_EST">"c1688"</definedName>
    <definedName name="IQ_OPER_INC_FIN">"c851"</definedName>
    <definedName name="IQ_OPER_INC_HIGH_EST">"c1690"</definedName>
    <definedName name="IQ_OPER_INC_INS">"c852"</definedName>
    <definedName name="IQ_OPER_INC_LOW_EST">"c1691"</definedName>
    <definedName name="IQ_OPER_INC_MARGIN">"c1448"</definedName>
    <definedName name="IQ_OPER_INC_MEDIAN_EST">"c1689"</definedName>
    <definedName name="IQ_OPER_INC_NUM_EST">"c1692"</definedName>
    <definedName name="IQ_OPER_INC_REIT">"c853"</definedName>
    <definedName name="IQ_OPER_INC_STDDEV_EST">"c1693"</definedName>
    <definedName name="IQ_OPER_INC_UTI">"c854"</definedName>
    <definedName name="IQ_OPERATIONS_EXP">"c855"</definedName>
    <definedName name="IQ_OPTIONS_BEG_OS">"c1572"</definedName>
    <definedName name="IQ_OPTIONS_CANCELLED">"c856"</definedName>
    <definedName name="IQ_OPTIONS_END_OS">"c1573"</definedName>
    <definedName name="IQ_OPTIONS_EXERCISED">"c2116"</definedName>
    <definedName name="IQ_OPTIONS_GRANTED">"c2673"</definedName>
    <definedName name="IQ_OPTIONS_ISSUED">"c857"</definedName>
    <definedName name="IQ_OPTIONS_STRIKE_PRICE_GRANTED">"c2678"</definedName>
    <definedName name="IQ_OPTIONS_STRIKE_PRICE_OS">"c2677"</definedName>
    <definedName name="IQ_ORDER_BACKLOG">"c2090"</definedName>
    <definedName name="IQ_OTHER_ADJUST_GROSS_LOANS">"c859"</definedName>
    <definedName name="IQ_OTHER_ASSETS">"c860"</definedName>
    <definedName name="IQ_OTHER_ASSETS_BNK">"c861"</definedName>
    <definedName name="IQ_OTHER_ASSETS_BR">"c862"</definedName>
    <definedName name="IQ_OTHER_ASSETS_FIN">"c863"</definedName>
    <definedName name="IQ_OTHER_ASSETS_INS">"c864"</definedName>
    <definedName name="IQ_OTHER_ASSETS_REIT">"c865"</definedName>
    <definedName name="IQ_OTHER_ASSETS_SERV_RIGHTS">"c2243"</definedName>
    <definedName name="IQ_OTHER_ASSETS_UTI">"c866"</definedName>
    <definedName name="IQ_OTHER_BEARING_LIAB">"c1608"</definedName>
    <definedName name="IQ_OTHER_BENEFITS_OBLIGATION">"c867"</definedName>
    <definedName name="IQ_OTHER_CA">"c868"</definedName>
    <definedName name="IQ_OTHER_CA_SUPPL">"c869"</definedName>
    <definedName name="IQ_OTHER_CA_SUPPL_BNK">"c870"</definedName>
    <definedName name="IQ_OTHER_CA_SUPPL_BR">"c871"</definedName>
    <definedName name="IQ_OTHER_CA_SUPPL_FIN">"c872"</definedName>
    <definedName name="IQ_OTHER_CA_SUPPL_INS">"c873"</definedName>
    <definedName name="IQ_OTHER_CA_SUPPL_REIT">"c874"</definedName>
    <definedName name="IQ_OTHER_CA_SUPPL_UTI">"c875"</definedName>
    <definedName name="IQ_OTHER_CA_UTI">"c876"</definedName>
    <definedName name="IQ_OTHER_CL">"c877"</definedName>
    <definedName name="IQ_OTHER_CL_SUPPL">"c878"</definedName>
    <definedName name="IQ_OTHER_CL_SUPPL_BNK">"c879"</definedName>
    <definedName name="IQ_OTHER_CL_SUPPL_BR">"c880"</definedName>
    <definedName name="IQ_OTHER_CL_SUPPL_FIN">"c881"</definedName>
    <definedName name="IQ_OTHER_CL_SUPPL_REIT">"c882"</definedName>
    <definedName name="IQ_OTHER_CL_SUPPL_UTI">"c883"</definedName>
    <definedName name="IQ_OTHER_CL_UTI">"c884"</definedName>
    <definedName name="IQ_OTHER_CURRENT_ASSETS">"c1403"</definedName>
    <definedName name="IQ_OTHER_CURRENT_LIAB">"c1404"</definedName>
    <definedName name="IQ_OTHER_DEBT">"c2507"</definedName>
    <definedName name="IQ_OTHER_DEBT_PCT">"c2508"</definedName>
    <definedName name="IQ_OTHER_DEP">"c885"</definedName>
    <definedName name="IQ_OTHER_EARNING">"c1609"</definedName>
    <definedName name="IQ_OTHER_EQUITY">"c886"</definedName>
    <definedName name="IQ_OTHER_EQUITY_BNK">"c887"</definedName>
    <definedName name="IQ_OTHER_EQUITY_BR">"c888"</definedName>
    <definedName name="IQ_OTHER_EQUITY_FIN">"c889"</definedName>
    <definedName name="IQ_OTHER_EQUITY_INS">"c890"</definedName>
    <definedName name="IQ_OTHER_EQUITY_REIT">"c891"</definedName>
    <definedName name="IQ_OTHER_EQUITY_UTI">"c892"</definedName>
    <definedName name="IQ_OTHER_FINANCE_ACT">"c893"</definedName>
    <definedName name="IQ_OTHER_FINANCE_ACT_BNK">"c894"</definedName>
    <definedName name="IQ_OTHER_FINANCE_ACT_BR">"c895"</definedName>
    <definedName name="IQ_OTHER_FINANCE_ACT_FIN">"c896"</definedName>
    <definedName name="IQ_OTHER_FINANCE_ACT_INS">"c897"</definedName>
    <definedName name="IQ_OTHER_FINANCE_ACT_REIT">"c898"</definedName>
    <definedName name="IQ_OTHER_FINANCE_ACT_SUPPL">"c899"</definedName>
    <definedName name="IQ_OTHER_FINANCE_ACT_SUPPL_BNK">"c900"</definedName>
    <definedName name="IQ_OTHER_FINANCE_ACT_SUPPL_BR">"c901"</definedName>
    <definedName name="IQ_OTHER_FINANCE_ACT_SUPPL_FIN">"c902"</definedName>
    <definedName name="IQ_OTHER_FINANCE_ACT_SUPPL_INS">"c903"</definedName>
    <definedName name="IQ_OTHER_FINANCE_ACT_SUPPL_REIT">"c904"</definedName>
    <definedName name="IQ_OTHER_FINANCE_ACT_SUPPL_UTI">"c905"</definedName>
    <definedName name="IQ_OTHER_FINANCE_ACT_UTI">"c906"</definedName>
    <definedName name="IQ_OTHER_INTAN">"c907"</definedName>
    <definedName name="IQ_OTHER_INTAN_BNK">"c908"</definedName>
    <definedName name="IQ_OTHER_INTAN_BR">"c909"</definedName>
    <definedName name="IQ_OTHER_INTAN_FIN">"c910"</definedName>
    <definedName name="IQ_OTHER_INTAN_INS">"c911"</definedName>
    <definedName name="IQ_OTHER_INTAN_REIT">"c912"</definedName>
    <definedName name="IQ_OTHER_INTAN_UTI">"c913"</definedName>
    <definedName name="IQ_OTHER_INV">"c914"</definedName>
    <definedName name="IQ_OTHER_INVEST">"c915"</definedName>
    <definedName name="IQ_OTHER_INVEST_ACT">"c916"</definedName>
    <definedName name="IQ_OTHER_INVEST_ACT_BNK">"c917"</definedName>
    <definedName name="IQ_OTHER_INVEST_ACT_BR">"c918"</definedName>
    <definedName name="IQ_OTHER_INVEST_ACT_FIN">"c919"</definedName>
    <definedName name="IQ_OTHER_INVEST_ACT_INS">"c920"</definedName>
    <definedName name="IQ_OTHER_INVEST_ACT_REIT">"c921"</definedName>
    <definedName name="IQ_OTHER_INVEST_ACT_SUPPL">"c922"</definedName>
    <definedName name="IQ_OTHER_INVEST_ACT_SUPPL_BNK">"c923"</definedName>
    <definedName name="IQ_OTHER_INVEST_ACT_SUPPL_BR">"c924"</definedName>
    <definedName name="IQ_OTHER_INVEST_ACT_SUPPL_FIN">"c925"</definedName>
    <definedName name="IQ_OTHER_INVEST_ACT_SUPPL_INS">"c926"</definedName>
    <definedName name="IQ_OTHER_INVEST_ACT_SUPPL_REIT">"c927"</definedName>
    <definedName name="IQ_OTHER_INVEST_ACT_SUPPL_UTI">"c928"</definedName>
    <definedName name="IQ_OTHER_INVEST_ACT_UTI">"c929"</definedName>
    <definedName name="IQ_OTHER_INVESTING">"c1408"</definedName>
    <definedName name="IQ_OTHER_LIAB">"c930"</definedName>
    <definedName name="IQ_OTHER_LIAB_BNK">"c931"</definedName>
    <definedName name="IQ_OTHER_LIAB_BR">"c932"</definedName>
    <definedName name="IQ_OTHER_LIAB_FIN">"c933"</definedName>
    <definedName name="IQ_OTHER_LIAB_INS">"c934"</definedName>
    <definedName name="IQ_OTHER_LIAB_LT">"c935"</definedName>
    <definedName name="IQ_OTHER_LIAB_LT_BNK">"c936"</definedName>
    <definedName name="IQ_OTHER_LIAB_LT_BR">"c937"</definedName>
    <definedName name="IQ_OTHER_LIAB_LT_FIN">"c938"</definedName>
    <definedName name="IQ_OTHER_LIAB_LT_INS">"c939"</definedName>
    <definedName name="IQ_OTHER_LIAB_LT_REIT">"c940"</definedName>
    <definedName name="IQ_OTHER_LIAB_LT_UTI">"c941"</definedName>
    <definedName name="IQ_OTHER_LIAB_REIT">"c942"</definedName>
    <definedName name="IQ_OTHER_LIAB_UTI">"c943"</definedName>
    <definedName name="IQ_OTHER_LIAB_WRITTEN">"c944"</definedName>
    <definedName name="IQ_OTHER_LOANS">"c945"</definedName>
    <definedName name="IQ_OTHER_LONG_TERM">"c1409"</definedName>
    <definedName name="IQ_OTHER_LT_ASSETS">"c946"</definedName>
    <definedName name="IQ_OTHER_LT_ASSETS_BNK">"c947"</definedName>
    <definedName name="IQ_OTHER_LT_ASSETS_BR">"c948"</definedName>
    <definedName name="IQ_OTHER_LT_ASSETS_FIN">"c949"</definedName>
    <definedName name="IQ_OTHER_LT_ASSETS_INS">"c950"</definedName>
    <definedName name="IQ_OTHER_LT_ASSETS_REIT">"c951"</definedName>
    <definedName name="IQ_OTHER_LT_ASSETS_UTI">"c952"</definedName>
    <definedName name="IQ_OTHER_NET">"c1453"</definedName>
    <definedName name="IQ_OTHER_NON_INT_EXP">"c953"</definedName>
    <definedName name="IQ_OTHER_NON_INT_EXP_TOTAL">"c954"</definedName>
    <definedName name="IQ_OTHER_NON_INT_INC">"c955"</definedName>
    <definedName name="IQ_OTHER_NON_OPER_EXP">"c956"</definedName>
    <definedName name="IQ_OTHER_NON_OPER_EXP_BR">"c957"</definedName>
    <definedName name="IQ_OTHER_NON_OPER_EXP_FIN">"c958"</definedName>
    <definedName name="IQ_OTHER_NON_OPER_EXP_INS">"c959"</definedName>
    <definedName name="IQ_OTHER_NON_OPER_EXP_REIT">"c960"</definedName>
    <definedName name="IQ_OTHER_NON_OPER_EXP_SUPPL">"c961"</definedName>
    <definedName name="IQ_OTHER_NON_OPER_EXP_SUPPL_BR">"c962"</definedName>
    <definedName name="IQ_OTHER_NON_OPER_EXP_SUPPL_FIN">"c963"</definedName>
    <definedName name="IQ_OTHER_NON_OPER_EXP_SUPPL_INS">"c964"</definedName>
    <definedName name="IQ_OTHER_NON_OPER_EXP_SUPPL_REIT">"c965"</definedName>
    <definedName name="IQ_OTHER_NON_OPER_EXP_SUPPL_UTI">"c966"</definedName>
    <definedName name="IQ_OTHER_NON_OPER_EXP_UTI">"c967"</definedName>
    <definedName name="IQ_OTHER_OPER">"c982"</definedName>
    <definedName name="IQ_OTHER_OPER_ACT">"c983"</definedName>
    <definedName name="IQ_OTHER_OPER_ACT_BNK">"c984"</definedName>
    <definedName name="IQ_OTHER_OPER_ACT_BR">"c985"</definedName>
    <definedName name="IQ_OTHER_OPER_ACT_FIN">"c986"</definedName>
    <definedName name="IQ_OTHER_OPER_ACT_INS">"c987"</definedName>
    <definedName name="IQ_OTHER_OPER_ACT_REIT">"c988"</definedName>
    <definedName name="IQ_OTHER_OPER_ACT_UTI">"c989"</definedName>
    <definedName name="IQ_OTHER_OPER_BR">"c990"</definedName>
    <definedName name="IQ_OTHER_OPER_FIN">"c991"</definedName>
    <definedName name="IQ_OTHER_OPER_INS">"c992"</definedName>
    <definedName name="IQ_OTHER_OPER_REIT">"c993"</definedName>
    <definedName name="IQ_OTHER_OPER_SUPPL_BR">"c994"</definedName>
    <definedName name="IQ_OTHER_OPER_SUPPL_FIN">"c995"</definedName>
    <definedName name="IQ_OTHER_OPER_SUPPL_INS">"c996"</definedName>
    <definedName name="IQ_OTHER_OPER_SUPPL_REIT">"c997"</definedName>
    <definedName name="IQ_OTHER_OPER_SUPPL_UTI">"c998"</definedName>
    <definedName name="IQ_OTHER_OPER_TOT_BNK">"c999"</definedName>
    <definedName name="IQ_OTHER_OPER_TOT_BR">"c1000"</definedName>
    <definedName name="IQ_OTHER_OPER_TOT_FIN">"c1001"</definedName>
    <definedName name="IQ_OTHER_OPER_TOT_INS">"c1002"</definedName>
    <definedName name="IQ_OTHER_OPER_TOT_REIT">"c1003"</definedName>
    <definedName name="IQ_OTHER_OPER_TOT_UTI">"c1004"</definedName>
    <definedName name="IQ_OTHER_OPER_UTI">"c1005"</definedName>
    <definedName name="IQ_OTHER_OPTIONS_BEG_OS">"c2686"</definedName>
    <definedName name="IQ_OTHER_OPTIONS_CANCELLED">"c2689"</definedName>
    <definedName name="IQ_OTHER_OPTIONS_END_OS">"c2690"</definedName>
    <definedName name="IQ_OTHER_OPTIONS_EXERCISED">"c2688"</definedName>
    <definedName name="IQ_OTHER_OPTIONS_GRANTED">"c2687"</definedName>
    <definedName name="IQ_OTHER_OPTIONS_STRIKE_PRICE_OS">"c2691"</definedName>
    <definedName name="IQ_OTHER_OUTSTANDING_BS_DATE">"c1972"</definedName>
    <definedName name="IQ_OTHER_OUTSTANDING_FILING_DATE">"c1974"</definedName>
    <definedName name="IQ_OTHER_PC_WRITTEN">"c1006"</definedName>
    <definedName name="IQ_OTHER_REAL_ESTATE">"c1007"</definedName>
    <definedName name="IQ_OTHER_RECEIV">"c1008"</definedName>
    <definedName name="IQ_OTHER_RECEIV_INS">"c1009"</definedName>
    <definedName name="IQ_OTHER_REV">"c1010"</definedName>
    <definedName name="IQ_OTHER_REV_BR">"c1011"</definedName>
    <definedName name="IQ_OTHER_REV_FIN">"c1012"</definedName>
    <definedName name="IQ_OTHER_REV_INS">"c1013"</definedName>
    <definedName name="IQ_OTHER_REV_REIT">"c1014"</definedName>
    <definedName name="IQ_OTHER_REV_SUPPL">"c1015"</definedName>
    <definedName name="IQ_OTHER_REV_SUPPL_BR">"c1016"</definedName>
    <definedName name="IQ_OTHER_REV_SUPPL_FIN">"c1017"</definedName>
    <definedName name="IQ_OTHER_REV_SUPPL_INS">"c1018"</definedName>
    <definedName name="IQ_OTHER_REV_SUPPL_REIT">"c1019"</definedName>
    <definedName name="IQ_OTHER_REV_SUPPL_UTI">"c1020"</definedName>
    <definedName name="IQ_OTHER_REV_UTI">"c1021"</definedName>
    <definedName name="IQ_OTHER_REVENUE">"c1410"</definedName>
    <definedName name="IQ_OTHER_STRIKE_PRICE_GRANTED">"c2692"</definedName>
    <definedName name="IQ_OTHER_UNDRAWN">"c2522"</definedName>
    <definedName name="IQ_OTHER_UNUSUAL">"c1488"</definedName>
    <definedName name="IQ_OTHER_UNUSUAL_BNK">"c1560"</definedName>
    <definedName name="IQ_OTHER_UNUSUAL_BR">"c1561"</definedName>
    <definedName name="IQ_OTHER_UNUSUAL_FIN">"c1562"</definedName>
    <definedName name="IQ_OTHER_UNUSUAL_INS">"c1563"</definedName>
    <definedName name="IQ_OTHER_UNUSUAL_REIT">"c1564"</definedName>
    <definedName name="IQ_OTHER_UNUSUAL_SUPPL">"c1494"</definedName>
    <definedName name="IQ_OTHER_UNUSUAL_SUPPL_BNK">"c1495"</definedName>
    <definedName name="IQ_OTHER_UNUSUAL_SUPPL_BR">"c1496"</definedName>
    <definedName name="IQ_OTHER_UNUSUAL_SUPPL_FIN">"c1497"</definedName>
    <definedName name="IQ_OTHER_UNUSUAL_SUPPL_INS">"c1498"</definedName>
    <definedName name="IQ_OTHER_UNUSUAL_SUPPL_REIT">"c1499"</definedName>
    <definedName name="IQ_OTHER_UNUSUAL_SUPPL_UTI">"c1500"</definedName>
    <definedName name="IQ_OTHER_UNUSUAL_UTI">"c1565"</definedName>
    <definedName name="IQ_OTHER_WARRANTS_BEG_OS">"c2712"</definedName>
    <definedName name="IQ_OTHER_WARRANTS_CANCELLED">"c2715"</definedName>
    <definedName name="IQ_OTHER_WARRANTS_END_OS">"c2716"</definedName>
    <definedName name="IQ_OTHER_WARRANTS_EXERCISED">"c2714"</definedName>
    <definedName name="IQ_OTHER_WARRANTS_ISSUED">"c2713"</definedName>
    <definedName name="IQ_OTHER_WARRANTS_STRIKE_PRICE_ISSUED">"c2718"</definedName>
    <definedName name="IQ_OTHER_WARRANTS_STRIKE_PRICE_OS">"c2717"</definedName>
    <definedName name="IQ_OUTSTANDING_BS_DATE">"c2128"</definedName>
    <definedName name="IQ_OUTSTANDING_FILING_DATE">"c1023"</definedName>
    <definedName name="IQ_PART_TIME">"c1024"</definedName>
    <definedName name="IQ_PAY_ACCRUED">"c1457"</definedName>
    <definedName name="IQ_PAYOUT_RATIO">"c1900"</definedName>
    <definedName name="IQ_PBV">"c1025"</definedName>
    <definedName name="IQ_PBV_AVG">"c1026"</definedName>
    <definedName name="IQ_PC_EARNED">"c2749"</definedName>
    <definedName name="IQ_PC_GAAP_COMBINED_RATIO">"c2781"</definedName>
    <definedName name="IQ_PC_GAAP_COMBINED_RATIO_EXCL_CL">"c2782"</definedName>
    <definedName name="IQ_PC_GAAP_EXPENSE_RATIO">"c2780"</definedName>
    <definedName name="IQ_PC_GAAP_LOSS">"c2779"</definedName>
    <definedName name="IQ_PC_POLICY_BENEFITS_EXP">"c2790"</definedName>
    <definedName name="IQ_PC_STAT_COMBINED_RATIO">"c2778"</definedName>
    <definedName name="IQ_PC_STAT_COMBINED_RATIO_EXCL_DIV">"c2777"</definedName>
    <definedName name="IQ_PC_STAT_DIVIDEND_RATIO">"c2776"</definedName>
    <definedName name="IQ_PC_STAT_EXPENSE_RATIO">"c2775"</definedName>
    <definedName name="IQ_PC_STAT_LOSS_RATIO">"c2774"</definedName>
    <definedName name="IQ_PC_STATUTORY_SURPLUS">"c2770"</definedName>
    <definedName name="IQ_PC_WRITTEN">"c1027"</definedName>
    <definedName name="IQ_PE_EXCL">"c1028"</definedName>
    <definedName name="IQ_PE_EXCL_AVG">"c1029"</definedName>
    <definedName name="IQ_PE_EXCL_FWD">"c1030"</definedName>
    <definedName name="IQ_PE_NORMALIZED">"c2207"</definedName>
    <definedName name="IQ_PE_RATIO">"c1610"</definedName>
    <definedName name="IQ_PEG_FWD">"c1863"</definedName>
    <definedName name="IQ_PENSION">"c1031"</definedName>
    <definedName name="IQ_PERCENT_CHANGE_EST_5YR_GROWTH_RATE_12MONTHS">"c1852"</definedName>
    <definedName name="IQ_PERCENT_CHANGE_EST_5YR_GROWTH_RATE_18MONTHS">"c1853"</definedName>
    <definedName name="IQ_PERCENT_CHANGE_EST_5YR_GROWTH_RATE_3MONTHS">"c1849"</definedName>
    <definedName name="IQ_PERCENT_CHANGE_EST_5YR_GROWTH_RATE_6MONTHS">"c1850"</definedName>
    <definedName name="IQ_PERCENT_CHANGE_EST_5YR_GROWTH_RATE_9MONTHS">"c1851"</definedName>
    <definedName name="IQ_PERCENT_CHANGE_EST_5YR_GROWTH_RATE_DAY">"c1846"</definedName>
    <definedName name="IQ_PERCENT_CHANGE_EST_5YR_GROWTH_RATE_MONTH">"c1848"</definedName>
    <definedName name="IQ_PERCENT_CHANGE_EST_5YR_GROWTH_RATE_WEEK">"c1847"</definedName>
    <definedName name="IQ_PERCENT_CHANGE_EST_CFPS_12MONTHS">"c1812"</definedName>
    <definedName name="IQ_PERCENT_CHANGE_EST_CFPS_18MONTHS">"c1813"</definedName>
    <definedName name="IQ_PERCENT_CHANGE_EST_CFPS_3MONTHS">"c1809"</definedName>
    <definedName name="IQ_PERCENT_CHANGE_EST_CFPS_6MONTHS">"c1810"</definedName>
    <definedName name="IQ_PERCENT_CHANGE_EST_CFPS_9MONTHS">"c1811"</definedName>
    <definedName name="IQ_PERCENT_CHANGE_EST_CFPS_DAY">"c1806"</definedName>
    <definedName name="IQ_PERCENT_CHANGE_EST_CFPS_MONTH">"c1808"</definedName>
    <definedName name="IQ_PERCENT_CHANGE_EST_CFPS_WEEK">"c1807"</definedName>
    <definedName name="IQ_PERCENT_CHANGE_EST_DPS_12MONTHS">"c1820"</definedName>
    <definedName name="IQ_PERCENT_CHANGE_EST_DPS_18MONTHS">"c1821"</definedName>
    <definedName name="IQ_PERCENT_CHANGE_EST_DPS_3MONTHS">"c1817"</definedName>
    <definedName name="IQ_PERCENT_CHANGE_EST_DPS_6MONTHS">"c1818"</definedName>
    <definedName name="IQ_PERCENT_CHANGE_EST_DPS_9MONTHS">"c1819"</definedName>
    <definedName name="IQ_PERCENT_CHANGE_EST_DPS_DAY">"c1814"</definedName>
    <definedName name="IQ_PERCENT_CHANGE_EST_DPS_MONTH">"c1816"</definedName>
    <definedName name="IQ_PERCENT_CHANGE_EST_DPS_WEEK">"c1815"</definedName>
    <definedName name="IQ_PERCENT_CHANGE_EST_EBITDA_12MONTHS">"c1804"</definedName>
    <definedName name="IQ_PERCENT_CHANGE_EST_EBITDA_18MONTHS">"c1805"</definedName>
    <definedName name="IQ_PERCENT_CHANGE_EST_EBITDA_3MONTHS">"c1801"</definedName>
    <definedName name="IQ_PERCENT_CHANGE_EST_EBITDA_6MONTHS">"c1802"</definedName>
    <definedName name="IQ_PERCENT_CHANGE_EST_EBITDA_9MONTHS">"c1803"</definedName>
    <definedName name="IQ_PERCENT_CHANGE_EST_EBITDA_DAY">"c1798"</definedName>
    <definedName name="IQ_PERCENT_CHANGE_EST_EBITDA_MONTH">"c1800"</definedName>
    <definedName name="IQ_PERCENT_CHANGE_EST_EBITDA_WEEK">"c1799"</definedName>
    <definedName name="IQ_PERCENT_CHANGE_EST_EPS_12MONTHS">"c1788"</definedName>
    <definedName name="IQ_PERCENT_CHANGE_EST_EPS_18MONTHS">"c1789"</definedName>
    <definedName name="IQ_PERCENT_CHANGE_EST_EPS_3MONTHS">"c1785"</definedName>
    <definedName name="IQ_PERCENT_CHANGE_EST_EPS_6MONTHS">"c1786"</definedName>
    <definedName name="IQ_PERCENT_CHANGE_EST_EPS_9MONTHS">"c1787"</definedName>
    <definedName name="IQ_PERCENT_CHANGE_EST_EPS_DAY">"c1782"</definedName>
    <definedName name="IQ_PERCENT_CHANGE_EST_EPS_MONTH">"c1784"</definedName>
    <definedName name="IQ_PERCENT_CHANGE_EST_EPS_WEEK">"c1783"</definedName>
    <definedName name="IQ_PERCENT_CHANGE_EST_FFO_12MONTHS">"c1828"</definedName>
    <definedName name="IQ_PERCENT_CHANGE_EST_FFO_18MONTHS">"c1829"</definedName>
    <definedName name="IQ_PERCENT_CHANGE_EST_FFO_3MONTHS">"c1825"</definedName>
    <definedName name="IQ_PERCENT_CHANGE_EST_FFO_6MONTHS">"c1826"</definedName>
    <definedName name="IQ_PERCENT_CHANGE_EST_FFO_9MONTHS">"c1827"</definedName>
    <definedName name="IQ_PERCENT_CHANGE_EST_FFO_DAY">"c1822"</definedName>
    <definedName name="IQ_PERCENT_CHANGE_EST_FFO_MONTH">"c1824"</definedName>
    <definedName name="IQ_PERCENT_CHANGE_EST_FFO_WEEK">"c1823"</definedName>
    <definedName name="IQ_PERCENT_CHANGE_EST_PRICE_TARGET_12MONTHS">"c1844"</definedName>
    <definedName name="IQ_PERCENT_CHANGE_EST_PRICE_TARGET_18MONTHS">"c1845"</definedName>
    <definedName name="IQ_PERCENT_CHANGE_EST_PRICE_TARGET_3MONTHS">"c1841"</definedName>
    <definedName name="IQ_PERCENT_CHANGE_EST_PRICE_TARGET_6MONTHS">"c1842"</definedName>
    <definedName name="IQ_PERCENT_CHANGE_EST_PRICE_TARGET_9MONTHS">"c1843"</definedName>
    <definedName name="IQ_PERCENT_CHANGE_EST_PRICE_TARGET_DAY">"c1838"</definedName>
    <definedName name="IQ_PERCENT_CHANGE_EST_PRICE_TARGET_MONTH">"c1840"</definedName>
    <definedName name="IQ_PERCENT_CHANGE_EST_PRICE_TARGET_WEEK">"c1839"</definedName>
    <definedName name="IQ_PERCENT_CHANGE_EST_RECO_12MONTHS">"c1836"</definedName>
    <definedName name="IQ_PERCENT_CHANGE_EST_RECO_18MONTHS">"c1837"</definedName>
    <definedName name="IQ_PERCENT_CHANGE_EST_RECO_3MONTHS">"c1833"</definedName>
    <definedName name="IQ_PERCENT_CHANGE_EST_RECO_6MONTHS">"c1834"</definedName>
    <definedName name="IQ_PERCENT_CHANGE_EST_RECO_9MONTHS">"c1835"</definedName>
    <definedName name="IQ_PERCENT_CHANGE_EST_RECO_DAY">"c1830"</definedName>
    <definedName name="IQ_PERCENT_CHANGE_EST_RECO_MONTH">"c1832"</definedName>
    <definedName name="IQ_PERCENT_CHANGE_EST_RECO_WEEK">"c1831"</definedName>
    <definedName name="IQ_PERCENT_CHANGE_EST_REV_12MONTHS">"c1796"</definedName>
    <definedName name="IQ_PERCENT_CHANGE_EST_REV_18MONTHS">"c1797"</definedName>
    <definedName name="IQ_PERCENT_CHANGE_EST_REV_3MONTHS">"c1793"</definedName>
    <definedName name="IQ_PERCENT_CHANGE_EST_REV_6MONTHS">"c1794"</definedName>
    <definedName name="IQ_PERCENT_CHANGE_EST_REV_9MONTHS">"c1795"</definedName>
    <definedName name="IQ_PERCENT_CHANGE_EST_REV_DAY">"c1790"</definedName>
    <definedName name="IQ_PERCENT_CHANGE_EST_REV_MONTH">"c1792"</definedName>
    <definedName name="IQ_PERCENT_CHANGE_EST_REV_WEEK">"c1791"</definedName>
    <definedName name="IQ_PERIODDATE">"c1414"</definedName>
    <definedName name="IQ_PERIODDATE_BS">"c1032"</definedName>
    <definedName name="IQ_PERIODDATE_CF">"c1033"</definedName>
    <definedName name="IQ_PERIODDATE_IS">"c1034"</definedName>
    <definedName name="IQ_PERIODLENGTH_CF">"c1502"</definedName>
    <definedName name="IQ_PERIODLENGTH_IS">"c1503"</definedName>
    <definedName name="IQ_PERTYPE">"c1611"</definedName>
    <definedName name="IQ_PLL">"c2114"</definedName>
    <definedName name="IQ_POLICY_BENEFITS">"c1036"</definedName>
    <definedName name="IQ_POLICY_COST">"c1037"</definedName>
    <definedName name="IQ_POLICY_LIAB">"c1612"</definedName>
    <definedName name="IQ_POLICY_LOANS">"c1038"</definedName>
    <definedName name="IQ_POST_RETIRE_EXP">"c1039"</definedName>
    <definedName name="IQ_POSTPAID_CHURN">"c2121"</definedName>
    <definedName name="IQ_POSTPAID_SUBS">"c2118"</definedName>
    <definedName name="IQ_POTENTIAL_UPSIDE">"c1855"</definedName>
    <definedName name="IQ_PRE_OPEN_COST">"c1040"</definedName>
    <definedName name="IQ_PRE_TAX_ACT_OR_EST">"c2221"</definedName>
    <definedName name="IQ_PREF_CONVERT">"c1041"</definedName>
    <definedName name="IQ_PREF_DIV_CF">"c1042"</definedName>
    <definedName name="IQ_PREF_DIV_OTHER">"c1043"</definedName>
    <definedName name="IQ_PREF_DIVID">"c1461"</definedName>
    <definedName name="IQ_PREF_EQUITY">"c1044"</definedName>
    <definedName name="IQ_PREF_ISSUED">"c1045"</definedName>
    <definedName name="IQ_PREF_ISSUED_BNK">"c1046"</definedName>
    <definedName name="IQ_PREF_ISSUED_BR">"c1047"</definedName>
    <definedName name="IQ_PREF_ISSUED_FIN">"c1048"</definedName>
    <definedName name="IQ_PREF_ISSUED_INS">"c1049"</definedName>
    <definedName name="IQ_PREF_ISSUED_REIT">"c1050"</definedName>
    <definedName name="IQ_PREF_ISSUED_UTI">"c1051"</definedName>
    <definedName name="IQ_PREF_NON_REDEEM">"c1052"</definedName>
    <definedName name="IQ_PREF_OTHER">"c1053"</definedName>
    <definedName name="IQ_PREF_OTHER_BNK">"c1054"</definedName>
    <definedName name="IQ_PREF_OTHER_BR">"c1055"</definedName>
    <definedName name="IQ_PREF_OTHER_FIN">"c1056"</definedName>
    <definedName name="IQ_PREF_OTHER_INS">"c1057"</definedName>
    <definedName name="IQ_PREF_OTHER_REIT">"c1058"</definedName>
    <definedName name="IQ_PREF_REDEEM">"c1059"</definedName>
    <definedName name="IQ_PREF_REP">"c1060"</definedName>
    <definedName name="IQ_PREF_REP_BNK">"c1061"</definedName>
    <definedName name="IQ_PREF_REP_BR">"c1062"</definedName>
    <definedName name="IQ_PREF_REP_FIN">"c1063"</definedName>
    <definedName name="IQ_PREF_REP_INS">"c1064"</definedName>
    <definedName name="IQ_PREF_REP_REIT">"c1065"</definedName>
    <definedName name="IQ_PREF_REP_UTI">"c1066"</definedName>
    <definedName name="IQ_PREF_STOCK">"c1416"</definedName>
    <definedName name="IQ_PREF_TOT">"c1415"</definedName>
    <definedName name="IQ_PREMIUMS_ANNUITY_REV">"c1067"</definedName>
    <definedName name="IQ_PREPAID_CHURN">"c2120"</definedName>
    <definedName name="IQ_PREPAID_EXP">"c1068"</definedName>
    <definedName name="IQ_PREPAID_EXPEN">"c1418"</definedName>
    <definedName name="IQ_PREPAID_SUBS">"c2117"</definedName>
    <definedName name="IQ_PRETAX_GW_INC_EST">"c1702"</definedName>
    <definedName name="IQ_PRETAX_GW_INC_HIGH_EST">"c1704"</definedName>
    <definedName name="IQ_PRETAX_GW_INC_LOW_EST">"c1705"</definedName>
    <definedName name="IQ_PRETAX_GW_INC_MEDIAN_EST">"c1703"</definedName>
    <definedName name="IQ_PRETAX_GW_INC_NUM_EST">"c1706"</definedName>
    <definedName name="IQ_PRETAX_GW_INC_STDDEV_EST">"c1707"</definedName>
    <definedName name="IQ_PRETAX_INC_EST">"c1695"</definedName>
    <definedName name="IQ_PRETAX_INC_HIGH_EST">"c1697"</definedName>
    <definedName name="IQ_PRETAX_INC_LOW_EST">"c1698"</definedName>
    <definedName name="IQ_PRETAX_INC_MEDIAN_EST">"c1696"</definedName>
    <definedName name="IQ_PRETAX_INC_NUM_EST">"c1699"</definedName>
    <definedName name="IQ_PRETAX_INC_STDDEV_EST">"c1700"</definedName>
    <definedName name="IQ_PRETAX_REPORT_INC_EST">"c1709"</definedName>
    <definedName name="IQ_PRETAX_REPORT_INC_HIGH_EST">"c1711"</definedName>
    <definedName name="IQ_PRETAX_REPORT_INC_LOW_EST">"c1712"</definedName>
    <definedName name="IQ_PRETAX_REPORT_INC_MEDIAN_EST">"c1710"</definedName>
    <definedName name="IQ_PRETAX_REPORT_INC_NUM_EST">"c1713"</definedName>
    <definedName name="IQ_PRETAX_REPORT_INC_STDDEV_EST">"c1714"</definedName>
    <definedName name="IQ_PRICE_CFPS_FWD">"c2237"</definedName>
    <definedName name="IQ_PRICE_OVER_BVPS">"c1412"</definedName>
    <definedName name="IQ_PRICE_OVER_LTM_EPS">"c1413"</definedName>
    <definedName name="IQ_PRICE_TARGET">"c82"</definedName>
    <definedName name="IQ_PRICEDATE">"c1069"</definedName>
    <definedName name="IQ_PRICING_DATE">"c1613"</definedName>
    <definedName name="IQ_PRIMARY_INDUSTRY">"c1070"</definedName>
    <definedName name="IQ_PRO_FORMA_BASIC_EPS">"c1614"</definedName>
    <definedName name="IQ_PRO_FORMA_DILUT_EPS">"c1615"</definedName>
    <definedName name="IQ_PRO_FORMA_NET_INC">"c1452"</definedName>
    <definedName name="IQ_PROFESSIONAL">"c1071"</definedName>
    <definedName name="IQ_PROFESSIONAL_TITLE">"c1072"</definedName>
    <definedName name="IQ_PROJECTED_PENSION_OBLIGATION">"c1292"</definedName>
    <definedName name="IQ_PROJECTED_PENSION_OBLIGATION_DOMESTIC">"c2656"</definedName>
    <definedName name="IQ_PROJECTED_PENSION_OBLIGATION_FOREIGN">"c2664"</definedName>
    <definedName name="IQ_PROPERTY_EXP">"c1073"</definedName>
    <definedName name="IQ_PROPERTY_GROSS">"c1379"</definedName>
    <definedName name="IQ_PROPERTY_MGMT_FEE">"c1074"</definedName>
    <definedName name="IQ_PROPERTY_NET">"c1402"</definedName>
    <definedName name="IQ_PROV_BAD_DEBTS">"c1075"</definedName>
    <definedName name="IQ_PROV_BAD_DEBTS_CF">"c1076"</definedName>
    <definedName name="IQ_PROVISION_10YR_ANN_GROWTH">"c1077"</definedName>
    <definedName name="IQ_PROVISION_1YR_ANN_GROWTH">"c1078"</definedName>
    <definedName name="IQ_PROVISION_2YR_ANN_GROWTH">"c1079"</definedName>
    <definedName name="IQ_PROVISION_3YR_ANN_GROWTH">"c1080"</definedName>
    <definedName name="IQ_PROVISION_5YR_ANN_GROWTH">"c1081"</definedName>
    <definedName name="IQ_PROVISION_7YR_ANN_GROWTH">"c1082"</definedName>
    <definedName name="IQ_PROVISION_CHARGE_OFFS">"c1083"</definedName>
    <definedName name="IQ_PTBV">"c1084"</definedName>
    <definedName name="IQ_PTBV_AVG">"c1085"</definedName>
    <definedName name="IQ_QTD">750000</definedName>
    <definedName name="IQ_QUICK_RATIO">"c1086"</definedName>
    <definedName name="IQ_RATE_COMP_GROWTH_DOMESTIC">"c1087"</definedName>
    <definedName name="IQ_RATE_COMP_GROWTH_FOREIGN">"c1088"</definedName>
    <definedName name="IQ_RAW_INV">"c1089"</definedName>
    <definedName name="IQ_RC">"c2497"</definedName>
    <definedName name="IQ_RC_PCT">"c2498"</definedName>
    <definedName name="IQ_RD_EXP">"c1090"</definedName>
    <definedName name="IQ_RD_EXP_FN">"c1091"</definedName>
    <definedName name="IQ_RE">"c1092"</definedName>
    <definedName name="IQ_REAL_ESTATE">"c1093"</definedName>
    <definedName name="IQ_REAL_ESTATE_ASSETS">"c1094"</definedName>
    <definedName name="IQ_REDEEM_PREF_STOCK">"c1417"</definedName>
    <definedName name="IQ_REG_ASSETS">"c1095"</definedName>
    <definedName name="IQ_REINSUR_PAY">"c1096"</definedName>
    <definedName name="IQ_REINSUR_PAY_CF">"c1097"</definedName>
    <definedName name="IQ_REINSUR_RECOVER">"c1098"</definedName>
    <definedName name="IQ_REINSUR_RECOVER_CF">"c1099"</definedName>
    <definedName name="IQ_REINSURANCE">"c1100"</definedName>
    <definedName name="IQ_RENTAL_REV">"c1101"</definedName>
    <definedName name="IQ_RESEARCH_DEV">"c1419"</definedName>
    <definedName name="IQ_RESIDENTIAL_LOANS">"c1102"</definedName>
    <definedName name="IQ_RESTATEMENT_BS">"c1643"</definedName>
    <definedName name="IQ_RESTATEMENT_CF">"c1644"</definedName>
    <definedName name="IQ_RESTATEMENT_IS">"c1642"</definedName>
    <definedName name="IQ_RESTRICTED_CASH">"c1103"</definedName>
    <definedName name="IQ_RESTRUCTURE">"c1104"</definedName>
    <definedName name="IQ_RESTRUCTURE_BNK">"c1105"</definedName>
    <definedName name="IQ_RESTRUCTURE_BR">"c1106"</definedName>
    <definedName name="IQ_RESTRUCTURE_CF">"c1107"</definedName>
    <definedName name="IQ_RESTRUCTURE_FIN">"c1108"</definedName>
    <definedName name="IQ_RESTRUCTURE_INS">"c1109"</definedName>
    <definedName name="IQ_RESTRUCTURE_REIT">"c1110"</definedName>
    <definedName name="IQ_RESTRUCTURE_UTI">"c1111"</definedName>
    <definedName name="IQ_RESTRUCTURED_LOANS">"c1112"</definedName>
    <definedName name="IQ_RETAIL_ACQUIRED_FRANCHISE_STORES">"c2903"</definedName>
    <definedName name="IQ_RETAIL_ACQUIRED_OWNED_STORES">"c2895"</definedName>
    <definedName name="IQ_RETAIL_ACQUIRED_STORES">"c2887"</definedName>
    <definedName name="IQ_RETAIL_AVG_STORE_SIZE_GROSS">"c2066"</definedName>
    <definedName name="IQ_RETAIL_AVG_STORE_SIZE_NET">"c2067"</definedName>
    <definedName name="IQ_RETAIL_AVG_WK_SALES">"c2891"</definedName>
    <definedName name="IQ_RETAIL_AVG_WK_SALES_FRANCHISE">"c2899"</definedName>
    <definedName name="IQ_RETAIL_AVG_WK_SALES_OWNED">"c2907"</definedName>
    <definedName name="IQ_RETAIL_CLOSED_FRANCHISE_STORES">"c2896"</definedName>
    <definedName name="IQ_RETAIL_CLOSED_OWNED_STORES">"c2904"</definedName>
    <definedName name="IQ_RETAIL_CLOSED_STORES">"c2063"</definedName>
    <definedName name="IQ_RETAIL_FRANCHISE_STORES_BEG">"c2893"</definedName>
    <definedName name="IQ_RETAIL_OPENED_FRANCHISE_STORES">"c2894"</definedName>
    <definedName name="IQ_RETAIL_OPENED_OWNED_STORES">"c2902"</definedName>
    <definedName name="IQ_RETAIL_OPENED_STORES">"c2062"</definedName>
    <definedName name="IQ_RETAIL_OWNED_STORES_BEG">"c2901"</definedName>
    <definedName name="IQ_RETAIL_SALES_SQFT_ALL_GROSS">"c2138"</definedName>
    <definedName name="IQ_RETAIL_SALES_SQFT_ALL_NET">"c2139"</definedName>
    <definedName name="IQ_RETAIL_SALES_SQFT_COMPARABLE_GROSS">"c2136"</definedName>
    <definedName name="IQ_RETAIL_SALES_SQFT_COMPARABLE_NET">"c2137"</definedName>
    <definedName name="IQ_RETAIL_SALES_SQFT_OWNED_GROSS">"c2134"</definedName>
    <definedName name="IQ_RETAIL_SALES_SQFT_OWNED_NET">"c2135"</definedName>
    <definedName name="IQ_RETAIL_SOLD_FRANCHISE_STORES">"c2897"</definedName>
    <definedName name="IQ_RETAIL_SOLD_OWNED_STORES">"c2905"</definedName>
    <definedName name="IQ_RETAIL_SOLD_STORES">"c2889"</definedName>
    <definedName name="IQ_RETAIL_SQ_FOOTAGE">"c2064"</definedName>
    <definedName name="IQ_RETAIL_STORE_SELLING_AREA">"c2065"</definedName>
    <definedName name="IQ_RETAIL_STORES_BEG">"c2885"</definedName>
    <definedName name="IQ_RETAIL_TOTAL_FRANCHISE_STORES">"c2898"</definedName>
    <definedName name="IQ_RETAIL_TOTAL_OWNED_STORES">"c2906"</definedName>
    <definedName name="IQ_RETAIL_TOTAL_STORES">"c2061"</definedName>
    <definedName name="IQ_RETAINED_EARN">"c1420"</definedName>
    <definedName name="IQ_RETURN_ASSETS">"c1113"</definedName>
    <definedName name="IQ_RETURN_ASSETS_BANK">"c1114"</definedName>
    <definedName name="IQ_RETURN_ASSETS_BROK">"c1115"</definedName>
    <definedName name="IQ_RETURN_ASSETS_FS">"c1116"</definedName>
    <definedName name="IQ_RETURN_CAPITAL">"c1117"</definedName>
    <definedName name="IQ_RETURN_EQUITY">"c1118"</definedName>
    <definedName name="IQ_RETURN_EQUITY_BANK">"c1119"</definedName>
    <definedName name="IQ_RETURN_EQUITY_BROK">"c1120"</definedName>
    <definedName name="IQ_RETURN_EQUITY_FS">"c1121"</definedName>
    <definedName name="IQ_RETURN_INVESTMENT">"c1421"</definedName>
    <definedName name="IQ_REV">"c1122"</definedName>
    <definedName name="IQ_REV_BEFORE_LL">"c1123"</definedName>
    <definedName name="IQ_REV_STDDEV_EST">"c1124"</definedName>
    <definedName name="IQ_REV_UTI">"c1125"</definedName>
    <definedName name="IQ_REVENUE">"c1422"</definedName>
    <definedName name="IQ_REVENUE_ACT_OR_EST">"c2214"</definedName>
    <definedName name="IQ_REVENUE_EST">"c1126"</definedName>
    <definedName name="IQ_REVENUE_HIGH_EST">"c1127"</definedName>
    <definedName name="IQ_REVENUE_LOW_EST">"c1128"</definedName>
    <definedName name="IQ_REVENUE_MEDIAN_EST">"c1662"</definedName>
    <definedName name="IQ_REVENUE_NUM_EST">"c1129"</definedName>
    <definedName name="IQ_REVISION_DATE_">39217.4058912037</definedName>
    <definedName name="IQ_RISK_ADJ_BANK_ASSETS">"c2670"</definedName>
    <definedName name="IQ_SALARY">"c1130"</definedName>
    <definedName name="IQ_SALE_INTAN_CF">"c1131"</definedName>
    <definedName name="IQ_SALE_INTAN_CF_BNK">"c1132"</definedName>
    <definedName name="IQ_SALE_INTAN_CF_BR">"c1133"</definedName>
    <definedName name="IQ_SALE_INTAN_CF_FIN">"c1134"</definedName>
    <definedName name="IQ_SALE_INTAN_CF_INS">"c1135"</definedName>
    <definedName name="IQ_SALE_INTAN_CF_REIT">"c1627"</definedName>
    <definedName name="IQ_SALE_INTAN_CF_UTI">"c1136"</definedName>
    <definedName name="IQ_SALE_PPE_CF">"c1137"</definedName>
    <definedName name="IQ_SALE_PPE_CF_BNK">"c1138"</definedName>
    <definedName name="IQ_SALE_PPE_CF_BR">"c1139"</definedName>
    <definedName name="IQ_SALE_PPE_CF_FIN">"c1140"</definedName>
    <definedName name="IQ_SALE_PPE_CF_INS">"c1141"</definedName>
    <definedName name="IQ_SALE_PPE_CF_UTI">"c1142"</definedName>
    <definedName name="IQ_SALE_RE_ASSETS">"c1629"</definedName>
    <definedName name="IQ_SALE_REAL_ESTATE_CF">"c1143"</definedName>
    <definedName name="IQ_SALE_REAL_ESTATE_CF_BNK">"c1144"</definedName>
    <definedName name="IQ_SALE_REAL_ESTATE_CF_BR">"c1145"</definedName>
    <definedName name="IQ_SALE_REAL_ESTATE_CF_FIN">"c1146"</definedName>
    <definedName name="IQ_SALE_REAL_ESTATE_CF_INS">"c1147"</definedName>
    <definedName name="IQ_SALE_REAL_ESTATE_CF_UTI">"c1148"</definedName>
    <definedName name="IQ_SALES_MARKETING">"c2240"</definedName>
    <definedName name="IQ_SAME_STORE">"c1149"</definedName>
    <definedName name="IQ_SAME_STORE_FRANCHISE">"c2900"</definedName>
    <definedName name="IQ_SAME_STORE_OWNED">"c2908"</definedName>
    <definedName name="IQ_SAME_STORE_TOTAL">"c2892"</definedName>
    <definedName name="IQ_SAVING_DEP">"c1150"</definedName>
    <definedName name="IQ_SECUR_RECEIV">"c1151"</definedName>
    <definedName name="IQ_SECURED_DEBT">"c2546"</definedName>
    <definedName name="IQ_SECURED_DEBT_PCT">"c2547"</definedName>
    <definedName name="IQ_SECURITY_BORROW">"c1152"</definedName>
    <definedName name="IQ_SECURITY_OWN">"c1153"</definedName>
    <definedName name="IQ_SECURITY_RESELL">"c1154"</definedName>
    <definedName name="IQ_SEPARATE_ACCT_ASSETS">"c1155"</definedName>
    <definedName name="IQ_SEPARATE_ACCT_LIAB">"c1156"</definedName>
    <definedName name="IQ_SERV_CHARGE_DEPOSITS">"c1157"</definedName>
    <definedName name="IQ_SGA">"c1158"</definedName>
    <definedName name="IQ_SGA_BNK">"c1159"</definedName>
    <definedName name="IQ_SGA_INS">"c1160"</definedName>
    <definedName name="IQ_SGA_MARGIN">"c1898"</definedName>
    <definedName name="IQ_SGA_REIT">"c1161"</definedName>
    <definedName name="IQ_SGA_SUPPL">"c1162"</definedName>
    <definedName name="IQ_SGA_UTI">"c1163"</definedName>
    <definedName name="IQ_SHAREOUTSTANDING">"c1347"</definedName>
    <definedName name="IQ_SHARESOUTSTANDING">"c1164"</definedName>
    <definedName name="IQ_SHORT_INTEREST">"c1165"</definedName>
    <definedName name="IQ_SHORT_INTEREST_OVER_FLOAT">"c1577"</definedName>
    <definedName name="IQ_SHORT_INTEREST_PERCENT">"c1576"</definedName>
    <definedName name="IQ_SHORT_TERM_INVEST">"c1425"</definedName>
    <definedName name="IQ_SMALL_INT_BEAR_CD">"c1166"</definedName>
    <definedName name="IQ_SOFTWARE">"c1167"</definedName>
    <definedName name="IQ_SOURCE">"c1168"</definedName>
    <definedName name="IQ_SPECIAL_DIV_CF">"c1169"</definedName>
    <definedName name="IQ_SPECIAL_DIV_CF_BNK">"c1170"</definedName>
    <definedName name="IQ_SPECIAL_DIV_CF_BR">"c1171"</definedName>
    <definedName name="IQ_SPECIAL_DIV_CF_FIN">"c1172"</definedName>
    <definedName name="IQ_SPECIAL_DIV_CF_INS">"c1173"</definedName>
    <definedName name="IQ_SPECIAL_DIV_CF_REIT">"c1174"</definedName>
    <definedName name="IQ_SPECIAL_DIV_CF_UTI">"c1175"</definedName>
    <definedName name="IQ_SPECIAL_DIV_SHARE">"c3007"</definedName>
    <definedName name="IQ_SR_BONDS_NOTES">"c2501"</definedName>
    <definedName name="IQ_SR_BONDS_NOTES_PCT">"c2502"</definedName>
    <definedName name="IQ_SR_DEBT">"c2526"</definedName>
    <definedName name="IQ_SR_DEBT_EBITDA">"c2552"</definedName>
    <definedName name="IQ_SR_DEBT_EBITDA_CAPEX">"c2553"</definedName>
    <definedName name="IQ_SR_DEBT_PCT">"c2527"</definedName>
    <definedName name="IQ_SR_SUB_DEBT">"c2530"</definedName>
    <definedName name="IQ_SR_SUB_DEBT_EBITDA">"c2556"</definedName>
    <definedName name="IQ_SR_SUB_DEBT_EBITDA_CAPEX">"c2557"</definedName>
    <definedName name="IQ_SR_SUB_DEBT_PCT">"c2531"</definedName>
    <definedName name="IQ_ST_DEBT">"c1176"</definedName>
    <definedName name="IQ_ST_DEBT_BNK">"c1177"</definedName>
    <definedName name="IQ_ST_DEBT_BR">"c1178"</definedName>
    <definedName name="IQ_ST_DEBT_FIN">"c1179"</definedName>
    <definedName name="IQ_ST_DEBT_INS">"c1180"</definedName>
    <definedName name="IQ_ST_DEBT_ISSUED">"c1181"</definedName>
    <definedName name="IQ_ST_DEBT_ISSUED_BNK">"c1182"</definedName>
    <definedName name="IQ_ST_DEBT_ISSUED_BR">"c1183"</definedName>
    <definedName name="IQ_ST_DEBT_ISSUED_FIN">"c1184"</definedName>
    <definedName name="IQ_ST_DEBT_ISSUED_INS">"c1185"</definedName>
    <definedName name="IQ_ST_DEBT_ISSUED_REIT">"c1186"</definedName>
    <definedName name="IQ_ST_DEBT_ISSUED_UTI">"c1187"</definedName>
    <definedName name="IQ_ST_DEBT_PCT">"c2539"</definedName>
    <definedName name="IQ_ST_DEBT_REIT">"c1188"</definedName>
    <definedName name="IQ_ST_DEBT_REPAID">"c1189"</definedName>
    <definedName name="IQ_ST_DEBT_REPAID_BNK">"c1190"</definedName>
    <definedName name="IQ_ST_DEBT_REPAID_BR">"c1191"</definedName>
    <definedName name="IQ_ST_DEBT_REPAID_FIN">"c1192"</definedName>
    <definedName name="IQ_ST_DEBT_REPAID_INS">"c1193"</definedName>
    <definedName name="IQ_ST_DEBT_REPAID_REIT">"c1194"</definedName>
    <definedName name="IQ_ST_DEBT_REPAID_UTI">"c1195"</definedName>
    <definedName name="IQ_ST_DEBT_UTI">"c1196"</definedName>
    <definedName name="IQ_ST_INVEST">"c1197"</definedName>
    <definedName name="IQ_ST_INVEST_UTI">"c1198"</definedName>
    <definedName name="IQ_ST_NOTE_RECEIV">"c1199"</definedName>
    <definedName name="IQ_STATE">"c1200"</definedName>
    <definedName name="IQ_STATUTORY_SURPLUS">"c1201"</definedName>
    <definedName name="IQ_STOCK_BASED">"c1202"</definedName>
    <definedName name="IQ_STOCK_BASED_AT">"c2999"</definedName>
    <definedName name="IQ_STOCK_BASED_CF">"c1203"</definedName>
    <definedName name="IQ_STOCK_BASED_COGS">"c2990"</definedName>
    <definedName name="IQ_STOCK_BASED_GA">"c2993"</definedName>
    <definedName name="IQ_STOCK_BASED_OTHER">"c2995"</definedName>
    <definedName name="IQ_STOCK_BASED_RD">"c2991"</definedName>
    <definedName name="IQ_STOCK_BASED_SGA">"c2994"</definedName>
    <definedName name="IQ_STOCK_BASED_SM">"c2992"</definedName>
    <definedName name="IQ_STOCK_BASED_TOTAL">"c3040"</definedName>
    <definedName name="IQ_STRIKE_PRICE_ISSUED">"c1645"</definedName>
    <definedName name="IQ_STRIKE_PRICE_OS">"c1646"</definedName>
    <definedName name="IQ_SUB_BONDS_NOTES">"c2503"</definedName>
    <definedName name="IQ_SUB_BONDS_NOTES_PCT">"c2504"</definedName>
    <definedName name="IQ_SUB_DEBT">"c2532"</definedName>
    <definedName name="IQ_SUB_DEBT_EBITDA">"c2558"</definedName>
    <definedName name="IQ_SUB_DEBT_EBITDA_CAPEX">"c2559"</definedName>
    <definedName name="IQ_SUB_DEBT_PCT">"c2533"</definedName>
    <definedName name="IQ_SUB_LEASE_AFTER_FIVE">"c1207"</definedName>
    <definedName name="IQ_SUB_LEASE_INC_CY">"c1208"</definedName>
    <definedName name="IQ_SUB_LEASE_INC_CY1">"c1209"</definedName>
    <definedName name="IQ_SUB_LEASE_INC_CY2">"c1210"</definedName>
    <definedName name="IQ_SUB_LEASE_INC_CY3">"c1211"</definedName>
    <definedName name="IQ_SUB_LEASE_INC_CY4">"c1212"</definedName>
    <definedName name="IQ_SUB_LEASE_NEXT_FIVE">"c1213"</definedName>
    <definedName name="IQ_SVA">"c1214"</definedName>
    <definedName name="IQ_TARGET_PRICE_NUM">"c1653"</definedName>
    <definedName name="IQ_TARGET_PRICE_STDDEV">"c1654"</definedName>
    <definedName name="IQ_TAX_BENEFIT_OPTIONS">"c1215"</definedName>
    <definedName name="IQ_TAX_EQUIV_NET_INT_INC">"c1216"</definedName>
    <definedName name="IQ_TBV">"c1906"</definedName>
    <definedName name="IQ_TBV_10YR_ANN_GROWTH">"c1936"</definedName>
    <definedName name="IQ_TBV_1YR_ANN_GROWTH">"c1931"</definedName>
    <definedName name="IQ_TBV_2YR_ANN_GROWTH">"c1932"</definedName>
    <definedName name="IQ_TBV_3YR_ANN_GROWTH">"c1933"</definedName>
    <definedName name="IQ_TBV_5YR_ANN_GROWTH">"c1934"</definedName>
    <definedName name="IQ_TBV_7YR_ANN_GROWTH">"c1935"</definedName>
    <definedName name="IQ_TBV_SHARE">"c1217"</definedName>
    <definedName name="IQ_TEMPLATE">"c1521"</definedName>
    <definedName name="IQ_TENANT">"c1218"</definedName>
    <definedName name="IQ_TERM_LOANS">"c2499"</definedName>
    <definedName name="IQ_TERM_LOANS_PCT">"c2500"</definedName>
    <definedName name="IQ_TEV">"c1219"</definedName>
    <definedName name="IQ_TEV_EBIT">"c1220"</definedName>
    <definedName name="IQ_TEV_EBIT_AVG">"c1221"</definedName>
    <definedName name="IQ_TEV_EBIT_FWD">"c2238"</definedName>
    <definedName name="IQ_TEV_EBITDA">"c1222"</definedName>
    <definedName name="IQ_TEV_EBITDA_AVG">"c1223"</definedName>
    <definedName name="IQ_TEV_EBITDA_FWD">"c1224"</definedName>
    <definedName name="IQ_TEV_EMPLOYEE_AVG">"c1225"</definedName>
    <definedName name="IQ_TEV_TOTAL_REV">"c1226"</definedName>
    <definedName name="IQ_TEV_TOTAL_REV_AVG">"c1227"</definedName>
    <definedName name="IQ_TEV_TOTAL_REV_FWD">"c1228"</definedName>
    <definedName name="IQ_TEV_UFCF">"c2208"</definedName>
    <definedName name="IQ_TIER_ONE_CAPITAL">"c2667"</definedName>
    <definedName name="IQ_TIER_ONE_RATIO">"c1229"</definedName>
    <definedName name="IQ_TIER_TWO_CAPITAL">"c2669"</definedName>
    <definedName name="IQ_TIME_DEP">"c1230"</definedName>
    <definedName name="IQ_TODAY" hidden="1">0</definedName>
    <definedName name="IQ_TOT_ADJ_INC">"c1616"</definedName>
    <definedName name="IQ_TOTAL_AR_BR">"c1231"</definedName>
    <definedName name="IQ_TOTAL_AR_REIT">"c1232"</definedName>
    <definedName name="IQ_TOTAL_AR_UTI">"c1233"</definedName>
    <definedName name="IQ_TOTAL_ASSETS">"c1234"</definedName>
    <definedName name="IQ_TOTAL_ASSETS_10YR_ANN_GROWTH">"c1235"</definedName>
    <definedName name="IQ_TOTAL_ASSETS_1YR_ANN_GROWTH">"c1236"</definedName>
    <definedName name="IQ_TOTAL_ASSETS_2YR_ANN_GROWTH">"c1237"</definedName>
    <definedName name="IQ_TOTAL_ASSETS_3YR_ANN_GROWTH">"c1238"</definedName>
    <definedName name="IQ_TOTAL_ASSETS_5YR_ANN_GROWTH">"c1239"</definedName>
    <definedName name="IQ_TOTAL_ASSETS_7YR_ANN_GROWTH">"c1240"</definedName>
    <definedName name="IQ_TOTAL_AVG_CE_TOTAL_AVG_ASSETS">"c1241"</definedName>
    <definedName name="IQ_TOTAL_AVG_EQUITY_TOTAL_AVG_ASSETS">"c1242"</definedName>
    <definedName name="IQ_TOTAL_BANK_CAPITAL">"c2668"</definedName>
    <definedName name="IQ_TOTAL_CA">"c1243"</definedName>
    <definedName name="IQ_TOTAL_CAP">"c1507"</definedName>
    <definedName name="IQ_TOTAL_CAPITAL_RATIO">"c1244"</definedName>
    <definedName name="IQ_TOTAL_CASH_DIVID">"c1455"</definedName>
    <definedName name="IQ_TOTAL_CASH_FINAN">"c1352"</definedName>
    <definedName name="IQ_TOTAL_CASH_INVEST">"c1353"</definedName>
    <definedName name="IQ_TOTAL_CASH_OPER">"c1354"</definedName>
    <definedName name="IQ_TOTAL_CHURN">"c2122"</definedName>
    <definedName name="IQ_TOTAL_CL">"c1245"</definedName>
    <definedName name="IQ_TOTAL_COMMON">"c1411"</definedName>
    <definedName name="IQ_TOTAL_COMMON_EQUITY">"c1246"</definedName>
    <definedName name="IQ_TOTAL_CURRENT_ASSETS">"c1430"</definedName>
    <definedName name="IQ_TOTAL_CURRENT_LIAB">"c1431"</definedName>
    <definedName name="IQ_TOTAL_DEBT">"c1247"</definedName>
    <definedName name="IQ_TOTAL_DEBT_CAPITAL">"c1248"</definedName>
    <definedName name="IQ_TOTAL_DEBT_EBITDA">"c1249"</definedName>
    <definedName name="IQ_TOTAL_DEBT_EBITDA_CAPEX">"c2948"</definedName>
    <definedName name="IQ_TOTAL_DEBT_EQUITY">"c1250"</definedName>
    <definedName name="IQ_TOTAL_DEBT_EXCL_FIN">"c2937"</definedName>
    <definedName name="IQ_TOTAL_DEBT_ISSUED">"c1251"</definedName>
    <definedName name="IQ_TOTAL_DEBT_ISSUED_BNK">"c1252"</definedName>
    <definedName name="IQ_TOTAL_DEBT_ISSUED_BR">"c1253"</definedName>
    <definedName name="IQ_TOTAL_DEBT_ISSUED_FIN">"c1254"</definedName>
    <definedName name="IQ_TOTAL_DEBT_ISSUED_REIT">"c1255"</definedName>
    <definedName name="IQ_TOTAL_DEBT_ISSUED_UTI">"c1256"</definedName>
    <definedName name="IQ_TOTAL_DEBT_ISSUES_INS">"c1257"</definedName>
    <definedName name="IQ_TOTAL_DEBT_OVER_EBITDA">"c1433"</definedName>
    <definedName name="IQ_TOTAL_DEBT_OVER_TOTAL_BV">"c1434"</definedName>
    <definedName name="IQ_TOTAL_DEBT_OVER_TOTAL_CAP">"c1432"</definedName>
    <definedName name="IQ_TOTAL_DEBT_REPAID">"c1258"</definedName>
    <definedName name="IQ_TOTAL_DEBT_REPAID_BNK">"c1259"</definedName>
    <definedName name="IQ_TOTAL_DEBT_REPAID_BR">"c1260"</definedName>
    <definedName name="IQ_TOTAL_DEBT_REPAID_FIN">"c1261"</definedName>
    <definedName name="IQ_TOTAL_DEBT_REPAID_INS">"c1262"</definedName>
    <definedName name="IQ_TOTAL_DEBT_REPAID_REIT">"c1263"</definedName>
    <definedName name="IQ_TOTAL_DEBT_REPAID_UTI">"c1264"</definedName>
    <definedName name="IQ_TOTAL_DEPOSITS">"c1265"</definedName>
    <definedName name="IQ_TOTAL_DIV_PAID_CF">"c1266"</definedName>
    <definedName name="IQ_TOTAL_EMPLOYEE">"c2141"</definedName>
    <definedName name="IQ_TOTAL_EMPLOYEES">"c1522"</definedName>
    <definedName name="IQ_TOTAL_EQUITY">"c1267"</definedName>
    <definedName name="IQ_TOTAL_EQUITY_10YR_ANN_GROWTH">"c1268"</definedName>
    <definedName name="IQ_TOTAL_EQUITY_1YR_ANN_GROWTH">"c1269"</definedName>
    <definedName name="IQ_TOTAL_EQUITY_2YR_ANN_GROWTH">"c1270"</definedName>
    <definedName name="IQ_TOTAL_EQUITY_3YR_ANN_GROWTH">"c1271"</definedName>
    <definedName name="IQ_TOTAL_EQUITY_5YR_ANN_GROWTH">"c1272"</definedName>
    <definedName name="IQ_TOTAL_EQUITY_7YR_ANN_GROWTH">"c1273"</definedName>
    <definedName name="IQ_TOTAL_EQUITY_ALLOWANCE_TOTAL_LOANS">"c1274"</definedName>
    <definedName name="IQ_TOTAL_INTEREST_EXP">"c1382"</definedName>
    <definedName name="IQ_TOTAL_INVENTORY">"c1385"</definedName>
    <definedName name="IQ_TOTAL_INVEST">"c1275"</definedName>
    <definedName name="IQ_TOTAL_LIAB">"c1276"</definedName>
    <definedName name="IQ_TOTAL_LIAB_BNK">"c1277"</definedName>
    <definedName name="IQ_TOTAL_LIAB_BR">"c1278"</definedName>
    <definedName name="IQ_TOTAL_LIAB_EQUITY">"c1279"</definedName>
    <definedName name="IQ_TOTAL_LIAB_FIN">"c1280"</definedName>
    <definedName name="IQ_TOTAL_LIAB_INS">"c1281"</definedName>
    <definedName name="IQ_TOTAL_LIAB_REIT">"c1282"</definedName>
    <definedName name="IQ_TOTAL_LIAB_SHAREHOLD">"c1435"</definedName>
    <definedName name="IQ_TOTAL_LIAB_TOTAL_ASSETS">"c1283"</definedName>
    <definedName name="IQ_TOTAL_LONG_DEBT">"c1617"</definedName>
    <definedName name="IQ_TOTAL_NON_REC">"c1444"</definedName>
    <definedName name="IQ_TOTAL_OPER_EXP_BR">"c1284"</definedName>
    <definedName name="IQ_TOTAL_OPER_EXP_FIN">"c1285"</definedName>
    <definedName name="IQ_TOTAL_OPER_EXP_INS">"c1286"</definedName>
    <definedName name="IQ_TOTAL_OPER_EXP_REIT">"c1287"</definedName>
    <definedName name="IQ_TOTAL_OPER_EXP_UTI">"c1288"</definedName>
    <definedName name="IQ_TOTAL_OPER_EXPEN">"c1445"</definedName>
    <definedName name="IQ_TOTAL_OPTIONS_BEG_OS">"c2693"</definedName>
    <definedName name="IQ_TOTAL_OPTIONS_CANCELLED">"c2696"</definedName>
    <definedName name="IQ_TOTAL_OPTIONS_END_OS">"c2697"</definedName>
    <definedName name="IQ_TOTAL_OPTIONS_EXERCISED">"c2695"</definedName>
    <definedName name="IQ_TOTAL_OPTIONS_GRANTED">"c2694"</definedName>
    <definedName name="IQ_TOTAL_OTHER_OPER">"c1289"</definedName>
    <definedName name="IQ_TOTAL_OUTSTANDING_BS_DATE">"c1022"</definedName>
    <definedName name="IQ_TOTAL_OUTSTANDING_FILING_DATE">"c2107"</definedName>
    <definedName name="IQ_TOTAL_PENSION_ASSETS">"c1290"</definedName>
    <definedName name="IQ_TOTAL_PENSION_ASSETS_DOMESTIC">"c2658"</definedName>
    <definedName name="IQ_TOTAL_PENSION_ASSETS_FOREIGN">"c2666"</definedName>
    <definedName name="IQ_TOTAL_PENSION_EXP">"c1291"</definedName>
    <definedName name="IQ_TOTAL_PRINCIPAL">"c2509"</definedName>
    <definedName name="IQ_TOTAL_PRINCIPAL_PCT">"c2510"</definedName>
    <definedName name="IQ_TOTAL_PROVED_RESERVES_NGL">"c2924"</definedName>
    <definedName name="IQ_TOTAL_PROVED_RESERVES_OIL">"c2040"</definedName>
    <definedName name="IQ_TOTAL_RECEIV">"c1293"</definedName>
    <definedName name="IQ_TOTAL_REV">"c1294"</definedName>
    <definedName name="IQ_TOTAL_REV_10YR_ANN_GROWTH">"c1295"</definedName>
    <definedName name="IQ_TOTAL_REV_1YR_ANN_GROWTH">"c1296"</definedName>
    <definedName name="IQ_TOTAL_REV_2YR_ANN_GROWTH">"c1297"</definedName>
    <definedName name="IQ_TOTAL_REV_3YR_ANN_GROWTH">"c1298"</definedName>
    <definedName name="IQ_TOTAL_REV_5YR_ANN_GROWTH">"c1299"</definedName>
    <definedName name="IQ_TOTAL_REV_7YR_ANN_GROWTH">"c1300"</definedName>
    <definedName name="IQ_TOTAL_REV_AS_REPORTED">"c1301"</definedName>
    <definedName name="IQ_TOTAL_REV_BNK">"c1302"</definedName>
    <definedName name="IQ_TOTAL_REV_BR">"c1303"</definedName>
    <definedName name="IQ_TOTAL_REV_EMPLOYEE">"c1304"</definedName>
    <definedName name="IQ_TOTAL_REV_FIN">"c1305"</definedName>
    <definedName name="IQ_TOTAL_REV_INS">"c1306"</definedName>
    <definedName name="IQ_TOTAL_REV_REIT">"c1307"</definedName>
    <definedName name="IQ_TOTAL_REV_SHARE">"c1912"</definedName>
    <definedName name="IQ_TOTAL_REV_UTI">"c1308"</definedName>
    <definedName name="IQ_TOTAL_REVENUE">"c1436"</definedName>
    <definedName name="IQ_TOTAL_SPECIAL">"c1618"</definedName>
    <definedName name="IQ_TOTAL_ST_BORROW">"c1424"</definedName>
    <definedName name="IQ_TOTAL_SUB_DEBT">"c2528"</definedName>
    <definedName name="IQ_TOTAL_SUB_DEBT_EBITDA">"c2554"</definedName>
    <definedName name="IQ_TOTAL_SUB_DEBT_EBITDA_CAPEX">"c2555"</definedName>
    <definedName name="IQ_TOTAL_SUB_DEBT_PCT">"c2529"</definedName>
    <definedName name="IQ_TOTAL_SUBS">"c2119"</definedName>
    <definedName name="IQ_TOTAL_UNUSUAL">"c1508"</definedName>
    <definedName name="IQ_TOTAL_WARRANTS_BEG_OS">"c2719"</definedName>
    <definedName name="IQ_TOTAL_WARRANTS_CANCELLED">"c2722"</definedName>
    <definedName name="IQ_TOTAL_WARRANTS_END_OS">"c2723"</definedName>
    <definedName name="IQ_TOTAL_WARRANTS_EXERCISED">"c2721"</definedName>
    <definedName name="IQ_TOTAL_WARRANTS_ISSUED">"c2720"</definedName>
    <definedName name="IQ_TR_ACCT_METHOD">"c2363"</definedName>
    <definedName name="IQ_TR_ACQ_52_WK_HI_PCT">"c2348"</definedName>
    <definedName name="IQ_TR_ACQ_52_WK_LOW_PCT">"c2347"</definedName>
    <definedName name="IQ_TR_ACQ_CASH_ST_INVEST">"c2372"</definedName>
    <definedName name="IQ_TR_ACQ_CLOSEPRICE_1D">"c3027"</definedName>
    <definedName name="IQ_TR_ACQ_DILUT_EPS_EXCL">"c3028"</definedName>
    <definedName name="IQ_TR_ACQ_EARNING_CO">"c2379"</definedName>
    <definedName name="IQ_TR_ACQ_EBIT">"c2380"</definedName>
    <definedName name="IQ_TR_ACQ_EBITDA">"c2381"</definedName>
    <definedName name="IQ_TR_ACQ_FILING_CURRENCY">"c3033"</definedName>
    <definedName name="IQ_TR_ACQ_MCAP_1DAY">"c2345"</definedName>
    <definedName name="IQ_TR_ACQ_MIN_INT">"c2374"</definedName>
    <definedName name="IQ_TR_ACQ_NET_DEBT">"c2373"</definedName>
    <definedName name="IQ_TR_ACQ_NI">"c2378"</definedName>
    <definedName name="IQ_TR_ACQ_PRICEDATE_1D">"c2346"</definedName>
    <definedName name="IQ_TR_ACQ_RETURN">"c2349"</definedName>
    <definedName name="IQ_TR_ACQ_STOCKYEARHIGH_1D">"c2343"</definedName>
    <definedName name="IQ_TR_ACQ_STOCKYEARLOW_1D">"c2344"</definedName>
    <definedName name="IQ_TR_ACQ_TOTAL_ASSETS">"c2371"</definedName>
    <definedName name="IQ_TR_ACQ_TOTAL_COMMON_EQ">"c2377"</definedName>
    <definedName name="IQ_TR_ACQ_TOTAL_DEBT">"c2376"</definedName>
    <definedName name="IQ_TR_ACQ_TOTAL_PREF">"c2375"</definedName>
    <definedName name="IQ_TR_ACQ_TOTAL_REV">"c2382"</definedName>
    <definedName name="IQ_TR_ADJ_SIZE">"c3024"</definedName>
    <definedName name="IQ_TR_ANN_DATE">"c2395"</definedName>
    <definedName name="IQ_TR_ANN_DATE_BL">"c2394"</definedName>
    <definedName name="IQ_TR_BID_DATE">"c2357"</definedName>
    <definedName name="IQ_TR_BLUESKY_FEES">"c2277"</definedName>
    <definedName name="IQ_TR_BUY_ACC_ADVISORS">"c3048"</definedName>
    <definedName name="IQ_TR_BUY_FIN_ADVISORS">"c3045"</definedName>
    <definedName name="IQ_TR_BUY_LEG_ADVISORS">"c2387"</definedName>
    <definedName name="IQ_TR_BUYER_ID">"c2404"</definedName>
    <definedName name="IQ_TR_BUYERNAME">"c2401"</definedName>
    <definedName name="IQ_TR_CANCELLED_DATE">"c2284"</definedName>
    <definedName name="IQ_TR_CASH_CONSID_PCT">"c2296"</definedName>
    <definedName name="IQ_TR_CASH_ST_INVEST">"c3025"</definedName>
    <definedName name="IQ_TR_CHANGE_CONTROL">"c2365"</definedName>
    <definedName name="IQ_TR_CLOSED_DATE">"c2283"</definedName>
    <definedName name="IQ_TR_CO_NET_PROCEEDS">"c2268"</definedName>
    <definedName name="IQ_TR_CO_NET_PROCEEDS_PCT">"c2270"</definedName>
    <definedName name="IQ_TR_COMMENTS">"c2383"</definedName>
    <definedName name="IQ_TR_CURRENCY">"c3016"</definedName>
    <definedName name="IQ_TR_DEAL_ATTITUDE">"c2364"</definedName>
    <definedName name="IQ_TR_DEAL_CONDITIONS">"c2367"</definedName>
    <definedName name="IQ_TR_DEAL_RESOLUTION">"c2391"</definedName>
    <definedName name="IQ_TR_DEAL_RESPONSES">"c2366"</definedName>
    <definedName name="IQ_TR_DEBT_CONSID_PCT">"c2299"</definedName>
    <definedName name="IQ_TR_DEF_AGRMT_DATE">"c2285"</definedName>
    <definedName name="IQ_TR_DISCLOSED_FEES_EXP">"c2288"</definedName>
    <definedName name="IQ_TR_EARNOUTS">"c3023"</definedName>
    <definedName name="IQ_TR_EXPIRED_DATE">"c2412"</definedName>
    <definedName name="IQ_TR_GROSS_OFFERING_AMT">"c2262"</definedName>
    <definedName name="IQ_TR_HYBRID_CONSID_PCT">"c2300"</definedName>
    <definedName name="IQ_TR_IMPLIED_EQ">"c3018"</definedName>
    <definedName name="IQ_TR_IMPLIED_EQ_BV">"c3019"</definedName>
    <definedName name="IQ_TR_IMPLIED_EQ_NI_LTM">"c3020"</definedName>
    <definedName name="IQ_TR_IMPLIED_EV">"c2301"</definedName>
    <definedName name="IQ_TR_IMPLIED_EV_BV">"c2306"</definedName>
    <definedName name="IQ_TR_IMPLIED_EV_EBIT">"c2302"</definedName>
    <definedName name="IQ_TR_IMPLIED_EV_EBITDA">"c2303"</definedName>
    <definedName name="IQ_TR_IMPLIED_EV_NI_LTM">"c2307"</definedName>
    <definedName name="IQ_TR_IMPLIED_EV_REV">"c2304"</definedName>
    <definedName name="IQ_TR_LOI_DATE">"c2282"</definedName>
    <definedName name="IQ_TR_MAJ_MIN_STAKE">"c2389"</definedName>
    <definedName name="IQ_TR_NEGOTIATED_BUYBACK_PRICE">"c2414"</definedName>
    <definedName name="IQ_TR_NET_ASSUM_LIABILITIES">"c2308"</definedName>
    <definedName name="IQ_TR_NET_PROCEEDS">"c2267"</definedName>
    <definedName name="IQ_TR_OFFER_DATE">"c2265"</definedName>
    <definedName name="IQ_TR_OFFER_DATE_MA">"c3035"</definedName>
    <definedName name="IQ_TR_OFFER_PER_SHARE">"c3017"</definedName>
    <definedName name="IQ_TR_OPTIONS_CONSID_PCT">"c2311"</definedName>
    <definedName name="IQ_TR_OTHER_CONSID">"c3022"</definedName>
    <definedName name="IQ_TR_PCT_SOUGHT">"c2309"</definedName>
    <definedName name="IQ_TR_PFEATURES">"c2384"</definedName>
    <definedName name="IQ_TR_PIPE_CONV_PRICE_SHARE">"c2292"</definedName>
    <definedName name="IQ_TR_PIPE_CPN_PCT">"c2291"</definedName>
    <definedName name="IQ_TR_PIPE_NUMBER_SHARES">"c2293"</definedName>
    <definedName name="IQ_TR_PIPE_PPS">"c2290"</definedName>
    <definedName name="IQ_TR_POSTMONEY_VAL">"c2286"</definedName>
    <definedName name="IQ_TR_PREDEAL_SITUATION">"c2390"</definedName>
    <definedName name="IQ_TR_PREF_CONSID_PCT">"c2310"</definedName>
    <definedName name="IQ_TR_PREMONEY_VAL">"c2287"</definedName>
    <definedName name="IQ_TR_PRINTING_FEES">"c2276"</definedName>
    <definedName name="IQ_TR_PT_MONETARY_VALUES">"c2415"</definedName>
    <definedName name="IQ_TR_PT_NUMBER_SHARES">"c2417"</definedName>
    <definedName name="IQ_TR_PT_PCT_SHARES">"c2416"</definedName>
    <definedName name="IQ_TR_RATING_FEES">"c2275"</definedName>
    <definedName name="IQ_TR_REG_EFFECT_DATE">"c2264"</definedName>
    <definedName name="IQ_TR_REG_FILED_DATE">"c2263"</definedName>
    <definedName name="IQ_TR_RENEWAL_BUYBACK">"c2413"</definedName>
    <definedName name="IQ_TR_ROUND_NUMBER">"c2295"</definedName>
    <definedName name="IQ_TR_SEC_FEES">"c2274"</definedName>
    <definedName name="IQ_TR_SECURITY_TYPE_REG">"c2279"</definedName>
    <definedName name="IQ_TR_SELL_ACC_ADVISORS">"c3049"</definedName>
    <definedName name="IQ_TR_SELL_FIN_ADVISORS">"c3046"</definedName>
    <definedName name="IQ_TR_SELL_LEG_ADVISORS">"c2388"</definedName>
    <definedName name="IQ_TR_SELLER_ID">"c2406"</definedName>
    <definedName name="IQ_TR_SELLERNAME">"c2402"</definedName>
    <definedName name="IQ_TR_SFEATURES">"c2385"</definedName>
    <definedName name="IQ_TR_SH_NET_PROCEEDS">"c2269"</definedName>
    <definedName name="IQ_TR_SH_NET_PROCEEDS_PCT">"c2271"</definedName>
    <definedName name="IQ_TR_SPECIAL_COMMITTEE">"c2362"</definedName>
    <definedName name="IQ_TR_STATUS">"c2399"</definedName>
    <definedName name="IQ_TR_STOCK_CONSID_PCT">"c2312"</definedName>
    <definedName name="IQ_TR_SUSPENDED_DATE">"c2407"</definedName>
    <definedName name="IQ_TR_TARGET_52WKHI_PCT">"c2351"</definedName>
    <definedName name="IQ_TR_TARGET_52WKLOW_PCT">"c2350"</definedName>
    <definedName name="IQ_TR_TARGET_ACC_ADVISORS">"c3047"</definedName>
    <definedName name="IQ_TR_TARGET_CASH_ST_INVEST">"c2327"</definedName>
    <definedName name="IQ_TR_TARGET_CLOSEPRICE_1D">"c2352"</definedName>
    <definedName name="IQ_TR_TARGET_CLOSEPRICE_1M">"c2354"</definedName>
    <definedName name="IQ_TR_TARGET_CLOSEPRICE_1W">"c2353"</definedName>
    <definedName name="IQ_TR_TARGET_DILUT_EPS_EXCL">"c2324"</definedName>
    <definedName name="IQ_TR_TARGET_EARNING_CO">"c2332"</definedName>
    <definedName name="IQ_TR_TARGET_EBIT">"c2333"</definedName>
    <definedName name="IQ_TR_TARGET_EBITDA">"c2334"</definedName>
    <definedName name="IQ_TR_TARGET_FILING_CURRENCY">"c3034"</definedName>
    <definedName name="IQ_TR_TARGET_FIN_ADVISORS">"c3044"</definedName>
    <definedName name="IQ_TR_TARGET_ID">"c2405"</definedName>
    <definedName name="IQ_TR_TARGET_LEG_ADVISORS">"c2386"</definedName>
    <definedName name="IQ_TR_TARGET_MARKETCAP">"c2342"</definedName>
    <definedName name="IQ_TR_TARGET_MIN_INT">"c2328"</definedName>
    <definedName name="IQ_TR_TARGET_NET_DEBT">"c2326"</definedName>
    <definedName name="IQ_TR_TARGET_NI">"c2331"</definedName>
    <definedName name="IQ_TR_TARGET_PRICEDATE_1D">"c2341"</definedName>
    <definedName name="IQ_TR_TARGET_RETURN">"c2355"</definedName>
    <definedName name="IQ_TR_TARGET_SEC_DETAIL">"c3021"</definedName>
    <definedName name="IQ_TR_TARGET_SEC_TI_ID">"c2368"</definedName>
    <definedName name="IQ_TR_TARGET_SEC_TYPE">"c2369"</definedName>
    <definedName name="IQ_TR_TARGET_SPD">"c2313"</definedName>
    <definedName name="IQ_TR_TARGET_SPD_PCT">"c2314"</definedName>
    <definedName name="IQ_TR_TARGET_STOCKPREMIUM_1D">"c2336"</definedName>
    <definedName name="IQ_TR_TARGET_STOCKPREMIUM_1M">"c2337"</definedName>
    <definedName name="IQ_TR_TARGET_STOCKPREMIUM_1W">"c2338"</definedName>
    <definedName name="IQ_TR_TARGET_STOCKYEARHIGH_1D">"c2339"</definedName>
    <definedName name="IQ_TR_TARGET_STOCKYEARLOW_1D">"c2340"</definedName>
    <definedName name="IQ_TR_TARGET_TOTAL_ASSETS">"c2325"</definedName>
    <definedName name="IQ_TR_TARGET_TOTAL_COMMON_EQ">"c2421"</definedName>
    <definedName name="IQ_TR_TARGET_TOTAL_DEBT">"c2330"</definedName>
    <definedName name="IQ_TR_TARGET_TOTAL_PREF">"c2329"</definedName>
    <definedName name="IQ_TR_TARGET_TOTAL_REV">"c2335"</definedName>
    <definedName name="IQ_TR_TARGETNAME">"c2403"</definedName>
    <definedName name="IQ_TR_TERM_FEE">"c2298"</definedName>
    <definedName name="IQ_TR_TERM_FEE_PCT">"c2297"</definedName>
    <definedName name="IQ_TR_TODATE">"c3036"</definedName>
    <definedName name="IQ_TR_TODATE_MONETARY_VALUE">"c2418"</definedName>
    <definedName name="IQ_TR_TODATE_NUMBER_SHARES">"c2420"</definedName>
    <definedName name="IQ_TR_TODATE_PCT_SHARES">"c2419"</definedName>
    <definedName name="IQ_TR_TOTAL_ACCT_FEES">"c2273"</definedName>
    <definedName name="IQ_TR_TOTAL_CASH">"c2315"</definedName>
    <definedName name="IQ_TR_TOTAL_CONSID_SH">"c2316"</definedName>
    <definedName name="IQ_TR_TOTAL_DEBT">"c2317"</definedName>
    <definedName name="IQ_TR_TOTAL_GROSS_TV">"c2318"</definedName>
    <definedName name="IQ_TR_TOTAL_HYBRID">"c2319"</definedName>
    <definedName name="IQ_TR_TOTAL_LEGAL_FEES">"c2272"</definedName>
    <definedName name="IQ_TR_TOTAL_NET_TV">"c2320"</definedName>
    <definedName name="IQ_TR_TOTAL_NEWMONEY">"c2289"</definedName>
    <definedName name="IQ_TR_TOTAL_OPTIONS">"c2322"</definedName>
    <definedName name="IQ_TR_TOTAL_OPTIONS_BUYER">"c3026"</definedName>
    <definedName name="IQ_TR_TOTAL_PREFERRED">"c2321"</definedName>
    <definedName name="IQ_TR_TOTAL_REG_AMT">"c2261"</definedName>
    <definedName name="IQ_TR_TOTAL_STOCK">"c2323"</definedName>
    <definedName name="IQ_TR_TOTAL_TAKEDOWNS">"c2278"</definedName>
    <definedName name="IQ_TR_TOTAL_UW_COMP">"c2280"</definedName>
    <definedName name="IQ_TR_TOTALVALUE">"c2400"</definedName>
    <definedName name="IQ_TR_TRANSACTION_TYPE">"c2398"</definedName>
    <definedName name="IQ_TR_WITHDRAWN_DTE">"c2266"</definedName>
    <definedName name="IQ_TRADE_AR">"c1345"</definedName>
    <definedName name="IQ_TRADE_PRINCIPAL">"c1309"</definedName>
    <definedName name="IQ_TRADING_ASSETS">"c1310"</definedName>
    <definedName name="IQ_TRADING_CURRENCY">"c2212"</definedName>
    <definedName name="IQ_TREASURY">"c1311"</definedName>
    <definedName name="IQ_TREASURY_OTHER_EQUITY">"c1312"</definedName>
    <definedName name="IQ_TREASURY_OTHER_EQUITY_BNK">"c1313"</definedName>
    <definedName name="IQ_TREASURY_OTHER_EQUITY_BR">"c1314"</definedName>
    <definedName name="IQ_TREASURY_OTHER_EQUITY_FIN">"c1315"</definedName>
    <definedName name="IQ_TREASURY_OTHER_EQUITY_INS">"c1316"</definedName>
    <definedName name="IQ_TREASURY_OTHER_EQUITY_REIT">"c1317"</definedName>
    <definedName name="IQ_TREASURY_OTHER_EQUITY_UTI">"c1318"</definedName>
    <definedName name="IQ_TREASURY_STOCK">"c1438"</definedName>
    <definedName name="IQ_TRUST_INC">"c1319"</definedName>
    <definedName name="IQ_TRUST_PREF">"c1320"</definedName>
    <definedName name="IQ_TRUST_PREFERRED">"c3029"</definedName>
    <definedName name="IQ_TRUST_PREFERRED_PCT">"c3030"</definedName>
    <definedName name="IQ_UFCF_10YR_ANN_GROWTH">"c1948"</definedName>
    <definedName name="IQ_UFCF_1YR_ANN_GROWTH">"c1943"</definedName>
    <definedName name="IQ_UFCF_2YR_ANN_GROWTH">"c1944"</definedName>
    <definedName name="IQ_UFCF_3YR_ANN_GROWTH">"c1945"</definedName>
    <definedName name="IQ_UFCF_5YR_ANN_GROWTH">"c1946"</definedName>
    <definedName name="IQ_UFCF_7YR_ANN_GROWTH">"c1947"</definedName>
    <definedName name="IQ_UFCF_MARGIN">"c1962"</definedName>
    <definedName name="IQ_UNAMORT_DISC">"c2513"</definedName>
    <definedName name="IQ_UNAMORT_DISC_PCT">"c2514"</definedName>
    <definedName name="IQ_UNAMORT_PREMIUM">"c2511"</definedName>
    <definedName name="IQ_UNAMORT_PREMIUM_PCT">"c2512"</definedName>
    <definedName name="IQ_UNDRAWN_CP">"c2518"</definedName>
    <definedName name="IQ_UNDRAWN_CREDIT">"c3032"</definedName>
    <definedName name="IQ_UNDRAWN_RC">"c2517"</definedName>
    <definedName name="IQ_UNDRAWN_TL">"c2519"</definedName>
    <definedName name="IQ_UNEARN_PREMIUM">"c1321"</definedName>
    <definedName name="IQ_UNEARN_REV_CURRENT">"c1322"</definedName>
    <definedName name="IQ_UNEARN_REV_CURRENT_BNK">"c1323"</definedName>
    <definedName name="IQ_UNEARN_REV_CURRENT_BR">"c1324"</definedName>
    <definedName name="IQ_UNEARN_REV_CURRENT_FIN">"c1325"</definedName>
    <definedName name="IQ_UNEARN_REV_CURRENT_INS">"c1326"</definedName>
    <definedName name="IQ_UNEARN_REV_CURRENT_REIT">"c1327"</definedName>
    <definedName name="IQ_UNEARN_REV_CURRENT_UTI">"c1328"</definedName>
    <definedName name="IQ_UNEARN_REV_LT">"c1329"</definedName>
    <definedName name="IQ_UNLEVERED_FCF">"c1908"</definedName>
    <definedName name="IQ_UNPAID_CLAIMS">"c1330"</definedName>
    <definedName name="IQ_UNREALIZED_GAIN">"c1619"</definedName>
    <definedName name="IQ_UNSECURED_DEBT">"c2548"</definedName>
    <definedName name="IQ_UNSECURED_DEBT_PCT">"c2549"</definedName>
    <definedName name="IQ_UNUSUAL_EXP">"c1456"</definedName>
    <definedName name="IQ_US_GAAP">"c1331"</definedName>
    <definedName name="IQ_US_GAAP_BASIC_EPS_EXCL">"c2984"</definedName>
    <definedName name="IQ_US_GAAP_BASIC_EPS_INCL">"c2982"</definedName>
    <definedName name="IQ_US_GAAP_BASIC_WEIGHT">"c2980"</definedName>
    <definedName name="IQ_US_GAAP_CA_ADJ">"c2925"</definedName>
    <definedName name="IQ_US_GAAP_CASH_FINAN">"c2945"</definedName>
    <definedName name="IQ_US_GAAP_CASH_FINAN_ADJ">"c2941"</definedName>
    <definedName name="IQ_US_GAAP_CASH_INVEST">"c2944"</definedName>
    <definedName name="IQ_US_GAAP_CASH_INVEST_ADJ">"c2940"</definedName>
    <definedName name="IQ_US_GAAP_CASH_OPER">"c2943"</definedName>
    <definedName name="IQ_US_GAAP_CASH_OPER_ADJ">"c2939"</definedName>
    <definedName name="IQ_US_GAAP_CL_ADJ">"c2927"</definedName>
    <definedName name="IQ_US_GAAP_DILUT_EPS_EXCL">"c2985"</definedName>
    <definedName name="IQ_US_GAAP_DILUT_EPS_INCL">"c2983"</definedName>
    <definedName name="IQ_US_GAAP_DILUT_NI">"c2979"</definedName>
    <definedName name="IQ_US_GAAP_DILUT_WEIGHT">"c2981"</definedName>
    <definedName name="IQ_US_GAAP_DO_ADJ">"c2959"</definedName>
    <definedName name="IQ_US_GAAP_EXTRA_ACC_ITEMS_ADJ">"c2958"</definedName>
    <definedName name="IQ_US_GAAP_INC_TAX_ADJ">"c2961"</definedName>
    <definedName name="IQ_US_GAAP_INTEREST_EXP_ADJ">"c2957"</definedName>
    <definedName name="IQ_US_GAAP_LIAB_LT_ADJ">"c2928"</definedName>
    <definedName name="IQ_US_GAAP_LIAB_TOTAL_LIAB">"c2933"</definedName>
    <definedName name="IQ_US_GAAP_MINORITY_INTEREST_IS_ADJ">"c2960"</definedName>
    <definedName name="IQ_US_GAAP_NCA_ADJ">"c2926"</definedName>
    <definedName name="IQ_US_GAAP_NET_CHANGE">"c2946"</definedName>
    <definedName name="IQ_US_GAAP_NET_CHANGE_ADJ">"c2942"</definedName>
    <definedName name="IQ_US_GAAP_NI">"c2976"</definedName>
    <definedName name="IQ_US_GAAP_NI_ADJ">"c2963"</definedName>
    <definedName name="IQ_US_GAAP_NI_AVAIL_INCL">"c2978"</definedName>
    <definedName name="IQ_US_GAAP_OTHER_ADJ_ADJ">"c2962"</definedName>
    <definedName name="IQ_US_GAAP_OTHER_NON_OPER_ADJ">"c2955"</definedName>
    <definedName name="IQ_US_GAAP_OTHER_OPER_ADJ">"c2954"</definedName>
    <definedName name="IQ_US_GAAP_RD_ADJ">"c2953"</definedName>
    <definedName name="IQ_US_GAAP_SGA_ADJ">"c2952"</definedName>
    <definedName name="IQ_US_GAAP_TOTAL_ASSETS">"c2931"</definedName>
    <definedName name="IQ_US_GAAP_TOTAL_EQUITY">"c2934"</definedName>
    <definedName name="IQ_US_GAAP_TOTAL_EQUITY_ADJ">"c2929"</definedName>
    <definedName name="IQ_US_GAAP_TOTAL_REV_ADJ">"c2950"</definedName>
    <definedName name="IQ_US_GAAP_TOTAL_UNUSUAL_ADJ">"c2956"</definedName>
    <definedName name="IQ_UTIL_PPE_NET">"c1620"</definedName>
    <definedName name="IQ_UTIL_REV">"c2091"</definedName>
    <definedName name="IQ_UV_PENSION_LIAB">"c1332"</definedName>
    <definedName name="IQ_VALUE_TRADED_LAST_3MTH">"c1530"</definedName>
    <definedName name="IQ_VALUE_TRADED_LAST_6MTH">"c1531"</definedName>
    <definedName name="IQ_VALUE_TRADED_LAST_MTH">"c1529"</definedName>
    <definedName name="IQ_VALUE_TRADED_LAST_WK">"c1528"</definedName>
    <definedName name="IQ_VALUE_TRADED_LAST_YR">"c1532"</definedName>
    <definedName name="IQ_VOL_LAST_3MTH">"c1525"</definedName>
    <definedName name="IQ_VOL_LAST_6MTH">"c1526"</definedName>
    <definedName name="IQ_VOL_LAST_MTH">"c1524"</definedName>
    <definedName name="IQ_VOL_LAST_WK">"c1523"</definedName>
    <definedName name="IQ_VOL_LAST_YR">"c1527"</definedName>
    <definedName name="IQ_VOLUME">"c1333"</definedName>
    <definedName name="IQ_WARRANTS_BEG_OS">"c2698"</definedName>
    <definedName name="IQ_WARRANTS_CANCELLED">"c2701"</definedName>
    <definedName name="IQ_WARRANTS_END_OS">"c2702"</definedName>
    <definedName name="IQ_WARRANTS_EXERCISED">"c2700"</definedName>
    <definedName name="IQ_WARRANTS_ISSUED">"c2699"</definedName>
    <definedName name="IQ_WARRANTS_STRIKE_PRICE_ISSUED">"c2704"</definedName>
    <definedName name="IQ_WARRANTS_STRIKE_PRICE_OS">"c2703"</definedName>
    <definedName name="IQ_WEEK">50000</definedName>
    <definedName name="IQ_WEIGHTED_AVG_PRICE">"c1334"</definedName>
    <definedName name="IQ_WIP_INV">"c1335"</definedName>
    <definedName name="IQ_WORKMEN_WRITTEN">"c1336"</definedName>
    <definedName name="IQ_XDIV_DATE">"c2203"</definedName>
    <definedName name="IQ_YEARHIGH">"c1337"</definedName>
    <definedName name="IQ_YEARHIGH_DATE">"c2250"</definedName>
    <definedName name="IQ_YEARLOW">"c1338"</definedName>
    <definedName name="IQ_YEARLOW_DATE">"c2251"</definedName>
    <definedName name="IQ_YTD">3000</definedName>
    <definedName name="IQ_YTDMONTH" hidden="1">130000</definedName>
    <definedName name="IQ_Z_SCORE">"c1339"</definedName>
    <definedName name="JIM" hidden="1">{#N/A,#N/A,FALSE,"Sheet5"}</definedName>
    <definedName name="June" hidden="1">{"three",#N/A,FALSE,"Capital";"four",#N/A,FALSE,"Capital"}</definedName>
    <definedName name="junk"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K2_WBEVMODE" hidden="1">0</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3</definedName>
    <definedName name="LOLD">1</definedName>
    <definedName name="LOLD_Table">10</definedName>
    <definedName name="LOLD_ZZCOOM_M03_Q001">10</definedName>
    <definedName name="LOLD_ZZCOOM_M03_Q001SKF">13</definedName>
    <definedName name="LOLD_ZZCOOM_M03_Q004">10</definedName>
    <definedName name="LOLD_ZZCOOM_M03_Q004ORDERS">13</definedName>
    <definedName name="LOLD_ZZCOOM_M03_Q004SKF">13</definedName>
    <definedName name="Master" hidden="1">{#N/A,#N/A,FALSE,"Actual";#N/A,#N/A,FALSE,"Normalized";#N/A,#N/A,FALSE,"Electric Actual";#N/A,#N/A,FALSE,"Electric Normalized"}</definedName>
    <definedName name="mmm" hidden="1">{"PRINT",#N/A,TRUE,"APPA";"PRINT",#N/A,TRUE,"APS";"PRINT",#N/A,TRUE,"BHPL";"PRINT",#N/A,TRUE,"BHPL2";"PRINT",#N/A,TRUE,"CDWR";"PRINT",#N/A,TRUE,"EWEB";"PRINT",#N/A,TRUE,"LADWP";"PRINT",#N/A,TRUE,"NEVBASE"}</definedName>
    <definedName name="NvsASD">"V1999-02-28"</definedName>
    <definedName name="NvsAutoDrillOk">"VN"</definedName>
    <definedName name="NvsElapsedTime">0.00604305555316387</definedName>
    <definedName name="NvsEndTime">36245.5384840278</definedName>
    <definedName name="NvsInstSpec">"%,FPPL_SUPP_RES_CTR,TPPL_RPTD_SRC,NFOSSIL"</definedName>
    <definedName name="NvsLayoutType">"M3"</definedName>
    <definedName name="NvsNplSpec">"%,X,RNF..,CZF.."</definedName>
    <definedName name="NvsPanelEffdt">"V1900-01-01"</definedName>
    <definedName name="NvsPanelSetid">"VSHARE"</definedName>
    <definedName name="NvsReqBU">"V10000"</definedName>
    <definedName name="NvsReqBUOnly">"VN"</definedName>
    <definedName name="NvsTransLed">"VN"</definedName>
    <definedName name="NvsTreeASD">"V1999-02-28"</definedName>
    <definedName name="NvsValTbl.ACCOUNT">"GL_ACCOUNT_TBL"</definedName>
    <definedName name="NvsValTbl.BUSINESS_UNIT">"BUS_UNIT_TBL_GL"</definedName>
    <definedName name="NvsValTbl.DEPTID">"DEPARTMENT_TBL"</definedName>
    <definedName name="NvsValTbl.PPL_ACTIVITY">"PPL_ACT_ALL_VW"</definedName>
    <definedName name="NvsValTbl.PPL_CONS_RES_CTR">"PPL_CRC_ALL_VW"</definedName>
    <definedName name="NvsValTbl.PRODUCT">"PROD_ALL_VW"</definedName>
    <definedName name="NvsValTbl.PROJECT_ID">"PROJECT_TBL_VW"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OHSch10YR"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thers" hidden="1">{"Factors Pages 1-2",#N/A,FALSE,"Factors";"Factors Page 3",#N/A,FALSE,"Factors";"Factors Page 4",#N/A,FALSE,"Factors";"Factors Page 5",#N/A,FALSE,"Factors";"Factors Pages 8-27",#N/A,FALSE,"Factors"}</definedName>
    <definedName name="Overall_ROR">#REF!</definedName>
    <definedName name="Pal_Workbook_GUID" hidden="1">"VX3CWJGNQX2CCGI81U4N2V76"</definedName>
    <definedName name="Percent_common">#REF!</definedName>
    <definedName name="Percent_debt">#REF!</definedName>
    <definedName name="Percent_pref">#REF!</definedName>
    <definedName name="pete" hidden="1">{#N/A,#N/A,FALSE,"Bgt";#N/A,#N/A,FALSE,"Act";#N/A,#N/A,FALSE,"Chrt Data";#N/A,#N/A,FALSE,"Bus Result";#N/A,#N/A,FALSE,"Main Charts";#N/A,#N/A,FALSE,"P&amp;L Ttl";#N/A,#N/A,FALSE,"P&amp;L C_Ttl";#N/A,#N/A,FALSE,"P&amp;L C_Oct";#N/A,#N/A,FALSE,"P&amp;L C_Sep";#N/A,#N/A,FALSE,"1996";#N/A,#N/A,FALSE,"Data"}</definedName>
    <definedName name="PPPPPPPPPPPPPPPP" hidden="1">{#N/A,#N/A,FALSE,"Sheet5"}</definedName>
    <definedName name="PricingInfo" hidden="1">#REF!</definedName>
    <definedName name="_xlnm.Print_Area" localSheetId="9">'ADJ DETAIL-INPUT'!$A$1:$CD$83</definedName>
    <definedName name="_xlnm.Print_Area" localSheetId="11">'ADJ SUMMARY'!$A$1:$G$90</definedName>
    <definedName name="_xlnm.Print_Area" localSheetId="8">'CF '!$A$1:$E$27</definedName>
    <definedName name="_xlnm.Print_Area" localSheetId="14">'DEBT CALC 2.14'!$A$1:$I$82</definedName>
    <definedName name="_xlnm.Print_Area" localSheetId="1">'Exh. BGM-3 (Detail)'!$A$1:$AE$113</definedName>
    <definedName name="_xlnm.Print_Area" localSheetId="0">'Exh. BGM-3 (Sum)'!$A$1:$AC$103</definedName>
    <definedName name="_xlnm.Print_Area" localSheetId="16">'LEAD SHEETS-DO NOT ENTER'!$A$1:$BY$81</definedName>
    <definedName name="_xlnm.Print_Area" localSheetId="6">'PROPOSED RATES-12.2025'!$A$1:$J$84</definedName>
    <definedName name="_xlnm.Print_Area" localSheetId="7">'RR Summary'!$A$2:$G$40,'RR Summary'!$I$2:$M$18</definedName>
    <definedName name="Print_for_Checking" localSheetId="1">#REF!:#REF!</definedName>
    <definedName name="Print_for_Checking" localSheetId="0">#REF!:#REF!</definedName>
    <definedName name="Print_for_Checking">#REF!:#REF!</definedName>
    <definedName name="_xlnm.Print_Titles" localSheetId="9">'ADJ DETAIL-INPUT'!$A:$D</definedName>
    <definedName name="_xlnm.Print_Titles" localSheetId="1">'Exh. BGM-3 (Detail)'!$A:$G,'Exh. BGM-3 (Detail)'!$2:$6</definedName>
    <definedName name="_xlnm.Print_Titles" localSheetId="0">'Exh. BGM-3 (Sum)'!$A:$G,'Exh. BGM-3 (Sum)'!$2:$6</definedName>
    <definedName name="RateCase">#REF!</definedName>
    <definedName name="Restated_Op_revenue">#REF!</definedName>
    <definedName name="Restated_rate_base">#REF!</definedName>
    <definedName name="Restated_ROE">#REF!</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C_Adjustment_Print" localSheetId="1">#REF!</definedName>
    <definedName name="RRC_Adjustment_Print" localSheetId="0">#REF!</definedName>
    <definedName name="RRC_Rate_Print" localSheetId="1">#REF!</definedName>
    <definedName name="RRC_Rate_Print" localSheetId="0">#REF!</definedName>
    <definedName name="rrr" hidden="1">{"PRINT",#N/A,TRUE,"APPA";"PRINT",#N/A,TRUE,"APS";"PRINT",#N/A,TRUE,"BHPL";"PRINT",#N/A,TRUE,"BHPL2";"PRINT",#N/A,TRUE,"CDWR";"PRINT",#N/A,TRUE,"EWEB";"PRINT",#N/A,TRUE,"LADWP";"PRINT",#N/A,TRUE,"NEVBASE"}</definedName>
    <definedName name="Rwvu.allocations." hidden="1">#REF!</definedName>
    <definedName name="Rwvu.annual._.hotel." hidden="1">#REF!</definedName>
    <definedName name="Rwvu.bottom._.line." hidden="1">#REF!</definedName>
    <definedName name="Rwvu.cash._.flow." hidden="1">#REF!</definedName>
    <definedName name="Rwvu.combo." hidden="1">#REF!</definedName>
    <definedName name="Rwvu.offsite." hidden="1">#REF!</definedName>
    <definedName name="Rwvu.onsite." hidden="1">#REF!</definedName>
    <definedName name="SAPBEXdnldView">"46HLPWIQ6J3TDMPT5WG7XVEBI"</definedName>
    <definedName name="SAPBEXhrIndnt" hidden="1">"Wide"</definedName>
    <definedName name="SAPBEXrevision" hidden="1">1</definedName>
    <definedName name="SAPBEXsysID" hidden="1">"BWP"</definedName>
    <definedName name="SAPBEXwbID" hidden="1">"45FIHJWMI3GHFVKWLVCY66MTN"</definedName>
    <definedName name="SAPsysID" hidden="1">"708C5W7SBKP804JT78WJ0JNKI"</definedName>
    <definedName name="SAPwbID" hidden="1">"ARS"</definedName>
    <definedName name="shit" hidden="1">{"PRINT",#N/A,TRUE,"APPA";"PRINT",#N/A,TRUE,"APS";"PRINT",#N/A,TRUE,"BHPL";"PRINT",#N/A,TRUE,"BHPL2";"PRINT",#N/A,TRUE,"CDWR";"PRINT",#N/A,TRUE,"EWEB";"PRINT",#N/A,TRUE,"LADWP";"PRINT",#N/A,TRUE,"NEVBASE"}</definedName>
    <definedName name="solver_eval">0</definedName>
    <definedName name="solver_ntri">1000</definedName>
    <definedName name="solver_rsmp">1</definedName>
    <definedName name="solver_seed">0</definedName>
    <definedName name="spippw" hidden="1">{#N/A,#N/A,FALSE,"Actual";#N/A,#N/A,FALSE,"Normalized";#N/A,#N/A,FALSE,"Electric Actual";#N/A,#N/A,FALSE,"Electric Normalized"}</definedName>
    <definedName name="SpreadsheetBuilder_2" hidden="1">#REF!</definedName>
    <definedName name="SpreadsheetBuilder_3" hidden="1">#REF!</definedName>
    <definedName name="standard1" hidden="1">{"YTD-Total",#N/A,FALSE,"Provision"}</definedName>
    <definedName name="Summary" localSheetId="1">#REF!</definedName>
    <definedName name="Summary" localSheetId="0">#REF!</definedName>
    <definedName name="Summary">#REF!</definedName>
    <definedName name="Swvu.allocations." hidden="1">#REF!</definedName>
    <definedName name="Swvu.annual._.hotel." hidden="1">#REF!</definedName>
    <definedName name="Swvu.bottom._.line." hidden="1">#REF!</definedName>
    <definedName name="Swvu.cash._.flow." hidden="1">#REF!</definedName>
    <definedName name="Swvu.combo." hidden="1">#REF!</definedName>
    <definedName name="Swvu.full." hidden="1">#REF!</definedName>
    <definedName name="Swvu.offsite." hidden="1">#REF!</definedName>
    <definedName name="Swvu.onsite." hidden="1">#REF!</definedName>
    <definedName name="TableName">"Dummy"</definedName>
    <definedName name="TEST">2000</definedName>
    <definedName name="TESTYEAR" localSheetId="1">#REF!</definedName>
    <definedName name="TESTYEAR" localSheetId="0">#REF!</definedName>
    <definedName name="TESTYEAR">#REF!</definedName>
    <definedName name="TESTYEAR_E" localSheetId="1">#REF!</definedName>
    <definedName name="TESTYEAR_E" localSheetId="0">#REF!</definedName>
    <definedName name="TESTYEAR_E">#REF!</definedName>
    <definedName name="TESTYEAR_GAS">#REF!</definedName>
    <definedName name="Title1">#REF!</definedName>
    <definedName name="Title2">#REF!</definedName>
    <definedName name="Title3">#REF!</definedName>
    <definedName name="Title8">#REF!</definedName>
    <definedName name="TP_Footer_User" hidden="1">"Dylan Moser"</definedName>
    <definedName name="TP_Footer_Version" hidden="1">"v4.00"</definedName>
    <definedName name="trth" hidden="1">{"ALL",#N/A,FALSE,"A"}</definedName>
    <definedName name="Unadj_Op_revenue">#REF!</definedName>
    <definedName name="Unadj_rate_base">#REF!</definedName>
    <definedName name="Unadj_ROE">#REF!</definedName>
    <definedName name="uncollectible_perc">#REF!</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vcdv" hidden="1">#REF!</definedName>
    <definedName name="w" hidden="1">#REF!</definedName>
    <definedName name="WA_Gas" localSheetId="1">#REF!</definedName>
    <definedName name="WA_Gas" localSheetId="0">#REF!</definedName>
    <definedName name="WA_Gas">#REF!</definedName>
    <definedName name="WA_rev_tax_perc">#REF!</definedName>
    <definedName name="Weighted_cost_debt">#REF!</definedName>
    <definedName name="Weighted_cost_equity">#REF!</definedName>
    <definedName name="Weighted_cost_pref">#REF!</definedName>
    <definedName name="wr" hidden="1">{"Output-3Column",#N/A,FALSE,"Output"}</definedName>
    <definedName name="wrn" hidden="1">{"Inflation-BaseYear",#N/A,FALSE,"Inputs"}</definedName>
    <definedName name="wrn.1996._.Hydro._.5._.Year._.Forecast._.Budget." hidden="1">{#N/A,#N/A,FALSE,"Summary";#N/A,#N/A,FALSE,"SmPlants";#N/A,#N/A,FALSE,"Utah";#N/A,#N/A,FALSE,"Idaho";#N/A,#N/A,FALSE,"Lewis River";#N/A,#N/A,FALSE,"NrthUmpq";#N/A,#N/A,FALSE,"KlamRog"}</definedName>
    <definedName name="wrn.Adj._.Back_Up." hidden="1">{"Page 3.4.1",#N/A,FALSE,"Totals";"Page 3.4.2",#N/A,FALSE,"Totals"}</definedName>
    <definedName name="wrn.ALL." hidden="1">{"ALL",#N/A,FALSE,"A"}</definedName>
    <definedName name="wrn.All._.BSs._.and._.JEs." hidden="1">{#N/A,#N/A,FALSE,"Top level";#N/A,#N/A,FALSE,"Top level JEs";#N/A,#N/A,FALSE,"PHI";#N/A,#N/A,FALSE,"PHI JEs";#N/A,#N/A,FALSE,"PacifiCorp";#N/A,#N/A,FALSE,"PacifiCorp JEs";#N/A,#N/A,FALSE,"PGHC";#N/A,#N/A,FALSE,"PGHC JEs";#N/A,#N/A,FALSE,"Domestic"}</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hidden="1">{#N/A,#N/A,FALSE,"Cover";#N/A,#N/A,FALSE,"Lead Sheet";#N/A,#N/A,FALSE,"T-Accounts";#N/A,#N/A,FALSE,"Expense Detail 10 01 to 3  02";#N/A,#N/A,FALSE,"Expense Detail 4 01 to 9 01";#N/A,#N/A,FALSE,"Three Factor % 3  2002"}</definedName>
    <definedName name="wrn.All._.Sheets." hidden="1">{"IncSt",#N/A,FALSE,"IS";"BalSht",#N/A,FALSE,"BS";"IntCash",#N/A,FALSE,"Int. Cash";"Stats",#N/A,FALSE,"Stats"}</definedName>
    <definedName name="wrn.annual." hidden="1">{"annual",#N/A,FALSE,"Pro Forma"}</definedName>
    <definedName name="wrn.Annual._.Detail." hidden="1">{"annualsum",#N/A,FALSE,"Cost Summary";"annual1",#N/A,FALSE,"Phase_1";"annual2",#N/A,FALSE,"Phase_2";"annual3",#N/A,FALSE,"Phase_3";"annual4",#N/A,FALSE,"Phase_4"}</definedName>
    <definedName name="wrn.Annual._.Golf." hidden="1">{"a_dev",#N/A,FALSE,"Golf Development";"a_memstats",#N/A,FALSE,"Golf Development";"a_opstats",#N/A,FALSE,"Golf Development";"a_rev",#N/A,FALSE,"Golf Development";"a_return",#N/A,FALSE,"Golf Development"}</definedName>
    <definedName name="wrn.Annual._.Hotel." hidden="1">{"annual hotel",#N/A,FALSE,"Hotel Development"}</definedName>
    <definedName name="wrn.Annual._.Land._.Sales." hidden="1">{"annual",#N/A,FALSE,"Land Sales"}</definedName>
    <definedName name="wrn.Annual._.Report." hidden="1">{"annual",#N/A,FALSE,"Pro Forma";#N/A,#N/A,FALSE,"Golf Operations"}</definedName>
    <definedName name="wrn.Annual._.Report._.no._.releases." hidden="1">{"a_sales",#N/A,FALSE,"Summary";"a_debt",#N/A,FALSE,"Summary";"a_cash",#N/A,FALSE,"Summary";"a_accrual",#N/A,FALSE,"Summary"}</definedName>
    <definedName name="wrn.Annual._.Report._.with._.releases." hidden="1">{"a_sales",#N/A,FALSE,"Summary";"a_debt",#N/A,FALSE,"Summary";"a_releases",#N/A,FALSE,"Summary";"a_cash",#N/A,FALSE,"Summary";"a_accrual",#N/A,FALSE,"Summary"}</definedName>
    <definedName name="wrn.Annual_5yr." hidden="1">{"ISP1Y5",#N/A,TRUE,"Template";"ISP2Y5",#N/A,TRUE,"Template";"BSY5",#N/A,TRUE,"Template";"ICFY5",#N/A,TRUE,"Template";"TPY5",#N/A,TRUE,"Template";"CtrlY5",#N/A,TRUE,"Template"}</definedName>
    <definedName name="wrn.Assets." hidden="1">{"ASSETS",#N/A,FALSE,"Assets"}</definedName>
    <definedName name="wrn.ASSOC_CO." hidden="1">{"ASSC_CO",#N/A,FALSE,"A"}</definedName>
    <definedName name="wrn.BidCo." hidden="1">{#N/A,#N/A,FALSE,"BidCo Assumptions";#N/A,#N/A,FALSE,"Credit Stats";#N/A,#N/A,FALSE,"Bidco Summary";#N/A,#N/A,FALSE,"BIDCO Consolidated"}</definedName>
    <definedName name="wrn.BS." hidden="1">{"BS",#N/A,FALSE,"A"}</definedName>
    <definedName name="wrn.BUS._.RPT." hidden="1">{#N/A,#N/A,FALSE,"P&amp;L Ttl";#N/A,#N/A,FALSE,"P&amp;L C_Ttl New";#N/A,#N/A,FALSE,"Bus Res";#N/A,#N/A,FALSE,"Chrts";#N/A,#N/A,FALSE,"pcf";#N/A,#N/A,FALSE,"pcr ";#N/A,#N/A,FALSE,"Exp Stmt ";#N/A,#N/A,FALSE,"Exp Stmt BU";#N/A,#N/A,FALSE,"Cap";#N/A,#N/A,FALSE,"IT Ytd"}</definedName>
    <definedName name="wrn.CASH." hidden="1">{#N/A,#N/A,FALSE,"Sheet5"}</definedName>
    <definedName name="wrn.Cash._.and._.Accrual." hidden="1">{"a_cash",#N/A,FALSE,"Summary";"a_accrual",#N/A,FALSE,"Summary"}</definedName>
    <definedName name="wrn.Combined._.YTD." hidden="1">{"YTD-Total",#N/A,TRUE,"Provision";"YTD-Utility",#N/A,TRUE,"Prov Utility";"YTD-NonUtility",#N/A,TRUE,"Prov NonUtility"}</definedName>
    <definedName name="wrn.Complete._.Report." hidden="1">{"Schedule A - Cost of Equity results",#N/A,TRUE,"Summary Results";"Schedule 1B - Cost of Capital Results",#N/A,TRUE,"Final Summary Sheet";"Schedule 2 A - Selected Cohort Financial Data",#N/A,TRUE,"COMPCO";"Schedule 2 B - EPS, etc. Cohort",#N/A,TRUE,"COMPCO";"Schedule 2 C - Cohort Group Growth Estimates",#N/A,TRUE,"COMPCO";"Schedule 2 D - OPUC-Selected Companies",#N/A,TRUE,"COMPCO";"Schedules 3A &amp; 3B - Single-stage DCF Analyses",#N/A,TRUE,"Single-Stage and 5-Year DCF"}</definedName>
    <definedName name="wrn.ConsolGrossGrp." hidden="1">{"Conol gross povision grouped",#N/A,FALSE,"Consol Gross";"Consol Gross Grouped",#N/A,FALSE,"Consol Gross"}</definedName>
    <definedName name="wrn.Current._.Estimate." hidden="1">{#N/A,#N/A,FALSE,"Title Page";#N/A,#N/A,FALSE,"Last Ce to Current Ce";#N/A,#N/A,FALSE,"CE to Plan";#N/A,#N/A,FALSE,"Last CE to Actual";#N/A,#N/A,FALSE,"Actual to Plan";#N/A,#N/A,FALSE,"Net Cash Flow Chg";#N/A,#N/A,FALSE,"Net Cash Flow Fix";#N/A,#N/A,FALSE,"Net Cash Flow";#N/A,#N/A,FALSE,"Balance Sheet";#N/A,#N/A,FALSE,"Cash Flow";#N/A,#N/A,FALSE,"III X Capital";#N/A,#N/A,FALSE,"Monthly Summary-Consolidated";#N/A,#N/A,FALSE,"Monthly Summary-Other";#N/A,#N/A,FALSE,"III X II LP Capital";#N/A,#N/A,FALSE,"Monthly Summary-IIIXIILP";#N/A,#N/A,FALSE,"Monthly Summary-SEI";#N/A,#N/A,FALSE,"Monthly Summary-Raton";#N/A,#N/A,FALSE,"Monthly Summary-Utah";#N/A,#N/A,FALSE,"Monthly Summary-Corp G&amp;A";#N/A,#N/A,FALSE,"Monthly Summary-Capital Plan";#N/A,#N/A,FALSE,"Income Tax Provision";#N/A,#N/A,FALSE,"IIIX Debt"}</definedName>
    <definedName name="wrn.DCF._.Valuation." hidden="1">{"value box",#N/A,TRUE,"DPL Inc. Fin Statements";"unlevered free cash flows",#N/A,TRUE,"DPL Inc. Fin Statements"}</definedName>
    <definedName name="wrn.Detail." hidden="1">{"Print_Detail",#N/A,FALSE,"Redemption_Maturity Extract"}</definedName>
    <definedName name="wrn.Diane._.s._.Version." hidden="1">{"Full",#N/A,FALSE,"Sec MTN B Summary"}</definedName>
    <definedName name="wrn.Distribution._.Version." hidden="1">{"RedPrem_InitRed View",#N/A,FALSE,"Sec MTN B Summary"}</definedName>
    <definedName name="wrn.Factors._.Tab._.10." hidden="1">{"Factors Pages 1-2",#N/A,FALSE,"Factors";"Factors Page 3",#N/A,FALSE,"Factors";"Factors Page 4",#N/A,FALSE,"Factors";"Factors Page 5",#N/A,FALSE,"Factors";"Factors Pages 8-27",#N/A,FALSE,"Factors"}</definedName>
    <definedName name="wrn.FCB." hidden="1">{"FCB_ALL",#N/A,FALSE,"FCB"}</definedName>
    <definedName name="wrn.fcb2" hidden="1">{"FCB_ALL",#N/A,FALSE,"FCB"}</definedName>
    <definedName name="wrn.Financials." hidden="1">{#N/A,#N/A,TRUE,"Income Statement";#N/A,#N/A,TRUE,"Balance Sheet";#N/A,#N/A,TRUE,"Cash Flow"}</definedName>
    <definedName name="wrn.Five._.Year._.Test." hidden="1">{"Five Year Plan",#N/A,TRUE,"Monthly Summary-IIIXIILP";"Five Year Plan",#N/A,TRUE,"Cash Flow"}</definedName>
    <definedName name="wrn.full._.report."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View." hidden="1">{"FullView",#N/A,FALSE,"Consltd-For contngcy"}</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greg." hidden="1">{"three",#N/A,FALSE,"Capital";"four",#N/A,FALSE,"Capital"}</definedName>
    <definedName name="wrn.III._.X._.Co._.Five._.Year._.Plan." hidden="1">{#N/A,#N/A,TRUE,"Title Page-Financial Stmts IIIX";"Balance Sheet Five Year Plan",#N/A,TRUE,"Balance Sheet";"Cash Flow Five Year Plan",#N/A,TRUE,"Cash Flow";"III X Capital Five Year Plan",#N/A,TRUE,"III X Capital";"Consol Income Five Year Plan",#N/A,TRUE,"Monthly Summary-Consolidated";"Other Income Five Year Plan",#N/A,TRUE,"Monthly Summary-Other";"IIIXIILPCapital Five Year Plan",#N/A,TRUE,"III X II LP Capital";"IIIXIILP Income Five Year Plan",#N/A,TRUE,"Monthly Summary-IIIXIILP";"QEP Income Five Year Plan",#N/A,TRUE,"Monthly Summary-SEI";"Raton Income Five Year Plan",#N/A,TRUE,"Monthly Summary-Raton";"AC Income Five Year Plan",#N/A,TRUE,"Monthly Summary-Utah";"G&amp;A Five Year Plan",#N/A,TRUE,"Monthly Summary-Corp G&amp;A";"CAPEX Five Year Plan",#N/A,TRUE,"Monthly Summary-Capital Plan";"Drilling Prog Five Year Plan",#N/A,TRUE,"Drilling Prog Current";"Debt Five Year Plan",#N/A,TRUE,"IIIX Debt";"Income Tax Five Year Plan",#N/A,TRUE,"Income Tax Provision"}</definedName>
    <definedName name="wrn.IIIXCo._.Five._.Year._.Summary._.Reports." hidden="1">{#N/A,#N/A,TRUE,"Title Page-Financial Stmts IIIX";#N/A,#N/A,TRUE,"Sumry_Income IIIXCo";#N/A,#N/A,TRUE,"Sumry_Balance Sheet IIIXCo";#N/A,#N/A,TRUE,"Sumry_Cash Flow IIIXCo";#N/A,#N/A,TRUE,"Antelope Creek";#N/A,#N/A,TRUE,"QEP";#N/A,#N/A,TRUE,"Raton"}</definedName>
    <definedName name="wrn.IIIXCo._.FY._.2004._.Plan." hidden="1">{"IIIXCo FY 04 Plan",#N/A,FALSE,"Monthly Summary-IIIXIILP"}</definedName>
    <definedName name="wrn.Inputs." hidden="1">{"Inflation-BaseYear",#N/A,FALSE,"Inputs"}</definedName>
    <definedName name="wrn.Invested._.Capital." hidden="1">{#N/A,#N/A,FALSE,"Invested Capital-Total";#N/A,#N/A,FALSE,"Invested Capital-SEI";#N/A,#N/A,FALSE,"Invested Capital-Utah";#N/A,#N/A,FALSE,"Invested Capital-Raton"}</definedName>
    <definedName name="wrn.Liab." hidden="1">{"LIAB",#N/A,FALSE,"Liab"}</definedName>
    <definedName name="wrn.Monthly_Yr1." hidden="1">{"ISP1Y1",#N/A,TRUE,"Template";"ISP2Y1",#N/A,TRUE,"Template";"BSY1",#N/A,TRUE,"Template";"ICFY1",#N/A,TRUE,"Template";"TPY1",#N/A,TRUE,"Template";"CtrlY1",#N/A,TRUE,"Template"}</definedName>
    <definedName name="wrn.monthly_yr2" hidden="1">{"ISP1Y1",#N/A,TRUE,"Template";"ISP2Y1",#N/A,TRUE,"Template";"BSY1",#N/A,TRUE,"Template";"ICFY1",#N/A,TRUE,"Template";"TPY1",#N/A,TRUE,"Template";"CtrlY1",#N/A,TRUE,"Template"}</definedName>
    <definedName name="wrn.Monthly_Yr2." hidden="1">{"ISP1Y2",#N/A,TRUE,"Template";"ISP2Y2",#N/A,TRUE,"Template";"BSY2",#N/A,TRUE,"Template";"ICFY2",#N/A,TRUE,"Template";"TPY2",#N/A,TRUE,"Template";"CtrlY2",#N/A,TRUE,"Template"}</definedName>
    <definedName name="wrn.NetWorth." hidden="1">{"NW",#N/A,FALSE,"STMT"}</definedName>
    <definedName name="wrn.Open._.Issues._.Only." hidden="1">{"Open issues Only",#N/A,FALSE,"TIMELINE"}</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Output3Column." hidden="1">{"Output-3Column",#N/A,FALSE,"Output"}</definedName>
    <definedName name="wrn.OutputAll." hidden="1">{"Output-All",#N/A,FALSE,"Output"}</definedName>
    <definedName name="wrn.OutputBaseYear." hidden="1">{"Output-BaseYear",#N/A,FALSE,"Output"}</definedName>
    <definedName name="wrn.OutputMin." hidden="1">{"Output-Min",#N/A,FALSE,"Output"}</definedName>
    <definedName name="wrn.OutputPercent." hidden="1">{"Output%",#N/A,FALSE,"Output"}</definedName>
    <definedName name="wrn.pages." hidden="1">{#N/A,#N/A,FALSE,"Bgt";#N/A,#N/A,FALSE,"Act";#N/A,#N/A,FALSE,"Chrt Data";#N/A,#N/A,FALSE,"Bus Result";#N/A,#N/A,FALSE,"Main Charts";#N/A,#N/A,FALSE,"P&amp;L Ttl";#N/A,#N/A,FALSE,"P&amp;L C_Ttl";#N/A,#N/A,FALSE,"P&amp;L C_Oct";#N/A,#N/A,FALSE,"P&amp;L C_Sep";#N/A,#N/A,FALSE,"1996";#N/A,#N/A,FALSE,"Data"}</definedName>
    <definedName name="wrn.Payment._.View." hidden="1">{#N/A,#N/A,FALSE,"Consltd-For contngcy";"PaymentView",#N/A,FALSE,"Consltd-For contngcy"}</definedName>
    <definedName name="wrn.Pfd." hidden="1">{"Pfd",#N/A,FALSE,"Pfd"}</definedName>
    <definedName name="wrn.PFSreconview." hidden="1">{"PFS recon view",#N/A,FALSE,"Hyperion Proof"}</definedName>
    <definedName name="wrn.PGHCreconview."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ivot1." hidden="1">{"Pivot1",#N/A,FALSE,"Redemption_Maturity Extract"}</definedName>
    <definedName name="wrn.Pivot2." hidden="1">{"Pivot2",#N/A,FALSE,"Redemption_Maturity Extract"}</definedName>
    <definedName name="wrn.Plan._.2004." hidden="1">{#N/A,#N/A,TRUE,"Title Page";#N/A,#N/A,TRUE,"Net Cash Flow";#N/A,#N/A,TRUE,"Balance Sheet";#N/A,#N/A,TRUE,"Cash Flow";#N/A,#N/A,TRUE,"III X Capital";#N/A,#N/A,TRUE,"Monthly Summary-Consolidated";#N/A,#N/A,TRUE,"Monthly Summary-Other";#N/A,#N/A,TRUE,"Monthly Summary-IIIXIILP";#N/A,#N/A,TRUE,"Monthly Summary-SEI";#N/A,#N/A,TRUE,"Monthly Summary-Raton";#N/A,#N/A,TRUE,"Monthly Summary-Utah";#N/A,#N/A,TRUE,"Monthly Summary-Corp G&amp;A";#N/A,#N/A,TRUE,"Monthly Summary-Capital Plan";#N/A,#N/A,TRUE,"Drilling Prog Current";#N/A,#N/A,TRUE,"IIIX Debt";#N/A,#N/A,TRUE,"Income Tax Provision"}</definedName>
    <definedName name="wrn.PPMCoCodeView." hidden="1">{"PPM Co Code View",#N/A,FALSE,"Comp Codes"}</definedName>
    <definedName name="wrn.PPMreconview." hidden="1">{"PPM Recon View",#N/A,FALSE,"Hyperion Proof"}</definedName>
    <definedName name="wrn.PrintAll." hidden="1">{"PA1",#N/A,TRUE,"BORDMW";"pa2",#N/A,TRUE,"BORDMW";"PA3",#N/A,TRUE,"BORDMW";"PA4",#N/A,TRUE,"BORDMW"}</definedName>
    <definedName name="wrn.ProofElectricOnly." hidden="1">{"Electric Only",#N/A,FALSE,"Hyperion Proof"}</definedName>
    <definedName name="wrn.ProofTotal." hidden="1">{"Proof Total",#N/A,FALSE,"Hyperion Proof"}</definedName>
    <definedName name="wrn.quarterly." hidden="1">{"quarterly",#N/A,FALSE,"Pro Forma"}</definedName>
    <definedName name="wrn.Reformat._.only." hidden="1">{#N/A,#N/A,FALSE,"Dec 1999 mapping"}</definedName>
    <definedName name="wrn.Releases._.Cash._.Accrual." hidden="1">{"a_releases",#N/A,FALSE,"Summary";"a_cash",#N/A,FALSE,"Summary";"a_accrual",#N/A,FALSE,"Summary"}</definedName>
    <definedName name="wrn.rpt96." hidden="1">{"rmrev1",#N/A,FALSE,"Forecast96";"rmrev2",#N/A,FALSE,"Forecast96";"rmrev3",#N/A,FALSE,"Forecast96"}</definedName>
    <definedName name="wrn.sales." hidden="1">{"sales",#N/A,FALSE,"Sales";"sales existing",#N/A,FALSE,"Sales";"sales rd1",#N/A,FALSE,"Sales";"sales rd2",#N/A,FALSE,"Sales"}</definedName>
    <definedName name="wrn.Sales._.and._.Debt." hidden="1">{"a_sales",#N/A,FALSE,"Summary";"a_debt",#N/A,FALSE,"Summary"}</definedName>
    <definedName name="wrn.SALES._.VAR._.95._.BUDGET." hidden="1">{"PRINT",#N/A,TRUE,"APPA";"PRINT",#N/A,TRUE,"APS";"PRINT",#N/A,TRUE,"BHPL";"PRINT",#N/A,TRUE,"BHPL2";"PRINT",#N/A,TRUE,"CDWR";"PRINT",#N/A,TRUE,"EWEB";"PRINT",#N/A,TRUE,"LADWP";"PRINT",#N/A,TRUE,"NEVBASE"}</definedName>
    <definedName name="wrn.SCHED._.BC." hidden="1">{"SCHED_B&amp;C",#N/A,FALSE,"A"}</definedName>
    <definedName name="wrn.SCHED._.DE." hidden="1">{"SCHED_D&amp;E",#N/A,FALSE,"A"}</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hared._.Costs." hidden="1">{"cash flow",#N/A,FALSE,"Shared Costs";"allocations",#N/A,FALSE,"Shared Costs"}</definedName>
    <definedName name="wrn.SHEDA." hidden="1">{"SCHED_A",#N/A,FALSE,"A"}</definedName>
    <definedName name="wrn.STAND_ALONE_BOTH." hidden="1">{"FCB_ALL",#N/A,FALSE,"FCB";"GREY_ALL",#N/A,FALSE,"GREY"}</definedName>
    <definedName name="wrn.Standard." hidden="1">{"YTD-Total",#N/A,FALSE,"Provision"}</definedName>
    <definedName name="wrn.Standard._.NonUtility._.Only." hidden="1">{"YTD-NonUtility",#N/A,FALSE,"Prov NonUtility"}</definedName>
    <definedName name="wrn.Standard._.Utility._.Only." hidden="1">{"YTD-Utility",#N/A,FALSE,"Prov Utility"}</definedName>
    <definedName name="wrn.Summary._.View." hidden="1">{#N/A,#N/A,FALSE,"Consltd-For contngcy"}</definedName>
    <definedName name="wrn.Tariff99." hidden="1">{"103Decup",#N/A,TRUE,"TRF103";"101Refund",#N/A,TRUE,"TRF101A";"101EEAAcct",#N/A,TRUE,"TRF101C";"107DSMRef",#N/A,TRUE,"TRF107";"107Amort",#N/A,TRUE,"DSM Amort";"102RPAInt",#N/A,TRUE,"TRF102B";"111Price1",#N/A,TRUE,"TRF111A";"111Price2",#N/A,TRUE,"TRF111B"}</definedName>
    <definedName name="wrn.UK._.Conversion._.Only." hidden="1">{#N/A,#N/A,FALSE,"Dec 1999 UK Continuing Ops"}</definedName>
    <definedName name="wrn.Wacc." hidden="1">{"Area1",#N/A,FALSE,"OREWACC";"Area2",#N/A,FALSE,"OREWACC"}</definedName>
    <definedName name="wrn.YearEnd." hidden="1">{"Factors Pages 1-2",#N/A,FALSE,"Variables";"Factors Page 3",#N/A,FALSE,"Variables";"Factors Page 4",#N/A,FALSE,"Variables";"Factors Page 5",#N/A,FALSE,"Variables";"YE Pages 7-26",#N/A,FALSE,"Variables"}</definedName>
    <definedName name="wrng" hidden="1">{"Output-BaseYear",#N/A,FALSE,"Output"}</definedName>
    <definedName name="wrnh" hidden="1">{"Output-All",#N/A,FALSE,"Output"}</definedName>
    <definedName name="WUTC_reg_fee_perc">#REF!</definedName>
    <definedName name="wvu.allocations." hidden="1">{TRUE,TRUE,-1.41610738255034,-14.9463087248322,497.718120805369,308.295302013423,FALSE,TRUE,TRUE,TRUE,0,1,1,1,40,3,2.68,4,TRUE,TRUE,3,TRUE,1,FALSE,100,"Swvu.allocations.","ACwvu.allocations.",#N/A,FALSE,FALSE,0.5,0.5,0.5,0.5,1,"","&amp;L&amp;F   &amp;A&amp;R&amp;D   &amp;T",TRUE,FALSE,FALSE,FALSE,1,100,#N/A,#N/A,"=R1C1:R118C10","=R1:R2","Rwvu.allocations.",#N/A,FALSE,FALSE,TRUE,1,4294967292,300,FALSE,FALSE,TRUE,TRUE,TRUE}</definedName>
    <definedName name="wvu.annual." hidden="1">{TRUE,TRUE,-1.41610738255034,-14.9463087248322,497.718120805369,308.295302013423,FALSE,TRUE,TRUE,TRUE,0,1,#N/A,1,1,9.97,4.21739130434783,3,FALSE,TRUE,3,TRUE,1,FALSE,100,"Swvu.annual.","ACwvu.annual.",#N/A,FALSE,FALSE,0.5,0.5,0.5,0.5,2,"","&amp;L&amp;""Palatino,Regular""&amp;9&amp;F&amp;C&amp;""Palatino,Regular""&amp;9LAND SALES DETAIL - Page &amp;P of &amp;N&amp;R&amp;""Palatino,Regular""&amp;9&amp;D   &amp;T",TRUE,FALSE,FALSE,FALSE,2,90,#N/A,#N/A,"=R1C1:R174C16","=R1:R3","Rwvu.annual.","Cwvu.annual.",FALSE,FALSE,FALSE,1,4294967292,300,FALSE,FALSE,TRUE,TRUE,TRUE}</definedName>
    <definedName name="wvu.annual._.hotel." hidden="1">{TRUE,TRUE,-1.41610738255034,-14.9463087248322,497.718120805369,308.295302013423,FALSE,TRUE,TRUE,TRUE,0,1,1,1,1,1,2.08695652173913,4,TRUE,TRUE,3,TRUE,1,FALSE,100,"Swvu.annual._.hotel.","ACwvu.annual._.hotel.",#N/A,FALSE,FALSE,0.5,0.5,0.5,0.5,2,"","&amp;L&amp;8&amp;F&amp;C&amp;8HOTEL DEVELOPMENT - Page &amp;P of &amp;N&amp;R&amp;8&amp;D   &amp;T",TRUE,FALSE,FALSE,FALSE,2,#N/A,1,#N/A,#DIV/0!,"=R1:R2","Rwvu.annual._.hotel.","Cwvu.annual._.hotel.",FALSE,FALSE,FALSE,1,4294967292,300,FALSE,FALSE,TRUE,TRUE,TRUE}</definedName>
    <definedName name="wvu.bottom._.line." hidden="1">{TRUE,TRUE,-1.41610738255034,-14.9463087248322,497.718120805369,308.295302013423,FALSE,TRUE,TRUE,TRUE,0,1,1,1,280,1,2.17391304347826,4,TRUE,TRUE,3,TRUE,1,FALSE,100,"Swvu.bottom._.line.","ACwvu.bottom._.line.",#N/A,FALSE,FALSE,0.5,0.5,0.5,0.5,2,"","&amp;L&amp;8&amp;F   &amp;A&amp;R&amp;8&amp;D   &amp;T",TRUE,FALSE,FALSE,FALSE,2,#N/A,1,#N/A,#DIV/0!,"=R1:R2","Rwvu.bottom._.line.","Cwvu.bottom._.line.",FALSE,FALSE,FALSE,1,4294967292,300,FALSE,FALSE,TRUE,TRUE,TRUE}</definedName>
    <definedName name="wvu.cash._.flow." hidden="1">{TRUE,TRUE,-1.41610738255034,-14.9463087248322,497.718120805369,308.295302013423,FALSE,TRUE,TRUE,TRUE,0,1,1,1,1,1,2.40816326530612,4,TRUE,TRUE,3,TRUE,1,FALSE,100,"Swvu.cash._.flow.","ACwvu.cash._.flow.",#N/A,FALSE,FALSE,0.5,0.5,0.5,0.5,2,"","&amp;L&amp;""Palatino,Regular""&amp;8&amp;F&amp;C&amp;""Palatino,Regular""&amp;8SHARED COSTS&amp;R&amp;""Palatino,Regular""&amp;8&amp;D   &amp;T",TRUE,FALSE,FALSE,FALSE,1,#N/A,1,1,"=R1C1:R120C22",FALSE,"Rwvu.cash._.flow.","Cwvu.cash._.flow.",FALSE,FALSE,FALSE,1,4294967292,300,FALSE,FALSE,TRUE,TRUE,TRUE}</definedName>
    <definedName name="wvu.combo." hidden="1">{TRUE,TRUE,-1.41610738255034,-14.9463087248322,497.718120805369,308.295302013423,FALSE,TRUE,TRUE,TRUE,0,1,3,1,170,1,1.07142857142857,3,TRUE,TRUE,3,TRUE,1,FALSE,100,"Swvu.combo.","ACwvu.combo.",#N/A,FALSE,FALSE,0.5,0.5,0.5,0.5,2,"","&amp;L&amp;8&amp;F   &amp;A&amp;R&amp;8&amp;D   &amp;T",TRUE,FALSE,FALSE,FALSE,2,#N/A,1,#N/A,#DIV/0!,"=R1:R2","Rwvu.combo.","Cwvu.combo.",FALSE,FALSE,FALSE,1,4294967292,300,FALSE,FALSE,TRUE,TRUE,TRUE}</definedName>
    <definedName name="wvu.full." hidden="1">{TRUE,TRUE,-1.41610738255034,-14.9463087248322,497.718120805369,308.295302013423,FALSE,TRUE,TRUE,TRUE,0,1,#N/A,1,1,8.41904761904762,2.4,3,FALSE,TRUE,3,TRUE,1,FALSE,100,"Swvu.full.","ACwvu.full.",#N/A,FALSE,FALSE,0.5,0.5,0.5,0.5,2,"","&amp;L&amp;F&amp;R&amp;D   &amp;T",TRUE,FALSE,FALSE,FALSE,1,#N/A,1,1,"=R1C1:R97C24",FALSE,#N/A,#N/A,FALSE,FALSE,FALSE,1,4294967292,300,FALSE,FALSE,TRUE,TRUE,TRUE}</definedName>
    <definedName name="wvu.offsite." hidden="1">{TRUE,TRUE,-1.41610738255034,-14.9463087248322,497.718120805369,308.295302013423,FALSE,TRUE,TRUE,TRUE,0,1,1,1,1,3,2.91836734693878,4,TRUE,TRUE,3,TRUE,1,FALSE,100,"Swvu.offsite.","ACwvu.offsite.",#N/A,FALSE,FALSE,0.5,0.5,0.5,0.5,1,"","&amp;L&amp;""Palatino,Regular""&amp;8&amp;F&amp;C&amp;""Palatino,Regular""&amp;8SHARED COSTS&amp;R&amp;""Palatino,Regular""&amp;8&amp;D   &amp;T",TRUE,FALSE,FALSE,FALSE,1,#N/A,1,1,#DIV/0!,"=R1:R2","Rwvu.offsite.",#N/A,FALSE,FALSE,FALSE,1,4294967292,300,FALSE,FALSE,TRUE,TRUE,TRUE}</definedName>
    <definedName name="wvu.onsite." hidden="1">{TRUE,TRUE,-1.41610738255034,-14.9463087248322,497.718120805369,308.295302013423,FALSE,TRUE,TRUE,TRUE,0,1,1,1,1,3,2.83673469387755,4,TRUE,TRUE,3,TRUE,1,FALSE,100,"Swvu.onsite.","ACwvu.onsite.",#N/A,FALSE,FALSE,0.5,0.5,0.5,0.5,1,"","&amp;L&amp;""Palatino,Regular""&amp;8&amp;F&amp;C&amp;""Palatino,Regular""&amp;8SHARED COSTS&amp;R&amp;""Palatino,Regular""&amp;8&amp;D   &amp;T",TRUE,FALSE,FALSE,FALSE,1,#N/A,1,1,#DIV/0!,"=R1:R2","Rwvu.onsite.",#N/A,FALSE,FALSE,FALSE,1,4294967292,300,FALSE,FALSE,TRUE,TRUE,TRUE}</definedName>
    <definedName name="wvu.quarterly." hidden="1">{TRUE,TRUE,-1.25,-15.5,484.5,270,FALSE,TRUE,TRUE,TRUE,0,1,2,2,1,3,1.93333333333333,4,TRUE,TRUE,3,TRUE,1,FALSE,75,"Swvu.quarterly.","ACwvu.quarterly.",#N/A,FALSE,FALSE,0.25,0.25,0.5,0.5,2,"","&amp;L&amp;10&amp;F   &amp;A&amp;C&amp;10Page &amp;P&amp;R&amp;10&amp;D   &amp;T",FALSE,FALSE,FALSE,FALSE,2,71,#N/A,#N/A,"=R1C1:R153C72","=C1:C4,R1:R3","Rwvu.quarterly.",#N/A,FALSE,FALSE,TRUE,1,65532,65532,FALSE,FALSE,TRUE,TRUE,TRUE}</definedName>
    <definedName name="xxx" hidden="1">#REF!</definedName>
    <definedName name="y" hidden="1">#REF!</definedName>
    <definedName name="z" hidden="1">#REF!</definedName>
    <definedName name="Z_01844156_6462_4A28_9785_1A86F4D0C834_.wvu.PrintTitles" hidden="1">#REF!</definedName>
    <definedName name="Z_6E1B8C45_B07F_11D2_B0DC_0000832CDFF0_.wvu.Cols" localSheetId="9" hidden="1">'ADJ DETAIL-INPUT'!#REF!,'ADJ DETAIL-INPUT'!$AE:$BL</definedName>
    <definedName name="Z_6E1B8C45_B07F_11D2_B0DC_0000832CDFF0_.wvu.Cols" localSheetId="16" hidden="1">'LEAD SHEETS-DO NOT ENTER'!#REF!,'LEAD SHEETS-DO NOT ENTER'!$AD:$AO</definedName>
    <definedName name="Z_6E1B8C45_B07F_11D2_B0DC_0000832CDFF0_.wvu.PrintArea" localSheetId="9" hidden="1">'ADJ DETAIL-INPUT'!$E:$AD</definedName>
    <definedName name="Z_6E1B8C45_B07F_11D2_B0DC_0000832CDFF0_.wvu.PrintArea" localSheetId="11" hidden="1">'ADJ SUMMARY'!$A$1:$G$92</definedName>
    <definedName name="Z_6E1B8C45_B07F_11D2_B0DC_0000832CDFF0_.wvu.PrintArea" localSheetId="16" hidden="1">'LEAD SHEETS-DO NOT ENTER'!$E:$AA</definedName>
    <definedName name="Z_6E1B8C45_B07F_11D2_B0DC_0000832CDFF0_.wvu.PrintArea" localSheetId="15" hidden="1">'Recap Sum Comparison'!$A$10:$H$79</definedName>
    <definedName name="Z_6E1B8C45_B07F_11D2_B0DC_0000832CDFF0_.wvu.PrintArea" localSheetId="13" hidden="1">'ROO INPUT 1.00'!$A$1:$G$80</definedName>
    <definedName name="Z_6E1B8C45_B07F_11D2_B0DC_0000832CDFF0_.wvu.PrintTitles" localSheetId="9" hidden="1">'ADJ DETAIL-INPUT'!$A:$D,'ADJ DETAIL-INPUT'!$1:$9</definedName>
    <definedName name="Z_6E1B8C45_B07F_11D2_B0DC_0000832CDFF0_.wvu.PrintTitles" localSheetId="16" hidden="1">'LEAD SHEETS-DO NOT ENTER'!$A:$D,'LEAD SHEETS-DO NOT ENTER'!$2:$10</definedName>
    <definedName name="Z_6E1B8C45_B07F_11D2_B0DC_0000832CDFF0_.wvu.Rows" localSheetId="11" hidden="1">'ADJ SUMMARY'!#REF!,'ADJ SUMMARY'!$21:$92,'ADJ SUMMARY'!$34:$34,'ADJ SUMMARY'!$47:$92,'ADJ SUMMARY'!#REF!,'ADJ SUMMARY'!#REF!,'ADJ SUMMARY'!#REF!</definedName>
    <definedName name="Z_6E1B8C45_B07F_11D2_B0DC_0000832CDFF0_.wvu.Rows" localSheetId="15" hidden="1">'Recap Sum Comparison'!#REF!,'Recap Sum Comparison'!$23:$66,'Recap Sum Comparison'!$37:$37,'Recap Sum Comparison'!$48:$79,'Recap Sum Comparison'!#REF!,'Recap Sum Comparison'!#REF!,'Recap Sum Comparison'!$80:$80</definedName>
    <definedName name="Z_A15D1962_B049_11D2_8670_0000832CEEE8_.wvu.Cols" localSheetId="9" hidden="1">'ADJ DETAIL-INPUT'!$AE:$BL</definedName>
    <definedName name="Z_A15D1962_B049_11D2_8670_0000832CEEE8_.wvu.Cols" localSheetId="16" hidden="1">'LEAD SHEETS-DO NOT ENTER'!$AD:$AO</definedName>
    <definedName name="Z_A15D1962_B049_11D2_8670_0000832CEEE8_.wvu.Rows" localSheetId="11" hidden="1">'ADJ SUMMARY'!$47:$92,'ADJ SUMMARY'!#REF!</definedName>
    <definedName name="Z_A15D1962_B049_11D2_8670_0000832CEEE8_.wvu.Rows" localSheetId="15" hidden="1">'Recap Sum Comparison'!$48:$74,'Recap Sum Comparison'!$80:$80</definedName>
  </definedNames>
  <calcPr calcId="191029"/>
  <customWorkbookViews>
    <customWorkbookView name="Don Falkner - Personal View" guid="{6E1B8C45-B07F-11D2-B0DC-0000832CDFF0}" mergeInterval="0" personalView="1" maximized="1" windowWidth="1020" windowHeight="604" tabRatio="768" activeSheetId="3"/>
    <customWorkbookView name="Kathy Mitchell - Personal View" guid="{A15D1962-B049-11D2-8670-0000832CEEE8}" mergeInterval="0" personalView="1" maximized="1" windowWidth="796" windowHeight="436" tabRatio="768"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1" i="167" l="1" a="1"/>
  <c r="F81" i="167" s="1"/>
  <c r="K72" i="167" a="1"/>
  <c r="K72" i="167" s="1"/>
  <c r="M87" i="167" a="1"/>
  <c r="M87" i="167" s="1"/>
  <c r="K87" i="167" a="1"/>
  <c r="K87" i="167" s="1"/>
  <c r="I87" i="167" a="1"/>
  <c r="I87" i="167" s="1"/>
  <c r="M86" i="167" a="1"/>
  <c r="M86" i="167" s="1"/>
  <c r="K86" i="167" a="1"/>
  <c r="K86" i="167" s="1"/>
  <c r="I86" i="167" a="1"/>
  <c r="I86" i="167" s="1"/>
  <c r="M85" i="167" a="1"/>
  <c r="M85" i="167" s="1"/>
  <c r="K85" i="167" a="1"/>
  <c r="K85" i="167" s="1"/>
  <c r="I85" i="167" a="1"/>
  <c r="I85" i="167" s="1"/>
  <c r="M84" i="167" a="1"/>
  <c r="M84" i="167" s="1"/>
  <c r="K84" i="167" a="1"/>
  <c r="K84" i="167" s="1"/>
  <c r="I84" i="167" a="1"/>
  <c r="I84" i="167" s="1"/>
  <c r="M83" i="167" a="1"/>
  <c r="M83" i="167" s="1"/>
  <c r="K83" i="167" a="1"/>
  <c r="K83" i="167" s="1"/>
  <c r="I83" i="167" a="1"/>
  <c r="I83" i="167" s="1"/>
  <c r="M82" i="167" a="1"/>
  <c r="M82" i="167" s="1"/>
  <c r="K82" i="167" a="1"/>
  <c r="K82" i="167" s="1"/>
  <c r="I82" i="167" a="1"/>
  <c r="I82" i="167" s="1"/>
  <c r="M81" i="167" a="1"/>
  <c r="M81" i="167" s="1"/>
  <c r="K81" i="167" a="1"/>
  <c r="K81" i="167" s="1"/>
  <c r="I81" i="167" a="1"/>
  <c r="I81" i="167" s="1"/>
  <c r="M80" i="167" a="1"/>
  <c r="M80" i="167" s="1"/>
  <c r="K80" i="167" a="1"/>
  <c r="K80" i="167" s="1"/>
  <c r="I80" i="167" a="1"/>
  <c r="I80" i="167" s="1"/>
  <c r="M79" i="167" a="1"/>
  <c r="M79" i="167" s="1"/>
  <c r="K79" i="167" a="1"/>
  <c r="K79" i="167" s="1"/>
  <c r="I79" i="167" a="1"/>
  <c r="I79" i="167" s="1"/>
  <c r="M78" i="167" a="1"/>
  <c r="M78" i="167" s="1"/>
  <c r="K78" i="167" a="1"/>
  <c r="K78" i="167" s="1"/>
  <c r="I78" i="167" a="1"/>
  <c r="I78" i="167" s="1"/>
  <c r="M77" i="167" a="1"/>
  <c r="M77" i="167" s="1"/>
  <c r="K77" i="167" a="1"/>
  <c r="K77" i="167" s="1"/>
  <c r="I77" i="167" a="1"/>
  <c r="I77" i="167" s="1"/>
  <c r="M76" i="167" a="1"/>
  <c r="M76" i="167" s="1"/>
  <c r="K76" i="167" a="1"/>
  <c r="K76" i="167" s="1"/>
  <c r="I76" i="167" a="1"/>
  <c r="I76" i="167" s="1"/>
  <c r="M75" i="167" a="1"/>
  <c r="M75" i="167" s="1"/>
  <c r="K75" i="167" a="1"/>
  <c r="K75" i="167" s="1"/>
  <c r="I75" i="167" a="1"/>
  <c r="I75" i="167" s="1"/>
  <c r="M74" i="167" a="1"/>
  <c r="M74" i="167" s="1"/>
  <c r="K74" i="167" a="1"/>
  <c r="K74" i="167" s="1"/>
  <c r="I74" i="167" a="1"/>
  <c r="I74" i="167" s="1"/>
  <c r="M73" i="167" a="1"/>
  <c r="M73" i="167" s="1"/>
  <c r="K73" i="167" a="1"/>
  <c r="K73" i="167" s="1"/>
  <c r="I73" i="167" a="1"/>
  <c r="I73" i="167" s="1"/>
  <c r="M72" i="167" a="1"/>
  <c r="M72" i="167" s="1"/>
  <c r="I72" i="167" a="1"/>
  <c r="I72" i="167" s="1"/>
  <c r="M65" i="167" a="1"/>
  <c r="M65" i="167" s="1"/>
  <c r="K65" i="167" a="1"/>
  <c r="K65" i="167" s="1"/>
  <c r="I65" i="167" a="1"/>
  <c r="I65" i="167" s="1"/>
  <c r="M64" i="167" a="1"/>
  <c r="M64" i="167" s="1"/>
  <c r="K64" i="167" a="1"/>
  <c r="K64" i="167" s="1"/>
  <c r="I64" i="167" a="1"/>
  <c r="I64" i="167" s="1"/>
  <c r="M63" i="167" a="1"/>
  <c r="M63" i="167" s="1"/>
  <c r="K63" i="167" a="1"/>
  <c r="K63" i="167" s="1"/>
  <c r="I63" i="167" a="1"/>
  <c r="I63" i="167" s="1"/>
  <c r="M62" i="167" a="1"/>
  <c r="M62" i="167" s="1"/>
  <c r="K62" i="167" a="1"/>
  <c r="K62" i="167" s="1"/>
  <c r="I62" i="167" a="1"/>
  <c r="I62" i="167" s="1"/>
  <c r="M61" i="167" a="1"/>
  <c r="M61" i="167" s="1"/>
  <c r="K61" i="167" a="1"/>
  <c r="K61" i="167" s="1"/>
  <c r="I61" i="167" a="1"/>
  <c r="I61" i="167" s="1"/>
  <c r="M60" i="167" a="1"/>
  <c r="M60" i="167" s="1"/>
  <c r="K60" i="167" a="1"/>
  <c r="K60" i="167" s="1"/>
  <c r="I60" i="167" a="1"/>
  <c r="I60" i="167" s="1"/>
  <c r="M59" i="167" a="1"/>
  <c r="M59" i="167" s="1"/>
  <c r="K59" i="167" a="1"/>
  <c r="K59" i="167" s="1"/>
  <c r="I59" i="167" a="1"/>
  <c r="I59" i="167" s="1"/>
  <c r="M58" i="167" a="1"/>
  <c r="M58" i="167" s="1"/>
  <c r="K58" i="167" a="1"/>
  <c r="K58" i="167" s="1"/>
  <c r="I58" i="167" a="1"/>
  <c r="I58" i="167" s="1"/>
  <c r="M57" i="167" a="1"/>
  <c r="M57" i="167" s="1"/>
  <c r="K57" i="167" a="1"/>
  <c r="K57" i="167" s="1"/>
  <c r="I57" i="167" a="1"/>
  <c r="I57" i="167" s="1"/>
  <c r="M56" i="167" a="1"/>
  <c r="M56" i="167" s="1"/>
  <c r="K56" i="167" a="1"/>
  <c r="K56" i="167" s="1"/>
  <c r="I56" i="167" a="1"/>
  <c r="I56" i="167" s="1"/>
  <c r="M55" i="167" a="1"/>
  <c r="M55" i="167" s="1"/>
  <c r="K55" i="167" a="1"/>
  <c r="K55" i="167" s="1"/>
  <c r="I55" i="167" a="1"/>
  <c r="I55" i="167" s="1"/>
  <c r="M54" i="167" a="1"/>
  <c r="M54" i="167" s="1"/>
  <c r="K54" i="167" a="1"/>
  <c r="K54" i="167" s="1"/>
  <c r="I54" i="167" a="1"/>
  <c r="I54" i="167" s="1"/>
  <c r="M53" i="167" a="1"/>
  <c r="M53" i="167" s="1"/>
  <c r="K53" i="167" a="1"/>
  <c r="K53" i="167" s="1"/>
  <c r="I53" i="167" a="1"/>
  <c r="I53" i="167" s="1"/>
  <c r="M52" i="167" a="1"/>
  <c r="M52" i="167" s="1"/>
  <c r="K52" i="167" a="1"/>
  <c r="K52" i="167" s="1"/>
  <c r="I52" i="167" a="1"/>
  <c r="I52" i="167" s="1"/>
  <c r="M51" i="167" a="1"/>
  <c r="M51" i="167" s="1"/>
  <c r="K51" i="167" a="1"/>
  <c r="K51" i="167" s="1"/>
  <c r="I51" i="167" a="1"/>
  <c r="I51" i="167" s="1"/>
  <c r="M50" i="167" a="1"/>
  <c r="M50" i="167" s="1"/>
  <c r="K50" i="167" a="1"/>
  <c r="K50" i="167" s="1"/>
  <c r="I50" i="167" a="1"/>
  <c r="I50" i="167" s="1"/>
  <c r="M49" i="167" a="1"/>
  <c r="M49" i="167" s="1"/>
  <c r="K49" i="167" a="1"/>
  <c r="K49" i="167" s="1"/>
  <c r="I49" i="167" a="1"/>
  <c r="I49" i="167" s="1"/>
  <c r="M48" i="167" a="1"/>
  <c r="M48" i="167" s="1"/>
  <c r="K48" i="167" a="1"/>
  <c r="K48" i="167" s="1"/>
  <c r="I48" i="167" a="1"/>
  <c r="I48" i="167" s="1"/>
  <c r="M47" i="167" a="1"/>
  <c r="M47" i="167" s="1"/>
  <c r="K47" i="167" a="1"/>
  <c r="K47" i="167" s="1"/>
  <c r="I47" i="167" a="1"/>
  <c r="I47" i="167" s="1"/>
  <c r="M46" i="167" a="1"/>
  <c r="M46" i="167" s="1"/>
  <c r="K46" i="167" a="1"/>
  <c r="K46" i="167" s="1"/>
  <c r="I46" i="167" a="1"/>
  <c r="I46" i="167" s="1"/>
  <c r="M45" i="167" a="1"/>
  <c r="M45" i="167" s="1"/>
  <c r="K45" i="167" a="1"/>
  <c r="K45" i="167" s="1"/>
  <c r="I45" i="167" a="1"/>
  <c r="I45" i="167" s="1"/>
  <c r="M44" i="167" a="1"/>
  <c r="M44" i="167" s="1"/>
  <c r="K44" i="167" a="1"/>
  <c r="K44" i="167" s="1"/>
  <c r="I44" i="167" a="1"/>
  <c r="I44" i="167" s="1"/>
  <c r="M43" i="167" a="1"/>
  <c r="M43" i="167" s="1"/>
  <c r="K43" i="167" a="1"/>
  <c r="K43" i="167" s="1"/>
  <c r="I43" i="167" a="1"/>
  <c r="I43" i="167" s="1"/>
  <c r="M42" i="167" a="1"/>
  <c r="M42" i="167" s="1"/>
  <c r="K42" i="167" a="1"/>
  <c r="K42" i="167" s="1"/>
  <c r="I42" i="167" a="1"/>
  <c r="I42" i="167" s="1"/>
  <c r="M41" i="167" a="1"/>
  <c r="M41" i="167" s="1"/>
  <c r="K41" i="167" a="1"/>
  <c r="K41" i="167" s="1"/>
  <c r="I41" i="167" a="1"/>
  <c r="I41" i="167" s="1"/>
  <c r="M40" i="167" a="1"/>
  <c r="M40" i="167" s="1"/>
  <c r="K40" i="167" a="1"/>
  <c r="K40" i="167" s="1"/>
  <c r="I40" i="167" a="1"/>
  <c r="I40" i="167" s="1"/>
  <c r="M39" i="167" a="1"/>
  <c r="M39" i="167" s="1"/>
  <c r="K39" i="167" a="1"/>
  <c r="K39" i="167" s="1"/>
  <c r="I39" i="167" a="1"/>
  <c r="I39" i="167" s="1"/>
  <c r="M38" i="167" a="1"/>
  <c r="M38" i="167" s="1"/>
  <c r="K38" i="167" a="1"/>
  <c r="K38" i="167" s="1"/>
  <c r="I38" i="167" a="1"/>
  <c r="I38" i="167" s="1"/>
  <c r="M37" i="167" a="1"/>
  <c r="M37" i="167" s="1"/>
  <c r="K37" i="167" a="1"/>
  <c r="K37" i="167" s="1"/>
  <c r="I37" i="167" a="1"/>
  <c r="I37" i="167" s="1"/>
  <c r="M32" i="167" a="1"/>
  <c r="M32" i="167" s="1"/>
  <c r="K32" i="167" a="1"/>
  <c r="K32" i="167" s="1"/>
  <c r="I32" i="167" a="1"/>
  <c r="I32" i="167" s="1"/>
  <c r="M31" i="167" a="1"/>
  <c r="M31" i="167" s="1"/>
  <c r="K31" i="167" a="1"/>
  <c r="K31" i="167" s="1"/>
  <c r="I31" i="167" a="1"/>
  <c r="I31" i="167" s="1"/>
  <c r="M30" i="167" a="1"/>
  <c r="M30" i="167" s="1"/>
  <c r="K30" i="167" a="1"/>
  <c r="K30" i="167" s="1"/>
  <c r="I30" i="167" a="1"/>
  <c r="I30" i="167" s="1"/>
  <c r="M29" i="167" a="1"/>
  <c r="M29" i="167" s="1"/>
  <c r="K29" i="167" a="1"/>
  <c r="K29" i="167" s="1"/>
  <c r="I29" i="167" a="1"/>
  <c r="I29" i="167" s="1"/>
  <c r="M28" i="167" a="1"/>
  <c r="M28" i="167" s="1"/>
  <c r="K28" i="167" a="1"/>
  <c r="K28" i="167" s="1"/>
  <c r="I28" i="167" a="1"/>
  <c r="I28" i="167" s="1"/>
  <c r="M27" i="167" a="1"/>
  <c r="M27" i="167" s="1"/>
  <c r="K27" i="167" a="1"/>
  <c r="K27" i="167" s="1"/>
  <c r="I27" i="167" a="1"/>
  <c r="I27" i="167" s="1"/>
  <c r="M26" i="167" a="1"/>
  <c r="M26" i="167" s="1"/>
  <c r="K26" i="167" a="1"/>
  <c r="K26" i="167" s="1"/>
  <c r="I26" i="167" a="1"/>
  <c r="I26" i="167" s="1"/>
  <c r="M25" i="167" a="1"/>
  <c r="M25" i="167" s="1"/>
  <c r="K25" i="167" a="1"/>
  <c r="K25" i="167" s="1"/>
  <c r="I25" i="167" a="1"/>
  <c r="I25" i="167" s="1"/>
  <c r="M24" i="167" a="1"/>
  <c r="M24" i="167" s="1"/>
  <c r="K24" i="167" a="1"/>
  <c r="K24" i="167" s="1"/>
  <c r="I24" i="167" a="1"/>
  <c r="I24" i="167" s="1"/>
  <c r="M23" i="167" a="1"/>
  <c r="M23" i="167" s="1"/>
  <c r="K23" i="167" a="1"/>
  <c r="K23" i="167" s="1"/>
  <c r="I23" i="167" a="1"/>
  <c r="I23" i="167" s="1"/>
  <c r="M22" i="167" a="1"/>
  <c r="M22" i="167" s="1"/>
  <c r="K22" i="167" a="1"/>
  <c r="K22" i="167" s="1"/>
  <c r="I22" i="167" a="1"/>
  <c r="I22" i="167" s="1"/>
  <c r="M21" i="167" a="1"/>
  <c r="M21" i="167" s="1"/>
  <c r="K21" i="167" a="1"/>
  <c r="K21" i="167" s="1"/>
  <c r="I21" i="167" a="1"/>
  <c r="I21" i="167" s="1"/>
  <c r="M20" i="167" a="1"/>
  <c r="M20" i="167" s="1"/>
  <c r="K20" i="167" a="1"/>
  <c r="K20" i="167" s="1"/>
  <c r="I20" i="167" a="1"/>
  <c r="I20" i="167" s="1"/>
  <c r="M19" i="167" a="1"/>
  <c r="M19" i="167" s="1"/>
  <c r="K19" i="167" a="1"/>
  <c r="K19" i="167" s="1"/>
  <c r="I19" i="167" a="1"/>
  <c r="I19" i="167" s="1"/>
  <c r="M18" i="167" a="1"/>
  <c r="M18" i="167" s="1"/>
  <c r="K18" i="167" a="1"/>
  <c r="K18" i="167" s="1"/>
  <c r="I18" i="167" a="1"/>
  <c r="I18" i="167" s="1"/>
  <c r="M17" i="167" a="1"/>
  <c r="M17" i="167" s="1"/>
  <c r="K17" i="167" a="1"/>
  <c r="K17" i="167" s="1"/>
  <c r="I17" i="167" a="1"/>
  <c r="I17" i="167" s="1"/>
  <c r="M16" i="167" a="1"/>
  <c r="M16" i="167" s="1"/>
  <c r="K16" i="167" a="1"/>
  <c r="K16" i="167" s="1"/>
  <c r="I16" i="167" a="1"/>
  <c r="I16" i="167" s="1"/>
  <c r="M15" i="167" a="1"/>
  <c r="M15" i="167" s="1"/>
  <c r="K15" i="167" a="1"/>
  <c r="K15" i="167" s="1"/>
  <c r="I15" i="167" a="1"/>
  <c r="I15" i="167" s="1"/>
  <c r="M14" i="167" a="1"/>
  <c r="M14" i="167" s="1"/>
  <c r="K14" i="167" a="1"/>
  <c r="K14" i="167" s="1"/>
  <c r="I14" i="167" a="1"/>
  <c r="I14" i="167" s="1"/>
  <c r="M13" i="167" a="1"/>
  <c r="M13" i="167" s="1"/>
  <c r="K13" i="167" a="1"/>
  <c r="K13" i="167" s="1"/>
  <c r="I13" i="167" a="1"/>
  <c r="I13" i="167" s="1"/>
  <c r="M12" i="167" a="1"/>
  <c r="M12" i="167" s="1"/>
  <c r="K12" i="167" a="1"/>
  <c r="K12" i="167" s="1"/>
  <c r="I12" i="167" a="1"/>
  <c r="I12" i="167" s="1"/>
  <c r="M11" i="167" a="1"/>
  <c r="M11" i="167" s="1"/>
  <c r="K11" i="167" a="1"/>
  <c r="K11" i="167" s="1"/>
  <c r="I11" i="167" a="1"/>
  <c r="I11" i="167" s="1"/>
  <c r="M10" i="167" a="1"/>
  <c r="M10" i="167" s="1"/>
  <c r="K10" i="167" a="1"/>
  <c r="K10" i="167" s="1"/>
  <c r="I10" i="167" a="1"/>
  <c r="I10" i="167" s="1"/>
  <c r="F85" i="167" a="1"/>
  <c r="F85" i="167" s="1"/>
  <c r="F84" i="167" a="1"/>
  <c r="F84" i="167" s="1"/>
  <c r="F83" i="167" a="1"/>
  <c r="F83" i="167" s="1"/>
  <c r="F82" i="167" a="1"/>
  <c r="F82" i="167" s="1"/>
  <c r="F79" i="167" a="1"/>
  <c r="F79" i="167" s="1"/>
  <c r="F78" i="167" a="1"/>
  <c r="F78" i="167" s="1"/>
  <c r="F77" i="167" a="1"/>
  <c r="F77" i="167" s="1"/>
  <c r="F76" i="167" a="1"/>
  <c r="F76" i="167" s="1"/>
  <c r="F75" i="167" a="1"/>
  <c r="F75" i="167" s="1"/>
  <c r="F74" i="167" a="1"/>
  <c r="F74" i="167" s="1"/>
  <c r="F73" i="167" a="1"/>
  <c r="F73" i="167" s="1"/>
  <c r="F64" i="167" a="1"/>
  <c r="F64" i="167" s="1"/>
  <c r="F62" i="167" a="1"/>
  <c r="F62" i="167" s="1"/>
  <c r="F61" i="167" a="1"/>
  <c r="F61" i="167" s="1"/>
  <c r="F60" i="167" a="1"/>
  <c r="F60" i="167" s="1"/>
  <c r="F59" i="167" a="1"/>
  <c r="F59" i="167" s="1"/>
  <c r="F58" i="167" a="1"/>
  <c r="F58" i="167" s="1"/>
  <c r="F57" i="167" a="1"/>
  <c r="F57" i="167" s="1"/>
  <c r="F56" i="167" a="1"/>
  <c r="F56" i="167" s="1"/>
  <c r="F55" i="167" a="1"/>
  <c r="F55" i="167" s="1"/>
  <c r="F54" i="167" a="1"/>
  <c r="F54" i="167" s="1"/>
  <c r="F53" i="167" a="1"/>
  <c r="F53" i="167" s="1"/>
  <c r="F52" i="167" a="1"/>
  <c r="F52" i="167" s="1"/>
  <c r="F51" i="167" a="1"/>
  <c r="F51" i="167" s="1"/>
  <c r="F50" i="167" a="1"/>
  <c r="F50" i="167" s="1"/>
  <c r="F49" i="167" a="1"/>
  <c r="F49" i="167" s="1"/>
  <c r="F48" i="167" a="1"/>
  <c r="F48" i="167" s="1"/>
  <c r="F47" i="167" a="1"/>
  <c r="F47" i="167" s="1"/>
  <c r="F46" i="167" a="1"/>
  <c r="F46" i="167" s="1"/>
  <c r="F45" i="167" a="1"/>
  <c r="F45" i="167" s="1"/>
  <c r="F44" i="167" a="1"/>
  <c r="F44" i="167" s="1"/>
  <c r="F43" i="167" a="1"/>
  <c r="F43" i="167" s="1"/>
  <c r="F42" i="167" a="1"/>
  <c r="F42" i="167" s="1"/>
  <c r="F41" i="167" a="1"/>
  <c r="F41" i="167" s="1"/>
  <c r="F40" i="167" a="1"/>
  <c r="F40" i="167" s="1"/>
  <c r="F39" i="167" a="1"/>
  <c r="F39" i="167" s="1"/>
  <c r="F38" i="167" a="1"/>
  <c r="F38" i="167" s="1"/>
  <c r="F37" i="167" a="1"/>
  <c r="F37" i="167" s="1"/>
  <c r="F32" i="167" a="1"/>
  <c r="F32" i="167" s="1"/>
  <c r="F31" i="167" a="1"/>
  <c r="F31" i="167" s="1"/>
  <c r="F30" i="167" a="1"/>
  <c r="F30" i="167" s="1"/>
  <c r="F29" i="167" a="1"/>
  <c r="F29" i="167" s="1"/>
  <c r="F28" i="167" a="1"/>
  <c r="F28" i="167" s="1"/>
  <c r="F27" i="167" a="1"/>
  <c r="F27" i="167" s="1"/>
  <c r="F26" i="167" a="1"/>
  <c r="F26" i="167" s="1"/>
  <c r="F25" i="167" a="1"/>
  <c r="F25" i="167" s="1"/>
  <c r="F24" i="167" a="1"/>
  <c r="F24" i="167" s="1"/>
  <c r="F23" i="167" a="1"/>
  <c r="F23" i="167" s="1"/>
  <c r="F22" i="167" a="1"/>
  <c r="F22" i="167" s="1"/>
  <c r="F21" i="167" a="1"/>
  <c r="F21" i="167" s="1"/>
  <c r="AJ22" i="167"/>
  <c r="F20" i="167" a="1"/>
  <c r="F20" i="167" s="1"/>
  <c r="AI21" i="167"/>
  <c r="AI13" i="167" s="1"/>
  <c r="AH21" i="167"/>
  <c r="AH13" i="167" s="1"/>
  <c r="F19" i="167" a="1"/>
  <c r="F19" i="167" s="1"/>
  <c r="F18" i="167" a="1"/>
  <c r="F18" i="167" s="1"/>
  <c r="F17" i="167" a="1"/>
  <c r="F17" i="167" s="1"/>
  <c r="F16" i="167" a="1"/>
  <c r="F16" i="167" s="1"/>
  <c r="F15" i="167" a="1"/>
  <c r="F15" i="167" s="1"/>
  <c r="F14" i="167" a="1"/>
  <c r="F14" i="167" s="1"/>
  <c r="AI14" i="167"/>
  <c r="AH14" i="167"/>
  <c r="F13" i="167" a="1"/>
  <c r="F13" i="167" s="1"/>
  <c r="F12" i="167" a="1"/>
  <c r="F12" i="167" s="1"/>
  <c r="F11" i="167" a="1"/>
  <c r="F11" i="167" s="1"/>
  <c r="F10" i="167" a="1"/>
  <c r="F10" i="167" s="1"/>
  <c r="B10" i="167"/>
  <c r="K7" i="167"/>
  <c r="I7" i="167"/>
  <c r="P7" i="167" s="1"/>
  <c r="F7" i="167" a="1"/>
  <c r="F7" i="167" s="1"/>
  <c r="AH4" i="167"/>
  <c r="AJ14" i="167" l="1"/>
  <c r="AJ21" i="167"/>
  <c r="AH23" i="167"/>
  <c r="AJ23" i="167" s="1"/>
  <c r="AJ13" i="167"/>
  <c r="AH15" i="167"/>
  <c r="AJ15" i="167" s="1"/>
  <c r="I67" i="167"/>
  <c r="K67" i="167"/>
  <c r="I34" i="167"/>
  <c r="K34" i="167"/>
  <c r="R7" i="167"/>
  <c r="B11" i="167"/>
  <c r="W28" i="164"/>
  <c r="Y28" i="164" s="1"/>
  <c r="P28" i="164" s="1"/>
  <c r="R28" i="164"/>
  <c r="K69" i="167" l="1"/>
  <c r="AJ24" i="167"/>
  <c r="AJ16" i="167"/>
  <c r="M7" i="167" s="1"/>
  <c r="I69" i="167"/>
  <c r="B12" i="167"/>
  <c r="Y91" i="164"/>
  <c r="P91" i="164" s="1"/>
  <c r="R91" i="164"/>
  <c r="Y57" i="164"/>
  <c r="P57" i="164" s="1"/>
  <c r="R57" i="164"/>
  <c r="W68" i="164"/>
  <c r="Y68" i="164" s="1"/>
  <c r="P68" i="164" s="1"/>
  <c r="R68" i="164"/>
  <c r="K90" i="167" l="1"/>
  <c r="T7" i="167"/>
  <c r="I90" i="167"/>
  <c r="M67" i="167"/>
  <c r="M34" i="167"/>
  <c r="AA13" i="164"/>
  <c r="M69" i="167" l="1"/>
  <c r="K95" i="167" s="1"/>
  <c r="M95" i="167" s="1"/>
  <c r="B13" i="167"/>
  <c r="B14" i="167" s="1"/>
  <c r="R76" i="164"/>
  <c r="R102" i="164"/>
  <c r="M90" i="167" l="1"/>
  <c r="K96" i="167" s="1"/>
  <c r="M96" i="167" s="1"/>
  <c r="B15" i="167"/>
  <c r="B16" i="167" l="1"/>
  <c r="AA74" i="164"/>
  <c r="W74" i="164"/>
  <c r="AA96" i="164"/>
  <c r="R96" i="164" s="1"/>
  <c r="W96" i="164"/>
  <c r="Y73" i="164"/>
  <c r="B17" i="167" l="1"/>
  <c r="B18" i="167" s="1"/>
  <c r="W76" i="164"/>
  <c r="Y76" i="164" s="1"/>
  <c r="P76" i="164" s="1"/>
  <c r="B19" i="167" l="1"/>
  <c r="B20" i="167" s="1"/>
  <c r="B21" i="167" s="1"/>
  <c r="B22" i="167" s="1"/>
  <c r="B23" i="167" s="1"/>
  <c r="B24" i="167" s="1"/>
  <c r="B25" i="167" s="1"/>
  <c r="B26" i="167" s="1"/>
  <c r="B27" i="167" s="1"/>
  <c r="B28" i="167" s="1"/>
  <c r="B29" i="167" s="1"/>
  <c r="B30" i="167" s="1"/>
  <c r="B31" i="167" s="1"/>
  <c r="B32" i="167" s="1"/>
  <c r="B37" i="167" s="1"/>
  <c r="B38" i="167" s="1"/>
  <c r="B39" i="167" s="1"/>
  <c r="B40" i="167" s="1"/>
  <c r="B41" i="167" s="1"/>
  <c r="B42" i="167" s="1"/>
  <c r="B43" i="167" s="1"/>
  <c r="B44" i="167" s="1"/>
  <c r="B45" i="167" s="1"/>
  <c r="B46" i="167" s="1"/>
  <c r="B47" i="167" s="1"/>
  <c r="B48" i="167" s="1"/>
  <c r="B49" i="167" s="1"/>
  <c r="B50" i="167" s="1"/>
  <c r="B51" i="167" s="1"/>
  <c r="B52" i="167" s="1"/>
  <c r="B53" i="167" s="1"/>
  <c r="B54" i="167" s="1"/>
  <c r="B55" i="167" s="1"/>
  <c r="B56" i="167" s="1"/>
  <c r="B57" i="167" s="1"/>
  <c r="B58" i="167" s="1"/>
  <c r="B59" i="167" s="1"/>
  <c r="B60" i="167" s="1"/>
  <c r="B61" i="167" s="1"/>
  <c r="B62" i="167" s="1"/>
  <c r="B63" i="167" s="1"/>
  <c r="B64" i="167" s="1"/>
  <c r="B65" i="167" s="1"/>
  <c r="B72" i="167" s="1"/>
  <c r="B73" i="167" s="1"/>
  <c r="B74" i="167" s="1"/>
  <c r="B75" i="167" s="1"/>
  <c r="B76" i="167" s="1"/>
  <c r="B77" i="167" s="1"/>
  <c r="B78" i="167" s="1"/>
  <c r="B79" i="167" s="1"/>
  <c r="B80" i="167" s="1"/>
  <c r="B81" i="167" s="1"/>
  <c r="B82" i="167" s="1"/>
  <c r="B83" i="167" s="1"/>
  <c r="B84" i="167" s="1"/>
  <c r="B85" i="167" s="1"/>
  <c r="B86" i="167" s="1"/>
  <c r="B87" i="167" s="1"/>
  <c r="B90" i="167" s="1"/>
  <c r="W102" i="164"/>
  <c r="Y102" i="164" s="1"/>
  <c r="P102" i="164" s="1"/>
  <c r="R74" i="164"/>
  <c r="K34" i="162" l="1"/>
  <c r="H34" i="162"/>
  <c r="H7" i="162"/>
  <c r="W103" i="164"/>
  <c r="AA103" i="164"/>
  <c r="R103" i="164" s="1"/>
  <c r="W85" i="164"/>
  <c r="R85" i="164"/>
  <c r="W43" i="164" l="1"/>
  <c r="W42" i="164"/>
  <c r="Y21" i="164" l="1"/>
  <c r="W21" i="164" s="1"/>
  <c r="P21" i="164" l="1"/>
  <c r="R21" i="164"/>
  <c r="W41" i="164"/>
  <c r="R43" i="164"/>
  <c r="R42" i="164"/>
  <c r="R41" i="164"/>
  <c r="R13" i="164" l="1"/>
  <c r="W94" i="164"/>
  <c r="R94" i="164"/>
  <c r="W61" i="164"/>
  <c r="R61" i="164"/>
  <c r="G10" i="165" l="1"/>
  <c r="G8" i="165"/>
  <c r="M7" i="162" l="1"/>
  <c r="K7" i="162"/>
  <c r="K28" i="162"/>
  <c r="M27" i="162"/>
  <c r="K27" i="162"/>
  <c r="F7" i="162" l="1"/>
  <c r="F25" i="111" l="1"/>
  <c r="W89" i="164" l="1"/>
  <c r="R89" i="164"/>
  <c r="W52" i="164"/>
  <c r="R52" i="164"/>
  <c r="E8" i="165" l="1"/>
  <c r="E10" i="165"/>
  <c r="AJ4" i="164"/>
  <c r="AJ14" i="164"/>
  <c r="AK14" i="164"/>
  <c r="AK21" i="164"/>
  <c r="AK13" i="164" s="1"/>
  <c r="AJ21" i="164"/>
  <c r="AJ23" i="164" s="1"/>
  <c r="AL23" i="164" s="1"/>
  <c r="AA78" i="164"/>
  <c r="W78" i="164"/>
  <c r="AA37" i="164"/>
  <c r="W37" i="164"/>
  <c r="Y101" i="164"/>
  <c r="Y100" i="164"/>
  <c r="Y99" i="164"/>
  <c r="Y98" i="164"/>
  <c r="Y97" i="164"/>
  <c r="Y95" i="164"/>
  <c r="Y93" i="164"/>
  <c r="Y92" i="164"/>
  <c r="Y90" i="164"/>
  <c r="Y88" i="164"/>
  <c r="Y87" i="164"/>
  <c r="Y86" i="164"/>
  <c r="Y84" i="164"/>
  <c r="Y75" i="164"/>
  <c r="Y72" i="164"/>
  <c r="Y71" i="164"/>
  <c r="Y70" i="164"/>
  <c r="Y69" i="164"/>
  <c r="Y67" i="164"/>
  <c r="Y66" i="164"/>
  <c r="Y65" i="164"/>
  <c r="Y64" i="164"/>
  <c r="Y63" i="164"/>
  <c r="Y62" i="164"/>
  <c r="Y60" i="164"/>
  <c r="Y59" i="164"/>
  <c r="Y58" i="164"/>
  <c r="Y56" i="164"/>
  <c r="Y55" i="164"/>
  <c r="Y54" i="164"/>
  <c r="Y53" i="164"/>
  <c r="Y51" i="164"/>
  <c r="Y50" i="164"/>
  <c r="Y49" i="164"/>
  <c r="Y48" i="164"/>
  <c r="Y47" i="164"/>
  <c r="Y46" i="164"/>
  <c r="Y45" i="164"/>
  <c r="Y44" i="164"/>
  <c r="Y40" i="164"/>
  <c r="Y35" i="164"/>
  <c r="Y34" i="164"/>
  <c r="Y33" i="164"/>
  <c r="Y32" i="164"/>
  <c r="Y31" i="164"/>
  <c r="Y30" i="164"/>
  <c r="Y29" i="164"/>
  <c r="Y27" i="164"/>
  <c r="Y26" i="164"/>
  <c r="Y25" i="164"/>
  <c r="Y24" i="164"/>
  <c r="Y23" i="164"/>
  <c r="Y22" i="164"/>
  <c r="Y20" i="164"/>
  <c r="Y19" i="164"/>
  <c r="Y18" i="164"/>
  <c r="Y17" i="164"/>
  <c r="Y16" i="164"/>
  <c r="Y15" i="164"/>
  <c r="Y14" i="164"/>
  <c r="Y12" i="164"/>
  <c r="Y11" i="164"/>
  <c r="R101" i="164"/>
  <c r="F101" i="164" a="1"/>
  <c r="F101" i="164" s="1"/>
  <c r="R100" i="164"/>
  <c r="F100" i="164" a="1"/>
  <c r="F100" i="164" s="1"/>
  <c r="AA80" i="164" l="1"/>
  <c r="AA83" i="164" s="1"/>
  <c r="P100" i="164"/>
  <c r="W80" i="164"/>
  <c r="W83" i="164" s="1"/>
  <c r="AL21" i="164"/>
  <c r="AJ13" i="164"/>
  <c r="P101" i="164"/>
  <c r="AA106" i="164" l="1"/>
  <c r="W106" i="164"/>
  <c r="AJ15" i="164"/>
  <c r="AL15" i="164" s="1"/>
  <c r="AL13" i="164"/>
  <c r="R99" i="164"/>
  <c r="F99" i="164" a="1"/>
  <c r="F99" i="164" s="1"/>
  <c r="R98" i="164"/>
  <c r="F98" i="164" a="1"/>
  <c r="F98" i="164" s="1"/>
  <c r="P97" i="164"/>
  <c r="F97" i="164" a="1"/>
  <c r="F97" i="164" s="1"/>
  <c r="R95" i="164"/>
  <c r="P95" i="164"/>
  <c r="F95" i="164" a="1"/>
  <c r="F95" i="164" s="1"/>
  <c r="R93" i="164"/>
  <c r="P93" i="164"/>
  <c r="F93" i="164" a="1"/>
  <c r="F93" i="164" s="1"/>
  <c r="R92" i="164"/>
  <c r="F92" i="164" a="1"/>
  <c r="F92" i="164" s="1"/>
  <c r="R90" i="164"/>
  <c r="F90" i="164" a="1"/>
  <c r="F90" i="164" s="1"/>
  <c r="F88" i="164" a="1"/>
  <c r="F88" i="164" s="1"/>
  <c r="R87" i="164"/>
  <c r="F87" i="164" a="1"/>
  <c r="F87" i="164" s="1"/>
  <c r="R86" i="164"/>
  <c r="F86" i="164" a="1"/>
  <c r="F86" i="164" s="1"/>
  <c r="P84" i="164"/>
  <c r="F84" i="164" a="1"/>
  <c r="F84" i="164" s="1"/>
  <c r="P75" i="164"/>
  <c r="F75" i="164" a="1"/>
  <c r="F75" i="164" s="1"/>
  <c r="P73" i="164"/>
  <c r="F73" i="164" a="1"/>
  <c r="F73" i="164" s="1"/>
  <c r="R72" i="164"/>
  <c r="F72" i="164" a="1"/>
  <c r="F72" i="164" s="1"/>
  <c r="R71" i="164"/>
  <c r="F71" i="164" a="1"/>
  <c r="F71" i="164" s="1"/>
  <c r="R70" i="164"/>
  <c r="F70" i="164" a="1"/>
  <c r="F70" i="164" s="1"/>
  <c r="F69" i="164" a="1"/>
  <c r="F69" i="164" s="1"/>
  <c r="R67" i="164"/>
  <c r="F67" i="164" a="1"/>
  <c r="F67" i="164" s="1"/>
  <c r="R66" i="164"/>
  <c r="P66" i="164"/>
  <c r="F66" i="164" a="1"/>
  <c r="F66" i="164" s="1"/>
  <c r="P65" i="164"/>
  <c r="F65" i="164" a="1"/>
  <c r="F65" i="164" s="1"/>
  <c r="R64" i="164"/>
  <c r="F64" i="164" a="1"/>
  <c r="F64" i="164" s="1"/>
  <c r="R63" i="164"/>
  <c r="F63" i="164" a="1"/>
  <c r="F63" i="164" s="1"/>
  <c r="R62" i="164"/>
  <c r="P62" i="164"/>
  <c r="F62" i="164" a="1"/>
  <c r="F62" i="164" s="1"/>
  <c r="R60" i="164"/>
  <c r="F60" i="164" a="1"/>
  <c r="F60" i="164" s="1"/>
  <c r="R59" i="164"/>
  <c r="F59" i="164" a="1"/>
  <c r="F59" i="164" s="1"/>
  <c r="R58" i="164"/>
  <c r="F58" i="164" a="1"/>
  <c r="F58" i="164" s="1"/>
  <c r="R56" i="164"/>
  <c r="P56" i="164"/>
  <c r="F56" i="164" a="1"/>
  <c r="F56" i="164" s="1"/>
  <c r="F55" i="164" a="1"/>
  <c r="F55" i="164" s="1"/>
  <c r="R54" i="164"/>
  <c r="F54" i="164" a="1"/>
  <c r="F54" i="164" s="1"/>
  <c r="R53" i="164"/>
  <c r="F53" i="164" a="1"/>
  <c r="F53" i="164" s="1"/>
  <c r="R51" i="164"/>
  <c r="P51" i="164"/>
  <c r="F51" i="164" a="1"/>
  <c r="F51" i="164" s="1"/>
  <c r="R50" i="164"/>
  <c r="F50" i="164" a="1"/>
  <c r="F50" i="164" s="1"/>
  <c r="R49" i="164"/>
  <c r="F49" i="164" a="1"/>
  <c r="F49" i="164" s="1"/>
  <c r="F48" i="164" a="1"/>
  <c r="F48" i="164" s="1"/>
  <c r="F47" i="164" a="1"/>
  <c r="F47" i="164" s="1"/>
  <c r="R46" i="164"/>
  <c r="P46" i="164"/>
  <c r="F46" i="164" a="1"/>
  <c r="F46" i="164" s="1"/>
  <c r="R45" i="164"/>
  <c r="F45" i="164" a="1"/>
  <c r="F45" i="164" s="1"/>
  <c r="R44" i="164"/>
  <c r="F44" i="164" a="1"/>
  <c r="F44" i="164" s="1"/>
  <c r="P40" i="164"/>
  <c r="F40" i="164" a="1"/>
  <c r="F40" i="164" s="1"/>
  <c r="R35" i="164"/>
  <c r="F35" i="164" a="1"/>
  <c r="F35" i="164" s="1"/>
  <c r="R34" i="164"/>
  <c r="F34" i="164" a="1"/>
  <c r="F34" i="164" s="1"/>
  <c r="R33" i="164"/>
  <c r="F33" i="164" a="1"/>
  <c r="F33" i="164" s="1"/>
  <c r="R32" i="164"/>
  <c r="F32" i="164" a="1"/>
  <c r="F32" i="164" s="1"/>
  <c r="P31" i="164"/>
  <c r="F31" i="164" a="1"/>
  <c r="F31" i="164" s="1"/>
  <c r="R30" i="164"/>
  <c r="F30" i="164" a="1"/>
  <c r="F30" i="164" s="1"/>
  <c r="R29" i="164"/>
  <c r="F29" i="164" a="1"/>
  <c r="F29" i="164" s="1"/>
  <c r="R27" i="164"/>
  <c r="P27" i="164"/>
  <c r="F27" i="164" a="1"/>
  <c r="F27" i="164" s="1"/>
  <c r="R26" i="164"/>
  <c r="F26" i="164" a="1"/>
  <c r="F26" i="164" s="1"/>
  <c r="R25" i="164"/>
  <c r="F25" i="164" a="1"/>
  <c r="F25" i="164" s="1"/>
  <c r="F24" i="164" a="1"/>
  <c r="F24" i="164" s="1"/>
  <c r="R23" i="164"/>
  <c r="F23" i="164" a="1"/>
  <c r="F23" i="164" s="1"/>
  <c r="F22" i="164" a="1"/>
  <c r="F22" i="164" s="1"/>
  <c r="R20" i="164"/>
  <c r="F20" i="164" a="1"/>
  <c r="F20" i="164" s="1"/>
  <c r="R19" i="164"/>
  <c r="P19" i="164"/>
  <c r="F19" i="164" a="1"/>
  <c r="F19" i="164" s="1"/>
  <c r="R18" i="164"/>
  <c r="F18" i="164" a="1"/>
  <c r="F18" i="164" s="1"/>
  <c r="R17" i="164"/>
  <c r="F17" i="164" a="1"/>
  <c r="F17" i="164" s="1"/>
  <c r="R16" i="164"/>
  <c r="F16" i="164" a="1"/>
  <c r="F16" i="164" s="1"/>
  <c r="R15" i="164"/>
  <c r="F15" i="164" a="1"/>
  <c r="F15" i="164" s="1"/>
  <c r="R14" i="164"/>
  <c r="F14" i="164" a="1"/>
  <c r="F14" i="164" s="1"/>
  <c r="R12" i="164"/>
  <c r="F12" i="164" a="1"/>
  <c r="F12" i="164" s="1"/>
  <c r="R11" i="164"/>
  <c r="F11" i="164" a="1"/>
  <c r="F11" i="164" s="1"/>
  <c r="F10" i="164" a="1"/>
  <c r="F10" i="164" s="1"/>
  <c r="F7" i="164" a="1"/>
  <c r="F7" i="164" s="1"/>
  <c r="K7" i="164"/>
  <c r="P99" i="164"/>
  <c r="R97" i="164"/>
  <c r="P92" i="164"/>
  <c r="P87" i="164"/>
  <c r="R84" i="164"/>
  <c r="R75" i="164"/>
  <c r="P72" i="164"/>
  <c r="P69" i="164"/>
  <c r="R69" i="164"/>
  <c r="R65" i="164"/>
  <c r="P60" i="164"/>
  <c r="P59" i="164"/>
  <c r="R55" i="164"/>
  <c r="P53" i="164"/>
  <c r="R48" i="164"/>
  <c r="P44" i="164"/>
  <c r="R31" i="164"/>
  <c r="P25" i="164"/>
  <c r="AL22" i="164"/>
  <c r="AL24" i="164" s="1"/>
  <c r="R24" i="164"/>
  <c r="R22" i="164"/>
  <c r="AL14" i="164"/>
  <c r="Y10" i="164"/>
  <c r="B10" i="164"/>
  <c r="H27" i="162"/>
  <c r="AY81" i="113"/>
  <c r="AY80" i="113"/>
  <c r="AY79" i="113"/>
  <c r="AY78" i="113"/>
  <c r="AY77" i="113"/>
  <c r="AY76" i="113"/>
  <c r="AY74" i="113"/>
  <c r="AY73" i="113"/>
  <c r="AY72" i="113"/>
  <c r="AY71" i="113"/>
  <c r="AY70" i="113"/>
  <c r="AY69" i="113"/>
  <c r="AY68" i="113"/>
  <c r="AY66" i="113"/>
  <c r="AY65" i="113"/>
  <c r="AY64" i="113"/>
  <c r="AY63" i="113"/>
  <c r="AY62" i="113"/>
  <c r="AY61" i="113"/>
  <c r="AY55" i="113"/>
  <c r="AY54" i="113"/>
  <c r="AY52" i="113"/>
  <c r="AY51" i="113"/>
  <c r="AY49" i="113"/>
  <c r="AY47" i="113"/>
  <c r="AY46" i="113"/>
  <c r="AY45" i="113"/>
  <c r="AY44" i="113"/>
  <c r="AY43" i="113"/>
  <c r="AY42" i="113"/>
  <c r="AY39" i="113"/>
  <c r="AY38" i="113"/>
  <c r="AY37" i="113"/>
  <c r="AY35" i="113"/>
  <c r="AY34" i="113"/>
  <c r="AY33" i="113"/>
  <c r="AY32" i="113"/>
  <c r="AY31" i="113"/>
  <c r="AY28" i="113"/>
  <c r="AY27" i="113"/>
  <c r="AY26" i="113"/>
  <c r="AY25" i="113"/>
  <c r="AY24" i="113"/>
  <c r="AY23" i="113"/>
  <c r="AY19" i="113"/>
  <c r="AY18" i="113"/>
  <c r="AY17" i="113"/>
  <c r="AY16" i="113"/>
  <c r="AY15" i="113"/>
  <c r="AY14" i="113"/>
  <c r="AY11" i="113"/>
  <c r="AY10" i="113"/>
  <c r="AY9" i="113"/>
  <c r="AY8" i="113"/>
  <c r="AY7" i="113"/>
  <c r="AU81" i="113"/>
  <c r="AU80" i="113"/>
  <c r="AU79" i="113"/>
  <c r="AU78" i="113"/>
  <c r="AU77" i="113"/>
  <c r="AU76" i="113"/>
  <c r="AU74" i="113"/>
  <c r="AU73" i="113"/>
  <c r="AU72" i="113"/>
  <c r="AU71" i="113"/>
  <c r="AU70" i="113"/>
  <c r="AU69" i="113"/>
  <c r="AU68" i="113"/>
  <c r="AU66" i="113"/>
  <c r="AU65" i="113"/>
  <c r="AU64" i="113"/>
  <c r="AU63" i="113"/>
  <c r="AU62" i="113"/>
  <c r="AU61" i="113"/>
  <c r="AU55" i="113"/>
  <c r="AU54" i="113"/>
  <c r="AU52" i="113"/>
  <c r="AU51" i="113"/>
  <c r="AU49" i="113"/>
  <c r="AU47" i="113"/>
  <c r="AU46" i="113"/>
  <c r="AU45" i="113"/>
  <c r="AU44" i="113"/>
  <c r="AU43" i="113"/>
  <c r="AU42" i="113"/>
  <c r="AU39" i="113"/>
  <c r="AU38" i="113"/>
  <c r="AU37" i="113"/>
  <c r="AU35" i="113"/>
  <c r="AU34" i="113"/>
  <c r="AU33" i="113"/>
  <c r="AU32" i="113"/>
  <c r="AU31" i="113"/>
  <c r="AU28" i="113"/>
  <c r="AU27" i="113"/>
  <c r="AU26" i="113"/>
  <c r="AU25" i="113"/>
  <c r="AU24" i="113"/>
  <c r="AU23" i="113"/>
  <c r="AU19" i="113"/>
  <c r="AU18" i="113"/>
  <c r="AU17" i="113"/>
  <c r="AU16" i="113"/>
  <c r="AU15" i="113"/>
  <c r="AU14" i="113"/>
  <c r="AU11" i="113"/>
  <c r="AU10" i="113"/>
  <c r="AU9" i="113"/>
  <c r="AU8" i="113"/>
  <c r="AU7" i="113"/>
  <c r="AT81" i="113"/>
  <c r="AT80" i="113"/>
  <c r="AT79" i="113"/>
  <c r="AT78" i="113"/>
  <c r="AT77" i="113"/>
  <c r="AT76" i="113"/>
  <c r="AT74" i="113"/>
  <c r="AT73" i="113"/>
  <c r="AT72" i="113"/>
  <c r="AT71" i="113"/>
  <c r="AT70" i="113"/>
  <c r="AT69" i="113"/>
  <c r="AT68" i="113"/>
  <c r="AT66" i="113"/>
  <c r="AT65" i="113"/>
  <c r="AT64" i="113"/>
  <c r="AT63" i="113"/>
  <c r="AT62" i="113"/>
  <c r="AT61" i="113"/>
  <c r="AT55" i="113"/>
  <c r="AT54" i="113"/>
  <c r="AT52" i="113"/>
  <c r="AT51" i="113"/>
  <c r="AT49" i="113"/>
  <c r="AT47" i="113"/>
  <c r="AT46" i="113"/>
  <c r="AT45" i="113"/>
  <c r="AT44" i="113"/>
  <c r="AT43" i="113"/>
  <c r="AT42" i="113"/>
  <c r="AT39" i="113"/>
  <c r="AT38" i="113"/>
  <c r="AT37" i="113"/>
  <c r="AT35" i="113"/>
  <c r="AT34" i="113"/>
  <c r="AT33" i="113"/>
  <c r="AT32" i="113"/>
  <c r="AT31" i="113"/>
  <c r="AT28" i="113"/>
  <c r="AT27" i="113"/>
  <c r="AT26" i="113"/>
  <c r="AT25" i="113"/>
  <c r="AT24" i="113"/>
  <c r="AT23" i="113"/>
  <c r="AT19" i="113"/>
  <c r="AT18" i="113"/>
  <c r="AT17" i="113"/>
  <c r="AT16" i="113"/>
  <c r="AT15" i="113"/>
  <c r="AT14" i="113"/>
  <c r="AT11" i="113"/>
  <c r="AT10" i="113"/>
  <c r="AT9" i="113"/>
  <c r="AT8" i="113"/>
  <c r="AT7" i="113"/>
  <c r="AM81" i="113"/>
  <c r="AM80" i="113"/>
  <c r="AM79" i="113"/>
  <c r="AM78" i="113"/>
  <c r="AM77" i="113"/>
  <c r="AM76" i="113"/>
  <c r="AM74" i="113"/>
  <c r="AM73" i="113"/>
  <c r="AM72" i="113"/>
  <c r="AM71" i="113"/>
  <c r="AM70" i="113"/>
  <c r="AM69" i="113"/>
  <c r="AM68" i="113"/>
  <c r="AM66" i="113"/>
  <c r="AM65" i="113"/>
  <c r="AM64" i="113"/>
  <c r="AM63" i="113"/>
  <c r="AM62" i="113"/>
  <c r="AM61" i="113"/>
  <c r="AM55" i="113"/>
  <c r="AM54" i="113"/>
  <c r="AM52" i="113"/>
  <c r="AM51" i="113"/>
  <c r="AM49" i="113"/>
  <c r="AM47" i="113"/>
  <c r="AM46" i="113"/>
  <c r="AM45" i="113"/>
  <c r="AM44" i="113"/>
  <c r="AM43" i="113"/>
  <c r="AM42" i="113"/>
  <c r="AM39" i="113"/>
  <c r="AM38" i="113"/>
  <c r="AM37" i="113"/>
  <c r="AM35" i="113"/>
  <c r="AM34" i="113"/>
  <c r="AM33" i="113"/>
  <c r="AM32" i="113"/>
  <c r="AM31" i="113"/>
  <c r="AM28" i="113"/>
  <c r="AM27" i="113"/>
  <c r="AM26" i="113"/>
  <c r="AM25" i="113"/>
  <c r="AM24" i="113"/>
  <c r="AM23" i="113"/>
  <c r="AM19" i="113"/>
  <c r="AM18" i="113"/>
  <c r="AM17" i="113"/>
  <c r="AM16" i="113"/>
  <c r="AM15" i="113"/>
  <c r="AM14" i="113"/>
  <c r="AM11" i="113"/>
  <c r="AM10" i="113"/>
  <c r="AM9" i="113"/>
  <c r="AM8" i="113"/>
  <c r="AM7" i="113"/>
  <c r="Y96" i="164" l="1"/>
  <c r="P96" i="164" s="1"/>
  <c r="Y103" i="164"/>
  <c r="P103" i="164" s="1"/>
  <c r="Y85" i="164"/>
  <c r="P85" i="164" s="1"/>
  <c r="Y94" i="164"/>
  <c r="P94" i="164" s="1"/>
  <c r="Y89" i="164"/>
  <c r="P89" i="164" s="1"/>
  <c r="Y83" i="164"/>
  <c r="Y13" i="164"/>
  <c r="P13" i="164" s="1"/>
  <c r="Y74" i="164"/>
  <c r="P74" i="164" s="1"/>
  <c r="Y42" i="164"/>
  <c r="P42" i="164" s="1"/>
  <c r="Y43" i="164"/>
  <c r="P43" i="164" s="1"/>
  <c r="Y41" i="164"/>
  <c r="Y61" i="164"/>
  <c r="P61" i="164" s="1"/>
  <c r="Y52" i="164"/>
  <c r="P52" i="164" s="1"/>
  <c r="I37" i="164"/>
  <c r="Y37" i="164"/>
  <c r="AL16" i="164"/>
  <c r="R40" i="164"/>
  <c r="K78" i="164"/>
  <c r="R10" i="164"/>
  <c r="R37" i="164" s="1"/>
  <c r="K37" i="164"/>
  <c r="I78" i="164"/>
  <c r="P86" i="164"/>
  <c r="P33" i="164"/>
  <c r="P24" i="164"/>
  <c r="P22" i="164"/>
  <c r="P64" i="164"/>
  <c r="P29" i="164"/>
  <c r="R88" i="164"/>
  <c r="P30" i="164"/>
  <c r="P45" i="164"/>
  <c r="P14" i="164"/>
  <c r="P17" i="164"/>
  <c r="P58" i="164"/>
  <c r="P98" i="164"/>
  <c r="P26" i="164"/>
  <c r="P12" i="164"/>
  <c r="P16" i="164"/>
  <c r="P67" i="164"/>
  <c r="P48" i="164"/>
  <c r="P20" i="164"/>
  <c r="P90" i="164"/>
  <c r="P15" i="164"/>
  <c r="P18" i="164"/>
  <c r="P49" i="164"/>
  <c r="P34" i="164"/>
  <c r="P47" i="164"/>
  <c r="P32" i="164"/>
  <c r="P10" i="164"/>
  <c r="P70" i="164"/>
  <c r="P11" i="164"/>
  <c r="P23" i="164"/>
  <c r="P35" i="164"/>
  <c r="R73" i="164"/>
  <c r="P54" i="164"/>
  <c r="P63" i="164"/>
  <c r="P55" i="164"/>
  <c r="P71" i="164"/>
  <c r="R7" i="164"/>
  <c r="B11" i="164"/>
  <c r="B12" i="164" s="1"/>
  <c r="R47" i="164"/>
  <c r="P88" i="164"/>
  <c r="E15" i="99"/>
  <c r="E38" i="99" s="1"/>
  <c r="E74" i="99" s="1"/>
  <c r="D15" i="99"/>
  <c r="M28" i="164" l="1"/>
  <c r="T28" i="164"/>
  <c r="M57" i="164"/>
  <c r="M91" i="164"/>
  <c r="T91" i="164"/>
  <c r="T57" i="164"/>
  <c r="AC57" i="164" s="1"/>
  <c r="F17" i="162" s="1"/>
  <c r="M68" i="164"/>
  <c r="T68" i="164"/>
  <c r="AC68" i="164" s="1"/>
  <c r="F16" i="162" s="1"/>
  <c r="M102" i="164"/>
  <c r="M76" i="164"/>
  <c r="T76" i="164"/>
  <c r="T102" i="164"/>
  <c r="M96" i="164"/>
  <c r="T96" i="164"/>
  <c r="P41" i="164"/>
  <c r="Y78" i="164"/>
  <c r="Y80" i="164" s="1"/>
  <c r="Y106" i="164" s="1"/>
  <c r="M74" i="164"/>
  <c r="T74" i="164"/>
  <c r="M85" i="164"/>
  <c r="M103" i="164"/>
  <c r="T103" i="164"/>
  <c r="T85" i="164"/>
  <c r="M21" i="164"/>
  <c r="T21" i="164"/>
  <c r="M43" i="164"/>
  <c r="M42" i="164"/>
  <c r="M41" i="164"/>
  <c r="T42" i="164"/>
  <c r="T43" i="164"/>
  <c r="T41" i="164"/>
  <c r="T13" i="164"/>
  <c r="M13" i="164"/>
  <c r="B13" i="164"/>
  <c r="B14" i="164" s="1"/>
  <c r="M94" i="164"/>
  <c r="T94" i="164"/>
  <c r="M61" i="164"/>
  <c r="T61" i="164"/>
  <c r="K80" i="164"/>
  <c r="T89" i="164"/>
  <c r="M89" i="164"/>
  <c r="T52" i="164"/>
  <c r="M52" i="164"/>
  <c r="R78" i="164"/>
  <c r="P37" i="164"/>
  <c r="M70" i="164"/>
  <c r="M75" i="164"/>
  <c r="T72" i="164"/>
  <c r="T48" i="164"/>
  <c r="T22" i="164"/>
  <c r="T24" i="164"/>
  <c r="M11" i="164"/>
  <c r="M30" i="164"/>
  <c r="M33" i="164"/>
  <c r="M87" i="164"/>
  <c r="T67" i="164"/>
  <c r="T95" i="164"/>
  <c r="M25" i="164"/>
  <c r="M98" i="164"/>
  <c r="T33" i="164"/>
  <c r="M64" i="164"/>
  <c r="M97" i="164"/>
  <c r="M59" i="164"/>
  <c r="M66" i="164"/>
  <c r="M63" i="164"/>
  <c r="T47" i="164"/>
  <c r="T32" i="164"/>
  <c r="T23" i="164"/>
  <c r="M71" i="164"/>
  <c r="T27" i="164"/>
  <c r="M35" i="164"/>
  <c r="T97" i="164"/>
  <c r="M45" i="164"/>
  <c r="M53" i="164"/>
  <c r="T86" i="164"/>
  <c r="T92" i="164"/>
  <c r="M26" i="164"/>
  <c r="T84" i="164"/>
  <c r="M40" i="164"/>
  <c r="M55" i="164"/>
  <c r="T53" i="164"/>
  <c r="M10" i="164"/>
  <c r="M73" i="164"/>
  <c r="T35" i="164"/>
  <c r="M46" i="164"/>
  <c r="M31" i="164"/>
  <c r="M54" i="164"/>
  <c r="T98" i="164"/>
  <c r="T66" i="164"/>
  <c r="T71" i="164"/>
  <c r="M15" i="164"/>
  <c r="M56" i="164"/>
  <c r="T75" i="164"/>
  <c r="M14" i="164"/>
  <c r="T51" i="164"/>
  <c r="T49" i="164"/>
  <c r="M95" i="164"/>
  <c r="T99" i="164"/>
  <c r="T100" i="164"/>
  <c r="T101" i="164"/>
  <c r="M101" i="164"/>
  <c r="M100" i="164"/>
  <c r="T14" i="164"/>
  <c r="T15" i="164"/>
  <c r="T20" i="164"/>
  <c r="T55" i="164"/>
  <c r="T69" i="164"/>
  <c r="T10" i="164"/>
  <c r="T62" i="164"/>
  <c r="M58" i="164"/>
  <c r="M20" i="164"/>
  <c r="T46" i="164"/>
  <c r="T60" i="164"/>
  <c r="M16" i="164"/>
  <c r="M34" i="164"/>
  <c r="T59" i="164"/>
  <c r="M17" i="164"/>
  <c r="M32" i="164"/>
  <c r="M29" i="164"/>
  <c r="M23" i="164"/>
  <c r="M67" i="164"/>
  <c r="T29" i="164"/>
  <c r="T90" i="164"/>
  <c r="T45" i="164"/>
  <c r="T73" i="164"/>
  <c r="T87" i="164"/>
  <c r="T88" i="164"/>
  <c r="T44" i="164"/>
  <c r="T17" i="164"/>
  <c r="M19" i="164"/>
  <c r="M44" i="164"/>
  <c r="M65" i="164"/>
  <c r="M18" i="164"/>
  <c r="T12" i="164"/>
  <c r="M62" i="164"/>
  <c r="T40" i="164"/>
  <c r="M24" i="164"/>
  <c r="M51" i="164"/>
  <c r="M93" i="164"/>
  <c r="M69" i="164"/>
  <c r="M49" i="164"/>
  <c r="T70" i="164"/>
  <c r="T25" i="164"/>
  <c r="M84" i="164"/>
  <c r="T16" i="164"/>
  <c r="M60" i="164"/>
  <c r="M27" i="164"/>
  <c r="T63" i="164"/>
  <c r="M22" i="164"/>
  <c r="M88" i="164"/>
  <c r="M86" i="164"/>
  <c r="T11" i="164"/>
  <c r="T54" i="164"/>
  <c r="T65" i="164"/>
  <c r="T30" i="164"/>
  <c r="M47" i="164"/>
  <c r="T34" i="164"/>
  <c r="T56" i="164"/>
  <c r="M12" i="164"/>
  <c r="T26" i="164"/>
  <c r="M48" i="164"/>
  <c r="T93" i="164"/>
  <c r="AC93" i="164" s="1"/>
  <c r="M99" i="164"/>
  <c r="T19" i="164"/>
  <c r="T64" i="164"/>
  <c r="T31" i="164"/>
  <c r="M72" i="164"/>
  <c r="M50" i="164"/>
  <c r="M92" i="164"/>
  <c r="M90" i="164"/>
  <c r="T18" i="164"/>
  <c r="T58" i="164"/>
  <c r="B61" i="99"/>
  <c r="B49" i="99"/>
  <c r="C58" i="3"/>
  <c r="B57" i="48" s="1"/>
  <c r="B58" i="3"/>
  <c r="R21" i="167" l="1" a="1"/>
  <c r="R21" i="167" s="1"/>
  <c r="Y21" i="167" s="1"/>
  <c r="R63" i="167" a="1"/>
  <c r="R63" i="167" s="1"/>
  <c r="Y63" i="167" s="1"/>
  <c r="R87" i="167" a="1"/>
  <c r="R87" i="167" s="1"/>
  <c r="Y87" i="167" s="1"/>
  <c r="R80" i="167" a="1"/>
  <c r="R80" i="167" s="1"/>
  <c r="Y80" i="167" s="1"/>
  <c r="R15" i="167" a="1"/>
  <c r="R15" i="167" s="1"/>
  <c r="Y15" i="167" s="1"/>
  <c r="R30" i="167" a="1"/>
  <c r="R30" i="167" s="1"/>
  <c r="Y30" i="167" s="1"/>
  <c r="R27" i="167" a="1"/>
  <c r="R27" i="167" s="1"/>
  <c r="Y27" i="167" s="1"/>
  <c r="R13" i="167" a="1"/>
  <c r="R13" i="167" s="1"/>
  <c r="Y13" i="167" s="1"/>
  <c r="R58" i="167" a="1"/>
  <c r="R58" i="167" s="1"/>
  <c r="Y58" i="167" s="1"/>
  <c r="R10" i="167" a="1"/>
  <c r="R10" i="167" s="1"/>
  <c r="AC28" i="164"/>
  <c r="F18" i="162" s="1"/>
  <c r="AC91" i="164"/>
  <c r="H17" i="162" s="1"/>
  <c r="AC102" i="164"/>
  <c r="H14" i="162" s="1"/>
  <c r="AC76" i="164"/>
  <c r="F14" i="162" s="1"/>
  <c r="K83" i="164"/>
  <c r="R83" i="164" s="1"/>
  <c r="R16" i="167" s="1" a="1"/>
  <c r="R16" i="167" s="1"/>
  <c r="Y16" i="167" s="1"/>
  <c r="AC74" i="164"/>
  <c r="F11" i="162" s="1"/>
  <c r="AC96" i="164"/>
  <c r="H11" i="162" s="1"/>
  <c r="AC103" i="164"/>
  <c r="H26" i="162" s="1"/>
  <c r="AC41" i="164"/>
  <c r="F20" i="162" s="1"/>
  <c r="AC85" i="164"/>
  <c r="H25" i="162" s="1"/>
  <c r="AC21" i="164"/>
  <c r="F19" i="162" s="1"/>
  <c r="AC43" i="164"/>
  <c r="F22" i="162" s="1"/>
  <c r="AC42" i="164"/>
  <c r="F21" i="162" s="1"/>
  <c r="AC94" i="164"/>
  <c r="H12" i="162" s="1"/>
  <c r="AC61" i="164"/>
  <c r="F12" i="162" s="1"/>
  <c r="B15" i="164"/>
  <c r="B16" i="164" s="1"/>
  <c r="B17" i="164" s="1"/>
  <c r="AC13" i="164"/>
  <c r="F15" i="162" s="1"/>
  <c r="AC89" i="164"/>
  <c r="H13" i="162" s="1"/>
  <c r="AC11" i="164"/>
  <c r="AC63" i="164"/>
  <c r="AC25" i="164"/>
  <c r="AC52" i="164"/>
  <c r="AC16" i="164"/>
  <c r="AC58" i="164"/>
  <c r="R80" i="164"/>
  <c r="R78" i="167" s="1" a="1"/>
  <c r="R78" i="167" s="1"/>
  <c r="Y78" i="167" s="1"/>
  <c r="AC18" i="164"/>
  <c r="AC55" i="164"/>
  <c r="AC44" i="164"/>
  <c r="AC73" i="164"/>
  <c r="AC26" i="164"/>
  <c r="AC17" i="164"/>
  <c r="AC30" i="164"/>
  <c r="AC64" i="164"/>
  <c r="AC29" i="164"/>
  <c r="AC98" i="164"/>
  <c r="M78" i="164"/>
  <c r="AC46" i="164"/>
  <c r="AC45" i="164"/>
  <c r="AC69" i="164"/>
  <c r="AC15" i="164"/>
  <c r="AC27" i="164"/>
  <c r="AC33" i="164"/>
  <c r="AC71" i="164"/>
  <c r="AC60" i="164"/>
  <c r="AC51" i="164"/>
  <c r="AC100" i="164"/>
  <c r="AC54" i="164"/>
  <c r="AC34" i="164"/>
  <c r="AC19" i="164"/>
  <c r="AC66" i="164"/>
  <c r="AC31" i="164"/>
  <c r="AC88" i="164"/>
  <c r="AC75" i="164"/>
  <c r="AC84" i="164"/>
  <c r="AC12" i="164"/>
  <c r="AC20" i="164"/>
  <c r="AC99" i="164"/>
  <c r="AC35" i="164"/>
  <c r="AC92" i="164"/>
  <c r="AC23" i="164"/>
  <c r="AC87" i="164"/>
  <c r="AC86" i="164"/>
  <c r="AC32" i="164"/>
  <c r="AC24" i="164"/>
  <c r="AC40" i="164"/>
  <c r="AC101" i="164"/>
  <c r="AC14" i="164"/>
  <c r="M37" i="164"/>
  <c r="AC47" i="164"/>
  <c r="AC22" i="164"/>
  <c r="AC59" i="164"/>
  <c r="AC62" i="164"/>
  <c r="AC53" i="164"/>
  <c r="AC95" i="164"/>
  <c r="AC48" i="164"/>
  <c r="AC65" i="164"/>
  <c r="AC90" i="164"/>
  <c r="AC49" i="164"/>
  <c r="AC97" i="164"/>
  <c r="AC67" i="164"/>
  <c r="AC72" i="164"/>
  <c r="AC56" i="164"/>
  <c r="AC70" i="164"/>
  <c r="AC10" i="164"/>
  <c r="T37" i="164"/>
  <c r="F27" i="162"/>
  <c r="AZ72" i="1"/>
  <c r="AZ65" i="1"/>
  <c r="AZ73" i="1" s="1"/>
  <c r="AZ76" i="1" s="1"/>
  <c r="AZ80" i="1" s="1"/>
  <c r="AZ45" i="1"/>
  <c r="AZ34" i="1"/>
  <c r="AZ27" i="1"/>
  <c r="AZ16" i="1"/>
  <c r="AZ18" i="1" s="1"/>
  <c r="R75" i="167" l="1" a="1"/>
  <c r="R75" i="167" s="1"/>
  <c r="Y75" i="167" s="1"/>
  <c r="R25" i="167" a="1"/>
  <c r="R25" i="167" s="1"/>
  <c r="Y25" i="167" s="1"/>
  <c r="R54" i="167" a="1"/>
  <c r="R54" i="167" s="1"/>
  <c r="Y54" i="167" s="1"/>
  <c r="R76" i="167" a="1"/>
  <c r="R76" i="167" s="1"/>
  <c r="Y76" i="167" s="1"/>
  <c r="R59" i="167" a="1"/>
  <c r="R59" i="167" s="1"/>
  <c r="Y59" i="167" s="1"/>
  <c r="R56" i="167" a="1"/>
  <c r="R56" i="167" s="1"/>
  <c r="Y56" i="167" s="1"/>
  <c r="R47" i="167" a="1"/>
  <c r="R47" i="167" s="1"/>
  <c r="Y47" i="167" s="1"/>
  <c r="R83" i="167" a="1"/>
  <c r="R83" i="167" s="1"/>
  <c r="Y83" i="167" s="1"/>
  <c r="R72" i="167" a="1"/>
  <c r="R72" i="167" s="1"/>
  <c r="Y72" i="167" s="1"/>
  <c r="R31" i="167" a="1"/>
  <c r="R31" i="167" s="1"/>
  <c r="Y31" i="167" s="1"/>
  <c r="R64" i="167" a="1"/>
  <c r="R64" i="167" s="1"/>
  <c r="Y64" i="167" s="1"/>
  <c r="R44" i="167" a="1"/>
  <c r="R44" i="167" s="1"/>
  <c r="Y44" i="167" s="1"/>
  <c r="R61" i="167" a="1"/>
  <c r="R61" i="167" s="1"/>
  <c r="Y61" i="167" s="1"/>
  <c r="R40" i="167" a="1"/>
  <c r="R40" i="167" s="1"/>
  <c r="Y40" i="167" s="1"/>
  <c r="R29" i="167" a="1"/>
  <c r="R29" i="167" s="1"/>
  <c r="Y29" i="167" s="1"/>
  <c r="R82" i="167" a="1"/>
  <c r="R82" i="167" s="1"/>
  <c r="Y82" i="167" s="1"/>
  <c r="R81" i="167" a="1"/>
  <c r="R81" i="167" s="1"/>
  <c r="Y81" i="167" s="1"/>
  <c r="R22" i="167" a="1"/>
  <c r="R22" i="167" s="1"/>
  <c r="Y22" i="167" s="1"/>
  <c r="R37" i="167" a="1"/>
  <c r="R37" i="167" s="1"/>
  <c r="R74" i="167" a="1"/>
  <c r="R74" i="167" s="1"/>
  <c r="Y74" i="167" s="1"/>
  <c r="R57" i="167" a="1"/>
  <c r="R57" i="167" s="1"/>
  <c r="Y57" i="167" s="1"/>
  <c r="R41" i="167" a="1"/>
  <c r="R41" i="167" s="1"/>
  <c r="Y41" i="167" s="1"/>
  <c r="R24" i="167" a="1"/>
  <c r="R24" i="167" s="1"/>
  <c r="Y24" i="167" s="1"/>
  <c r="R50" i="167" a="1"/>
  <c r="R50" i="167" s="1"/>
  <c r="Y50" i="167" s="1"/>
  <c r="Y10" i="167"/>
  <c r="R45" i="167" a="1"/>
  <c r="R45" i="167" s="1"/>
  <c r="Y45" i="167" s="1"/>
  <c r="R49" i="167" a="1"/>
  <c r="R49" i="167" s="1"/>
  <c r="Y49" i="167" s="1"/>
  <c r="R28" i="167" a="1"/>
  <c r="R28" i="167" s="1"/>
  <c r="Y28" i="167" s="1"/>
  <c r="R55" i="167" a="1"/>
  <c r="R55" i="167" s="1"/>
  <c r="Y55" i="167" s="1"/>
  <c r="R85" i="167" a="1"/>
  <c r="R85" i="167" s="1"/>
  <c r="Y85" i="167" s="1"/>
  <c r="R19" i="167" a="1"/>
  <c r="R19" i="167" s="1"/>
  <c r="Y19" i="167" s="1"/>
  <c r="R18" i="167" a="1"/>
  <c r="R18" i="167" s="1"/>
  <c r="Y18" i="167" s="1"/>
  <c r="R51" i="167" a="1"/>
  <c r="R51" i="167" s="1"/>
  <c r="Y51" i="167" s="1"/>
  <c r="R62" i="167" a="1"/>
  <c r="R62" i="167" s="1"/>
  <c r="Y62" i="167" s="1"/>
  <c r="R38" i="167" a="1"/>
  <c r="R38" i="167" s="1"/>
  <c r="Y38" i="167" s="1"/>
  <c r="R77" i="167" a="1"/>
  <c r="R77" i="167" s="1"/>
  <c r="Y77" i="167" s="1"/>
  <c r="R79" i="167" a="1"/>
  <c r="R79" i="167" s="1"/>
  <c r="Y79" i="167" s="1"/>
  <c r="R42" i="167" a="1"/>
  <c r="R42" i="167" s="1"/>
  <c r="Y42" i="167" s="1"/>
  <c r="R12" i="167" a="1"/>
  <c r="R12" i="167" s="1"/>
  <c r="Y12" i="167" s="1"/>
  <c r="R84" i="167" a="1"/>
  <c r="R84" i="167" s="1"/>
  <c r="Y84" i="167" s="1"/>
  <c r="R53" i="167" a="1"/>
  <c r="R53" i="167" s="1"/>
  <c r="Y53" i="167" s="1"/>
  <c r="R11" i="167" a="1"/>
  <c r="R11" i="167" s="1"/>
  <c r="Y11" i="167" s="1"/>
  <c r="R43" i="167" a="1"/>
  <c r="R43" i="167" s="1"/>
  <c r="Y43" i="167" s="1"/>
  <c r="R48" i="167" a="1"/>
  <c r="R48" i="167" s="1"/>
  <c r="Y48" i="167" s="1"/>
  <c r="R46" i="167" a="1"/>
  <c r="R46" i="167" s="1"/>
  <c r="Y46" i="167" s="1"/>
  <c r="R32" i="167" a="1"/>
  <c r="R32" i="167" s="1"/>
  <c r="Y32" i="167" s="1"/>
  <c r="R86" i="167" a="1"/>
  <c r="R86" i="167" s="1"/>
  <c r="Y86" i="167" s="1"/>
  <c r="R39" i="167" a="1"/>
  <c r="R39" i="167" s="1"/>
  <c r="Y39" i="167" s="1"/>
  <c r="R52" i="167" a="1"/>
  <c r="R52" i="167" s="1"/>
  <c r="Y52" i="167" s="1"/>
  <c r="R60" i="167" a="1"/>
  <c r="R60" i="167" s="1"/>
  <c r="Y60" i="167" s="1"/>
  <c r="R73" i="167" a="1"/>
  <c r="R73" i="167" s="1"/>
  <c r="Y73" i="167" s="1"/>
  <c r="R20" i="167" a="1"/>
  <c r="R20" i="167" s="1"/>
  <c r="Y20" i="167" s="1"/>
  <c r="R23" i="167" a="1"/>
  <c r="R23" i="167" s="1"/>
  <c r="Y23" i="167" s="1"/>
  <c r="R17" i="167" a="1"/>
  <c r="R17" i="167" s="1"/>
  <c r="Y17" i="167" s="1"/>
  <c r="R14" i="167" a="1"/>
  <c r="R14" i="167" s="1"/>
  <c r="Y14" i="167" s="1"/>
  <c r="R26" i="167" a="1"/>
  <c r="R26" i="167" s="1"/>
  <c r="Y26" i="167" s="1"/>
  <c r="R65" i="167" a="1"/>
  <c r="R65" i="167" s="1"/>
  <c r="Y65" i="167" s="1"/>
  <c r="K106" i="164"/>
  <c r="F13" i="162"/>
  <c r="R106" i="164"/>
  <c r="AC37" i="164"/>
  <c r="P50" i="164"/>
  <c r="B18" i="164"/>
  <c r="AZ46" i="1"/>
  <c r="H61" i="99"/>
  <c r="K61" i="99" s="1"/>
  <c r="E58" i="3"/>
  <c r="F57" i="48" s="1"/>
  <c r="G57" i="48" s="1"/>
  <c r="AZ48" i="1"/>
  <c r="R69" i="167" l="1"/>
  <c r="R90" i="167" s="1"/>
  <c r="R67" i="167"/>
  <c r="Y37" i="167"/>
  <c r="Y67" i="167" s="1"/>
  <c r="R34" i="167"/>
  <c r="Y34" i="167"/>
  <c r="Y69" i="167" s="1"/>
  <c r="P78" i="164"/>
  <c r="T50" i="164"/>
  <c r="B19" i="164"/>
  <c r="B20" i="164" s="1"/>
  <c r="AZ51" i="1"/>
  <c r="Y90" i="167" l="1"/>
  <c r="B21" i="164"/>
  <c r="B22" i="164" s="1"/>
  <c r="B23" i="164" s="1"/>
  <c r="B24" i="164" s="1"/>
  <c r="AC50" i="164"/>
  <c r="T78" i="164"/>
  <c r="C46" i="3"/>
  <c r="B45" i="48" s="1"/>
  <c r="B46" i="3"/>
  <c r="AN16" i="1"/>
  <c r="AN18" i="1" s="1"/>
  <c r="AN27" i="1"/>
  <c r="AN34" i="1"/>
  <c r="AN45" i="1"/>
  <c r="AN65" i="1"/>
  <c r="AN72" i="1"/>
  <c r="F28" i="162" l="1"/>
  <c r="AC78" i="164"/>
  <c r="AC80" i="164" s="1"/>
  <c r="B25" i="164"/>
  <c r="B26" i="164" s="1"/>
  <c r="B27" i="164" s="1"/>
  <c r="AN73" i="1"/>
  <c r="AN76" i="1" s="1"/>
  <c r="AN80" i="1" s="1"/>
  <c r="AN46" i="1"/>
  <c r="AN48" i="1" s="1"/>
  <c r="B28" i="164" l="1"/>
  <c r="B29" i="164" s="1"/>
  <c r="B30" i="164" s="1"/>
  <c r="B31" i="164" s="1"/>
  <c r="B32" i="164" s="1"/>
  <c r="B33" i="164" s="1"/>
  <c r="B34" i="164" s="1"/>
  <c r="B35" i="164" s="1"/>
  <c r="B40" i="164" s="1"/>
  <c r="E46" i="3"/>
  <c r="F45" i="48" s="1"/>
  <c r="G45" i="48" s="1"/>
  <c r="H49" i="99"/>
  <c r="K49" i="99" s="1"/>
  <c r="AN51" i="1"/>
  <c r="B41" i="164" l="1"/>
  <c r="B42" i="164" s="1"/>
  <c r="B43" i="164" s="1"/>
  <c r="M14" i="51"/>
  <c r="B44" i="164" l="1"/>
  <c r="B45" i="164" s="1"/>
  <c r="B46" i="164" s="1"/>
  <c r="B47" i="164" s="1"/>
  <c r="B48" i="164" s="1"/>
  <c r="B49" i="164" s="1"/>
  <c r="B50" i="164" s="1"/>
  <c r="B51" i="164" s="1"/>
  <c r="BV24" i="1"/>
  <c r="BE24" i="1"/>
  <c r="AW31" i="1"/>
  <c r="AW24" i="1"/>
  <c r="B52" i="164" l="1"/>
  <c r="B53" i="164" s="1"/>
  <c r="B54" i="164" s="1"/>
  <c r="B55" i="164" s="1"/>
  <c r="B56" i="164" s="1"/>
  <c r="BU41" i="1"/>
  <c r="AT41" i="1"/>
  <c r="B57" i="164" l="1"/>
  <c r="B58" i="164" s="1"/>
  <c r="B59" i="164" s="1"/>
  <c r="B60" i="164" s="1"/>
  <c r="BU38" i="1"/>
  <c r="BU37" i="1"/>
  <c r="BU36" i="1"/>
  <c r="BU30" i="1"/>
  <c r="BU22" i="1"/>
  <c r="AT38" i="1"/>
  <c r="AT37" i="1"/>
  <c r="AT36" i="1"/>
  <c r="AT30" i="1"/>
  <c r="AT22" i="1"/>
  <c r="B61" i="164" l="1"/>
  <c r="B62" i="164" s="1"/>
  <c r="B63" i="164" s="1"/>
  <c r="B64" i="164" s="1"/>
  <c r="B65" i="164" s="1"/>
  <c r="B66" i="164" s="1"/>
  <c r="B67" i="164" s="1"/>
  <c r="BV42" i="1"/>
  <c r="BE42" i="1"/>
  <c r="AW42" i="1"/>
  <c r="AU42" i="1"/>
  <c r="AV24" i="1"/>
  <c r="AV42" i="1"/>
  <c r="AU24" i="1"/>
  <c r="BN22" i="1"/>
  <c r="B68" i="164" l="1"/>
  <c r="B69" i="164" s="1"/>
  <c r="B70" i="164" s="1"/>
  <c r="B71" i="164" s="1"/>
  <c r="B72" i="164" s="1"/>
  <c r="B73" i="164" s="1"/>
  <c r="AE22" i="1"/>
  <c r="AE17" i="1"/>
  <c r="AB17" i="1"/>
  <c r="B74" i="164" l="1"/>
  <c r="B75" i="164" s="1"/>
  <c r="B76" i="164" s="1"/>
  <c r="B83" i="164" s="1"/>
  <c r="BW72" i="1"/>
  <c r="BV72" i="1"/>
  <c r="BU72" i="1"/>
  <c r="BT72" i="1"/>
  <c r="BW65" i="1"/>
  <c r="BW73" i="1" s="1"/>
  <c r="BW76" i="1" s="1"/>
  <c r="BW80" i="1" s="1"/>
  <c r="BV65" i="1"/>
  <c r="BU65" i="1"/>
  <c r="BU73" i="1" s="1"/>
  <c r="BU76" i="1" s="1"/>
  <c r="BU80" i="1" s="1"/>
  <c r="BT65" i="1"/>
  <c r="BW45" i="1"/>
  <c r="BT45" i="1"/>
  <c r="BV45" i="1"/>
  <c r="BU45" i="1"/>
  <c r="BW34" i="1"/>
  <c r="BV34" i="1"/>
  <c r="BT34" i="1"/>
  <c r="BU34" i="1"/>
  <c r="BW27" i="1"/>
  <c r="BU27" i="1"/>
  <c r="BT27" i="1"/>
  <c r="BV27" i="1"/>
  <c r="BW16" i="1"/>
  <c r="BV16" i="1"/>
  <c r="BV18" i="1" s="1"/>
  <c r="BU16" i="1"/>
  <c r="BU18" i="1" s="1"/>
  <c r="BT16" i="1"/>
  <c r="BT18" i="1" s="1"/>
  <c r="BA16" i="1"/>
  <c r="BA18" i="1" s="1"/>
  <c r="BB16" i="1"/>
  <c r="BB18" i="1" s="1"/>
  <c r="BC16" i="1"/>
  <c r="BC18" i="1" s="1"/>
  <c r="BD16" i="1"/>
  <c r="BD18" i="1" s="1"/>
  <c r="BA27" i="1"/>
  <c r="BB27" i="1"/>
  <c r="BC27" i="1"/>
  <c r="BD27" i="1"/>
  <c r="BA34" i="1"/>
  <c r="BB34" i="1"/>
  <c r="BC34" i="1"/>
  <c r="BD34" i="1"/>
  <c r="BA45" i="1"/>
  <c r="BB45" i="1"/>
  <c r="BB46" i="1" s="1"/>
  <c r="BC45" i="1"/>
  <c r="BD45" i="1"/>
  <c r="BA46" i="1"/>
  <c r="BA65" i="1"/>
  <c r="BB65" i="1"/>
  <c r="BC65" i="1"/>
  <c r="BC73" i="1" s="1"/>
  <c r="BC76" i="1" s="1"/>
  <c r="BC80" i="1" s="1"/>
  <c r="BD65" i="1"/>
  <c r="BA72" i="1"/>
  <c r="BA73" i="1" s="1"/>
  <c r="BA76" i="1" s="1"/>
  <c r="BA80" i="1" s="1"/>
  <c r="BB72" i="1"/>
  <c r="BC72" i="1"/>
  <c r="BD72" i="1"/>
  <c r="BB73" i="1"/>
  <c r="BB76" i="1" s="1"/>
  <c r="BB80" i="1" s="1"/>
  <c r="BD73" i="1"/>
  <c r="BD76" i="1" s="1"/>
  <c r="BD80" i="1" s="1"/>
  <c r="B84" i="164" l="1"/>
  <c r="B85" i="164" s="1"/>
  <c r="B86" i="164" s="1"/>
  <c r="B87" i="164" s="1"/>
  <c r="B88" i="164" s="1"/>
  <c r="BB48" i="1"/>
  <c r="BB51" i="1" s="1"/>
  <c r="BA48" i="1"/>
  <c r="BD46" i="1"/>
  <c r="BD48" i="1" s="1"/>
  <c r="BD51" i="1" s="1"/>
  <c r="BT46" i="1"/>
  <c r="BT48" i="1" s="1"/>
  <c r="BT51" i="1" s="1"/>
  <c r="BT73" i="1"/>
  <c r="BT76" i="1" s="1"/>
  <c r="BT80" i="1" s="1"/>
  <c r="BW46" i="1"/>
  <c r="BU46" i="1"/>
  <c r="BU48" i="1" s="1"/>
  <c r="BV73" i="1"/>
  <c r="BV76" i="1" s="1"/>
  <c r="BV80" i="1" s="1"/>
  <c r="BV46" i="1"/>
  <c r="BV48" i="1" s="1"/>
  <c r="BC46" i="1"/>
  <c r="BC48" i="1" s="1"/>
  <c r="BC51" i="1" s="1"/>
  <c r="BW18" i="1"/>
  <c r="BA51" i="1"/>
  <c r="B89" i="164" l="1"/>
  <c r="B90" i="164" s="1"/>
  <c r="BW48" i="1"/>
  <c r="BW51" i="1" s="1"/>
  <c r="BV51" i="1"/>
  <c r="BU51" i="1"/>
  <c r="B91" i="164" l="1"/>
  <c r="B92" i="164" s="1"/>
  <c r="B93" i="164" s="1"/>
  <c r="AB22" i="1"/>
  <c r="B94" i="164" l="1"/>
  <c r="B95" i="164" s="1"/>
  <c r="B96" i="164" s="1"/>
  <c r="B97" i="164" s="1"/>
  <c r="B98" i="164" s="1"/>
  <c r="B99" i="164" s="1"/>
  <c r="B100" i="164" s="1"/>
  <c r="AJ41" i="1"/>
  <c r="B101" i="164" l="1"/>
  <c r="B102" i="164" s="1"/>
  <c r="B103" i="164" s="1"/>
  <c r="I25" i="1"/>
  <c r="B106" i="164" l="1"/>
  <c r="B56" i="99"/>
  <c r="B57" i="99"/>
  <c r="C54" i="3"/>
  <c r="B53" i="48" s="1"/>
  <c r="B54" i="3"/>
  <c r="C53" i="3"/>
  <c r="B52" i="48" s="1"/>
  <c r="B53" i="3"/>
  <c r="AY16" i="1"/>
  <c r="AY18" i="1" s="1"/>
  <c r="AY27" i="1"/>
  <c r="AY34" i="1"/>
  <c r="AY45" i="1"/>
  <c r="AY65" i="1"/>
  <c r="AY72" i="1"/>
  <c r="AY73" i="1" s="1"/>
  <c r="AY76" i="1" s="1"/>
  <c r="AY80" i="1" s="1"/>
  <c r="AQ16" i="1"/>
  <c r="AQ18" i="1" s="1"/>
  <c r="AR16" i="1"/>
  <c r="AR18" i="1" s="1"/>
  <c r="AS16" i="1"/>
  <c r="AS18" i="1" s="1"/>
  <c r="AT16" i="1"/>
  <c r="AT18" i="1" s="1"/>
  <c r="AU16" i="1"/>
  <c r="AU18" i="1" s="1"/>
  <c r="AV16" i="1"/>
  <c r="AV18" i="1" s="1"/>
  <c r="AW16" i="1"/>
  <c r="AW18" i="1" s="1"/>
  <c r="AQ27" i="1"/>
  <c r="AR27" i="1"/>
  <c r="AS27" i="1"/>
  <c r="AT27" i="1"/>
  <c r="AU27" i="1"/>
  <c r="AV27" i="1"/>
  <c r="AW27" i="1"/>
  <c r="AQ34" i="1"/>
  <c r="AR34" i="1"/>
  <c r="AS34" i="1"/>
  <c r="AT34" i="1"/>
  <c r="AU34" i="1"/>
  <c r="AV34" i="1"/>
  <c r="AW34" i="1"/>
  <c r="AQ45" i="1"/>
  <c r="AR45" i="1"/>
  <c r="AS45" i="1"/>
  <c r="AS46" i="1" s="1"/>
  <c r="AT45" i="1"/>
  <c r="AU45" i="1"/>
  <c r="AV45" i="1"/>
  <c r="AW45" i="1"/>
  <c r="AQ65" i="1"/>
  <c r="AR65" i="1"/>
  <c r="AS65" i="1"/>
  <c r="AT65" i="1"/>
  <c r="AT73" i="1" s="1"/>
  <c r="AT76" i="1" s="1"/>
  <c r="AT80" i="1" s="1"/>
  <c r="AU65" i="1"/>
  <c r="AV65" i="1"/>
  <c r="AW65" i="1"/>
  <c r="AQ72" i="1"/>
  <c r="AQ73" i="1" s="1"/>
  <c r="AQ76" i="1" s="1"/>
  <c r="AQ80" i="1" s="1"/>
  <c r="AR72" i="1"/>
  <c r="AS72" i="1"/>
  <c r="AT72" i="1"/>
  <c r="AU72" i="1"/>
  <c r="AV72" i="1"/>
  <c r="AW72" i="1"/>
  <c r="AR73" i="1"/>
  <c r="AR76" i="1" s="1"/>
  <c r="AR80" i="1" s="1"/>
  <c r="AS73" i="1" l="1"/>
  <c r="AS76" i="1" s="1"/>
  <c r="AS80" i="1" s="1"/>
  <c r="AV73" i="1"/>
  <c r="AV76" i="1" s="1"/>
  <c r="AV80" i="1" s="1"/>
  <c r="H57" i="99"/>
  <c r="K57" i="99" s="1"/>
  <c r="E54" i="3"/>
  <c r="F53" i="48" s="1"/>
  <c r="AS48" i="1"/>
  <c r="AR46" i="1"/>
  <c r="AT46" i="1"/>
  <c r="AT48" i="1" s="1"/>
  <c r="AT51" i="1" s="1"/>
  <c r="AQ46" i="1"/>
  <c r="AQ48" i="1" s="1"/>
  <c r="AW73" i="1"/>
  <c r="AW76" i="1" s="1"/>
  <c r="AW80" i="1" s="1"/>
  <c r="AW46" i="1"/>
  <c r="AW48" i="1" s="1"/>
  <c r="AW51" i="1" s="1"/>
  <c r="AV46" i="1"/>
  <c r="AV48" i="1" s="1"/>
  <c r="AU73" i="1"/>
  <c r="AU76" i="1" s="1"/>
  <c r="AU80" i="1" s="1"/>
  <c r="AU46" i="1"/>
  <c r="AU48" i="1" s="1"/>
  <c r="AY46" i="1"/>
  <c r="AY48" i="1" s="1"/>
  <c r="AS51" i="1"/>
  <c r="AR48" i="1"/>
  <c r="G53" i="48" l="1"/>
  <c r="H56" i="99"/>
  <c r="K56" i="99" s="1"/>
  <c r="E53" i="3"/>
  <c r="F52" i="48" s="1"/>
  <c r="AY51" i="1"/>
  <c r="AQ51" i="1"/>
  <c r="AV51" i="1"/>
  <c r="AR51" i="1"/>
  <c r="AU51" i="1"/>
  <c r="BR80" i="113"/>
  <c r="BR79" i="113"/>
  <c r="BR78" i="113"/>
  <c r="BR76" i="113"/>
  <c r="BR72" i="113"/>
  <c r="BR71" i="113"/>
  <c r="BR70" i="113"/>
  <c r="BR69" i="113"/>
  <c r="BR68" i="113"/>
  <c r="BR65" i="113"/>
  <c r="BR64" i="113"/>
  <c r="BR63" i="113"/>
  <c r="BR62" i="113"/>
  <c r="BR61" i="113"/>
  <c r="BR55" i="113"/>
  <c r="BR54" i="113"/>
  <c r="BR51" i="113"/>
  <c r="BR45" i="113"/>
  <c r="BR44" i="113"/>
  <c r="BR43" i="113"/>
  <c r="BR42" i="113"/>
  <c r="BR39" i="113"/>
  <c r="BR38" i="113"/>
  <c r="BR37" i="113"/>
  <c r="BR34" i="113"/>
  <c r="BR33" i="113"/>
  <c r="BR32" i="113"/>
  <c r="BR31" i="113"/>
  <c r="BR27" i="113"/>
  <c r="BR26" i="113"/>
  <c r="BR25" i="113"/>
  <c r="BR24" i="113"/>
  <c r="BR23" i="113"/>
  <c r="BR18" i="113"/>
  <c r="BR16" i="113"/>
  <c r="BR15" i="113"/>
  <c r="BR14" i="113"/>
  <c r="BR11" i="113"/>
  <c r="BR9" i="113"/>
  <c r="BR8" i="113"/>
  <c r="BR7" i="113"/>
  <c r="BL80" i="113"/>
  <c r="BL79" i="113"/>
  <c r="BL78" i="113"/>
  <c r="BL76" i="113"/>
  <c r="BL72" i="113"/>
  <c r="BL71" i="113"/>
  <c r="BL70" i="113"/>
  <c r="BL69" i="113"/>
  <c r="BL68" i="113"/>
  <c r="BL65" i="113"/>
  <c r="BL64" i="113"/>
  <c r="BL63" i="113"/>
  <c r="BL62" i="113"/>
  <c r="BL61" i="113"/>
  <c r="BL55" i="113"/>
  <c r="BL54" i="113"/>
  <c r="BL51" i="113"/>
  <c r="BL45" i="113"/>
  <c r="BL44" i="113"/>
  <c r="BL43" i="113"/>
  <c r="BL42" i="113"/>
  <c r="BL39" i="113"/>
  <c r="BL38" i="113"/>
  <c r="BL37" i="113"/>
  <c r="BL34" i="113"/>
  <c r="BL33" i="113"/>
  <c r="BL32" i="113"/>
  <c r="BL31" i="113"/>
  <c r="BL27" i="113"/>
  <c r="BL26" i="113"/>
  <c r="BL25" i="113"/>
  <c r="BL24" i="113"/>
  <c r="BL23" i="113"/>
  <c r="BL18" i="113"/>
  <c r="BL16" i="113"/>
  <c r="BL15" i="113"/>
  <c r="BL14" i="113"/>
  <c r="BL11" i="113"/>
  <c r="BL10" i="113"/>
  <c r="BL9" i="113"/>
  <c r="BL8" i="113"/>
  <c r="BL7" i="113"/>
  <c r="I80" i="113"/>
  <c r="I79" i="113"/>
  <c r="I78" i="113"/>
  <c r="I76" i="113"/>
  <c r="I72" i="113"/>
  <c r="I71" i="113"/>
  <c r="I70" i="113"/>
  <c r="I69" i="113"/>
  <c r="I68" i="113"/>
  <c r="I65" i="113"/>
  <c r="I64" i="113"/>
  <c r="I63" i="113"/>
  <c r="I62" i="113"/>
  <c r="I61" i="113"/>
  <c r="I55" i="113"/>
  <c r="I54" i="113"/>
  <c r="I51" i="113"/>
  <c r="I45" i="113"/>
  <c r="I44" i="113"/>
  <c r="I43" i="113"/>
  <c r="I39" i="113"/>
  <c r="I38" i="113"/>
  <c r="I33" i="113"/>
  <c r="I32" i="113"/>
  <c r="I31" i="113"/>
  <c r="I27" i="113"/>
  <c r="I26" i="113"/>
  <c r="I25" i="113"/>
  <c r="I24" i="113"/>
  <c r="I23" i="113"/>
  <c r="I18" i="113"/>
  <c r="I16" i="113"/>
  <c r="I15" i="113"/>
  <c r="I14" i="113"/>
  <c r="I11" i="113"/>
  <c r="I9" i="113"/>
  <c r="I8" i="113"/>
  <c r="I7" i="113"/>
  <c r="B89" i="99"/>
  <c r="B83" i="99"/>
  <c r="B82" i="99"/>
  <c r="A83" i="99"/>
  <c r="A82" i="99"/>
  <c r="B14" i="99"/>
  <c r="G52" i="48" l="1"/>
  <c r="F78" i="111"/>
  <c r="F65" i="111"/>
  <c r="E14" i="111"/>
  <c r="E17" i="111" s="1"/>
  <c r="F14" i="111"/>
  <c r="AO34" i="1" l="1"/>
  <c r="H34" i="1"/>
  <c r="J34" i="1"/>
  <c r="C75" i="3" l="1"/>
  <c r="B75" i="3"/>
  <c r="A75" i="3"/>
  <c r="BN72" i="1"/>
  <c r="BN65" i="1"/>
  <c r="BN45" i="1"/>
  <c r="BN34" i="1"/>
  <c r="BN27" i="1"/>
  <c r="BN16" i="1"/>
  <c r="BN18" i="1" s="1"/>
  <c r="BO72" i="1"/>
  <c r="BL73" i="113" s="1"/>
  <c r="BO65" i="1"/>
  <c r="BO45" i="1"/>
  <c r="BL46" i="113" s="1"/>
  <c r="BO34" i="1"/>
  <c r="BL35" i="113" s="1"/>
  <c r="BO27" i="1"/>
  <c r="BL28" i="113" s="1"/>
  <c r="BO16" i="1"/>
  <c r="BL17" i="113" s="1"/>
  <c r="CA72" i="1"/>
  <c r="CA65" i="1"/>
  <c r="CA45" i="1"/>
  <c r="CA34" i="1"/>
  <c r="CA27" i="1"/>
  <c r="CA16" i="1"/>
  <c r="CA18" i="1" s="1"/>
  <c r="BO18" i="1" l="1"/>
  <c r="BL19" i="113" s="1"/>
  <c r="BN73" i="1"/>
  <c r="BN76" i="1" s="1"/>
  <c r="BN80" i="1" s="1"/>
  <c r="H82" i="99" s="1"/>
  <c r="K82" i="99" s="1"/>
  <c r="BO73" i="1"/>
  <c r="BL66" i="113"/>
  <c r="BN46" i="1"/>
  <c r="BN48" i="1" s="1"/>
  <c r="BN51" i="1" s="1"/>
  <c r="BO46" i="1"/>
  <c r="BL47" i="113" s="1"/>
  <c r="CA73" i="1"/>
  <c r="CA76" i="1" s="1"/>
  <c r="CA80" i="1" s="1"/>
  <c r="CA46" i="1"/>
  <c r="CA48" i="1" s="1"/>
  <c r="CA51" i="1" s="1"/>
  <c r="BX16" i="1"/>
  <c r="BX18" i="1" s="1"/>
  <c r="BX27" i="1"/>
  <c r="BX34" i="1"/>
  <c r="BX45" i="1"/>
  <c r="BX65" i="1"/>
  <c r="BX72" i="1"/>
  <c r="BY72" i="1"/>
  <c r="BY65" i="1"/>
  <c r="BY73" i="1" s="1"/>
  <c r="BY76" i="1" s="1"/>
  <c r="BY80" i="1" s="1"/>
  <c r="BY45" i="1"/>
  <c r="BY34" i="1"/>
  <c r="BY27" i="1"/>
  <c r="BY16" i="1"/>
  <c r="BY18" i="1" s="1"/>
  <c r="C81" i="3"/>
  <c r="B81" i="3"/>
  <c r="BR73" i="113"/>
  <c r="BR46" i="113"/>
  <c r="BR35" i="113"/>
  <c r="BR28" i="113"/>
  <c r="BR19" i="113" l="1"/>
  <c r="BR17" i="113"/>
  <c r="BR66" i="113"/>
  <c r="BO48" i="1"/>
  <c r="BO76" i="1"/>
  <c r="BL74" i="113"/>
  <c r="BY46" i="1"/>
  <c r="BY48" i="1" s="1"/>
  <c r="BX73" i="1"/>
  <c r="BX76" i="1" s="1"/>
  <c r="BX80" i="1" s="1"/>
  <c r="BX46" i="1"/>
  <c r="BX48" i="1" s="1"/>
  <c r="BO80" i="1" l="1"/>
  <c r="BL77" i="113"/>
  <c r="BR47" i="113"/>
  <c r="BR74" i="113"/>
  <c r="BO51" i="1"/>
  <c r="BL52" i="113" s="1"/>
  <c r="BL49" i="113"/>
  <c r="BX51" i="1"/>
  <c r="BY51" i="1"/>
  <c r="BR52" i="113" l="1"/>
  <c r="BR49" i="113"/>
  <c r="BR77" i="113"/>
  <c r="H83" i="99"/>
  <c r="K83" i="99" s="1"/>
  <c r="BL81" i="113"/>
  <c r="E75" i="3"/>
  <c r="AX72" i="1"/>
  <c r="AX65" i="1"/>
  <c r="AX45" i="1"/>
  <c r="AX34" i="1"/>
  <c r="AX27" i="1"/>
  <c r="AX16" i="1"/>
  <c r="AX18" i="1" s="1"/>
  <c r="AP72" i="1"/>
  <c r="AP65" i="1"/>
  <c r="AP73" i="1" s="1"/>
  <c r="AP76" i="1" s="1"/>
  <c r="AP80" i="1" s="1"/>
  <c r="AP45" i="1"/>
  <c r="AP34" i="1"/>
  <c r="AP27" i="1"/>
  <c r="AP16" i="1"/>
  <c r="AP18" i="1" s="1"/>
  <c r="AM72" i="1"/>
  <c r="AL72" i="1"/>
  <c r="AK72" i="1"/>
  <c r="AM65" i="1"/>
  <c r="AL65" i="1"/>
  <c r="AK65" i="1"/>
  <c r="AM45" i="1"/>
  <c r="AL45" i="1"/>
  <c r="AK45" i="1"/>
  <c r="AM34" i="1"/>
  <c r="AL34" i="1"/>
  <c r="AK34" i="1"/>
  <c r="AM27" i="1"/>
  <c r="AL27" i="1"/>
  <c r="AK27" i="1"/>
  <c r="AM16" i="1"/>
  <c r="AM18" i="1" s="1"/>
  <c r="AL16" i="1"/>
  <c r="AL18" i="1" s="1"/>
  <c r="AK16" i="1"/>
  <c r="AK18" i="1" s="1"/>
  <c r="C14" i="3"/>
  <c r="B15" i="48" s="1"/>
  <c r="B14" i="3"/>
  <c r="C40" i="3"/>
  <c r="C13" i="3"/>
  <c r="B40" i="3"/>
  <c r="B13" i="3"/>
  <c r="B43" i="99"/>
  <c r="B13" i="99"/>
  <c r="I72" i="1"/>
  <c r="I73" i="113" s="1"/>
  <c r="I65" i="1"/>
  <c r="I66" i="113" s="1"/>
  <c r="I27" i="1"/>
  <c r="I28" i="113" s="1"/>
  <c r="I16" i="1"/>
  <c r="F72" i="111"/>
  <c r="H72" i="111" s="1"/>
  <c r="F79" i="111"/>
  <c r="H79" i="111" s="1"/>
  <c r="F69" i="111"/>
  <c r="H76" i="111"/>
  <c r="H69" i="111"/>
  <c r="H71" i="111"/>
  <c r="H70" i="111"/>
  <c r="H68" i="111"/>
  <c r="F63" i="111"/>
  <c r="H63" i="111" s="1"/>
  <c r="F23" i="111"/>
  <c r="F32" i="111"/>
  <c r="F45" i="111"/>
  <c r="H65" i="111"/>
  <c r="H64" i="111"/>
  <c r="H62" i="111"/>
  <c r="H61" i="111"/>
  <c r="H55" i="111"/>
  <c r="H54" i="111"/>
  <c r="H52" i="111"/>
  <c r="H39" i="111"/>
  <c r="H38" i="111"/>
  <c r="H37" i="111"/>
  <c r="F31" i="111"/>
  <c r="F26" i="111"/>
  <c r="F18" i="111"/>
  <c r="I504" i="111"/>
  <c r="H504" i="111"/>
  <c r="H502" i="111"/>
  <c r="H453" i="111"/>
  <c r="H451" i="111"/>
  <c r="H437" i="111"/>
  <c r="H435" i="111"/>
  <c r="H433" i="111"/>
  <c r="H425" i="111"/>
  <c r="H415" i="111"/>
  <c r="H413" i="111"/>
  <c r="H399" i="111"/>
  <c r="H381" i="111"/>
  <c r="H368" i="111"/>
  <c r="H367" i="111"/>
  <c r="H355" i="111"/>
  <c r="H345" i="111"/>
  <c r="H335" i="111"/>
  <c r="H318" i="111"/>
  <c r="H313" i="111"/>
  <c r="H311" i="111"/>
  <c r="H309" i="111"/>
  <c r="H307" i="111"/>
  <c r="F287" i="111"/>
  <c r="F288" i="111"/>
  <c r="F289" i="111"/>
  <c r="F290" i="111"/>
  <c r="F291" i="111"/>
  <c r="F292" i="111"/>
  <c r="F293" i="111"/>
  <c r="F294" i="111"/>
  <c r="F295" i="111"/>
  <c r="F296" i="111"/>
  <c r="F297" i="111"/>
  <c r="F298" i="111"/>
  <c r="F299" i="111"/>
  <c r="F300" i="111"/>
  <c r="F301" i="111"/>
  <c r="F302" i="111"/>
  <c r="F303" i="111"/>
  <c r="F304" i="111"/>
  <c r="F305" i="111"/>
  <c r="H279" i="111"/>
  <c r="H264" i="111"/>
  <c r="H258" i="111"/>
  <c r="H252" i="111"/>
  <c r="H242" i="111"/>
  <c r="H237" i="111"/>
  <c r="F204" i="111"/>
  <c r="H186" i="111"/>
  <c r="H164" i="111"/>
  <c r="H158" i="111"/>
  <c r="H143" i="111"/>
  <c r="H125" i="111"/>
  <c r="F117" i="111"/>
  <c r="F118" i="111"/>
  <c r="F119" i="111"/>
  <c r="F120" i="111"/>
  <c r="H105" i="111"/>
  <c r="H92" i="111"/>
  <c r="H95" i="111" s="1"/>
  <c r="AP46" i="1" l="1"/>
  <c r="AP48" i="1" s="1"/>
  <c r="AP51" i="1" s="1"/>
  <c r="BR81" i="113"/>
  <c r="H89" i="99"/>
  <c r="K89" i="99" s="1"/>
  <c r="E81" i="3"/>
  <c r="I18" i="1"/>
  <c r="I19" i="113" s="1"/>
  <c r="I17" i="113"/>
  <c r="AX73" i="1"/>
  <c r="AX76" i="1" s="1"/>
  <c r="AX80" i="1" s="1"/>
  <c r="AM73" i="1"/>
  <c r="AM76" i="1" s="1"/>
  <c r="AM80" i="1" s="1"/>
  <c r="AM46" i="1"/>
  <c r="AM48" i="1" s="1"/>
  <c r="AK73" i="1"/>
  <c r="AK76" i="1" s="1"/>
  <c r="AK80" i="1" s="1"/>
  <c r="AK46" i="1"/>
  <c r="AK48" i="1" s="1"/>
  <c r="AK51" i="1" s="1"/>
  <c r="AL73" i="1"/>
  <c r="AL76" i="1" s="1"/>
  <c r="AL80" i="1" s="1"/>
  <c r="I73" i="1"/>
  <c r="AL46" i="1"/>
  <c r="AL48" i="1" s="1"/>
  <c r="AL51" i="1" s="1"/>
  <c r="AX46" i="1"/>
  <c r="AX48" i="1" s="1"/>
  <c r="AX51" i="1" s="1"/>
  <c r="H244" i="111"/>
  <c r="F193" i="111"/>
  <c r="H209" i="111"/>
  <c r="H106" i="111"/>
  <c r="H165" i="111"/>
  <c r="I76" i="1" l="1"/>
  <c r="I74" i="113"/>
  <c r="AM51" i="1"/>
  <c r="H211" i="111"/>
  <c r="I80" i="1" l="1"/>
  <c r="H14" i="99" s="1"/>
  <c r="I77" i="113"/>
  <c r="E14" i="3" l="1"/>
  <c r="F15" i="48" s="1"/>
  <c r="I81" i="113"/>
  <c r="K14" i="99"/>
  <c r="G15" i="48" l="1"/>
  <c r="BX33" i="113" l="1"/>
  <c r="BY33" i="113"/>
  <c r="BG33" i="113"/>
  <c r="BH33" i="113"/>
  <c r="BI33" i="113"/>
  <c r="BJ33" i="113"/>
  <c r="BK33" i="113"/>
  <c r="BM33" i="113"/>
  <c r="BN33" i="113"/>
  <c r="BO33" i="113"/>
  <c r="BP33" i="113"/>
  <c r="BQ33" i="113"/>
  <c r="BS33" i="113"/>
  <c r="BT33" i="113"/>
  <c r="BU33" i="113"/>
  <c r="BV33" i="113"/>
  <c r="BW33" i="113"/>
  <c r="BA33" i="113"/>
  <c r="BB33" i="113"/>
  <c r="BC33" i="113"/>
  <c r="BD33" i="113"/>
  <c r="BE33" i="113"/>
  <c r="BF33" i="113"/>
  <c r="AX33" i="113"/>
  <c r="AZ33" i="113"/>
  <c r="AW33" i="113"/>
  <c r="S33" i="113"/>
  <c r="T33" i="113"/>
  <c r="U33" i="113"/>
  <c r="V33" i="113"/>
  <c r="W33" i="113"/>
  <c r="X33" i="113"/>
  <c r="Y33" i="113"/>
  <c r="Z33" i="113"/>
  <c r="AA33" i="113"/>
  <c r="AB33" i="113"/>
  <c r="AC33" i="113"/>
  <c r="AD33" i="113"/>
  <c r="AE33" i="113"/>
  <c r="AF33" i="113"/>
  <c r="AG33" i="113"/>
  <c r="AH33" i="113"/>
  <c r="AI33" i="113"/>
  <c r="AJ33" i="113"/>
  <c r="AK33" i="113"/>
  <c r="AL33" i="113"/>
  <c r="AN33" i="113"/>
  <c r="AO33" i="113"/>
  <c r="AP33" i="113"/>
  <c r="AQ33" i="113"/>
  <c r="AR33" i="113"/>
  <c r="AS33" i="113"/>
  <c r="AV33" i="113"/>
  <c r="F33" i="113"/>
  <c r="G33" i="113"/>
  <c r="H33" i="113"/>
  <c r="J33" i="113"/>
  <c r="K33" i="113"/>
  <c r="L33" i="113"/>
  <c r="M33" i="113"/>
  <c r="N33" i="113"/>
  <c r="O33" i="113"/>
  <c r="P33" i="113"/>
  <c r="Q33" i="113"/>
  <c r="R33" i="113"/>
  <c r="C33" i="113"/>
  <c r="A33" i="113"/>
  <c r="A34" i="113"/>
  <c r="B96" i="99" l="1"/>
  <c r="B95" i="99"/>
  <c r="B94" i="99"/>
  <c r="B93" i="99"/>
  <c r="B92" i="99"/>
  <c r="B91" i="99"/>
  <c r="B90" i="99"/>
  <c r="B88" i="99"/>
  <c r="B87" i="99"/>
  <c r="B86" i="99"/>
  <c r="B85" i="99"/>
  <c r="B84" i="99"/>
  <c r="B72" i="99"/>
  <c r="B64" i="99"/>
  <c r="B63" i="99"/>
  <c r="B59" i="99"/>
  <c r="B58" i="99"/>
  <c r="B52" i="99"/>
  <c r="B47" i="99"/>
  <c r="B36" i="99"/>
  <c r="BY7" i="113" l="1"/>
  <c r="BK7" i="113"/>
  <c r="BY8" i="113"/>
  <c r="BK8" i="113"/>
  <c r="BY9" i="113"/>
  <c r="BK9" i="113"/>
  <c r="BY11" i="113"/>
  <c r="BK11" i="113"/>
  <c r="BY14" i="113"/>
  <c r="BK14" i="113"/>
  <c r="BY15" i="113"/>
  <c r="BK15" i="113"/>
  <c r="BY16" i="113"/>
  <c r="BK16" i="113"/>
  <c r="BY18" i="113"/>
  <c r="BK18" i="113"/>
  <c r="BY23" i="113"/>
  <c r="BK23" i="113"/>
  <c r="BY24" i="113"/>
  <c r="BK24" i="113"/>
  <c r="BY25" i="113"/>
  <c r="BK25" i="113"/>
  <c r="BY26" i="113"/>
  <c r="BK26" i="113"/>
  <c r="BY27" i="113"/>
  <c r="BK27" i="113"/>
  <c r="BY31" i="113"/>
  <c r="BK31" i="113"/>
  <c r="BY32" i="113"/>
  <c r="BK32" i="113"/>
  <c r="BY34" i="113"/>
  <c r="BK34" i="113"/>
  <c r="BY37" i="113"/>
  <c r="BK37" i="113"/>
  <c r="BY38" i="113"/>
  <c r="BK38" i="113"/>
  <c r="BY39" i="113"/>
  <c r="BK39" i="113"/>
  <c r="BY42" i="113"/>
  <c r="BK42" i="113"/>
  <c r="BY43" i="113"/>
  <c r="BK43" i="113"/>
  <c r="BY44" i="113"/>
  <c r="BK44" i="113"/>
  <c r="BY45" i="113"/>
  <c r="BK45" i="113"/>
  <c r="BY51" i="113"/>
  <c r="BK51" i="113"/>
  <c r="BY54" i="113"/>
  <c r="BK54" i="113"/>
  <c r="BY55" i="113"/>
  <c r="BK55" i="113"/>
  <c r="BY61" i="113"/>
  <c r="BK61" i="113"/>
  <c r="BY62" i="113"/>
  <c r="BK62" i="113"/>
  <c r="BY63" i="113"/>
  <c r="BK63" i="113"/>
  <c r="BY64" i="113"/>
  <c r="BK64" i="113"/>
  <c r="BY65" i="113"/>
  <c r="BK65" i="113"/>
  <c r="BY68" i="113"/>
  <c r="BK68" i="113"/>
  <c r="BY69" i="113"/>
  <c r="BK69" i="113"/>
  <c r="BY70" i="113"/>
  <c r="BK70" i="113"/>
  <c r="BY71" i="113"/>
  <c r="BK71" i="113"/>
  <c r="BY72" i="113"/>
  <c r="BK72" i="113"/>
  <c r="BY76" i="113"/>
  <c r="BK76" i="113"/>
  <c r="BY78" i="113"/>
  <c r="BK78" i="113"/>
  <c r="BY79" i="113"/>
  <c r="BK79" i="113"/>
  <c r="BY80" i="113"/>
  <c r="BK80" i="113"/>
  <c r="BO7" i="113"/>
  <c r="BP7" i="113"/>
  <c r="BQ7" i="113"/>
  <c r="BS7" i="113"/>
  <c r="BT7" i="113"/>
  <c r="BU7" i="113"/>
  <c r="BV7" i="113"/>
  <c r="BW7" i="113"/>
  <c r="BX7" i="113"/>
  <c r="BO8" i="113"/>
  <c r="BP8" i="113"/>
  <c r="BQ8" i="113"/>
  <c r="BS8" i="113"/>
  <c r="BT8" i="113"/>
  <c r="BU8" i="113"/>
  <c r="BV8" i="113"/>
  <c r="BW8" i="113"/>
  <c r="BX8" i="113"/>
  <c r="BO9" i="113"/>
  <c r="BP9" i="113"/>
  <c r="BQ9" i="113"/>
  <c r="BS9" i="113"/>
  <c r="BT9" i="113"/>
  <c r="BU9" i="113"/>
  <c r="BV9" i="113"/>
  <c r="BW9" i="113"/>
  <c r="BX9" i="113"/>
  <c r="BO11" i="113"/>
  <c r="BP11" i="113"/>
  <c r="BQ11" i="113"/>
  <c r="BS11" i="113"/>
  <c r="BT11" i="113"/>
  <c r="BU11" i="113"/>
  <c r="BV11" i="113"/>
  <c r="BW11" i="113"/>
  <c r="BX11" i="113"/>
  <c r="BO14" i="113"/>
  <c r="BP14" i="113"/>
  <c r="BQ14" i="113"/>
  <c r="BS14" i="113"/>
  <c r="BT14" i="113"/>
  <c r="BU14" i="113"/>
  <c r="BV14" i="113"/>
  <c r="BW14" i="113"/>
  <c r="BX14" i="113"/>
  <c r="BO15" i="113"/>
  <c r="BP15" i="113"/>
  <c r="BQ15" i="113"/>
  <c r="BS15" i="113"/>
  <c r="BT15" i="113"/>
  <c r="BU15" i="113"/>
  <c r="BV15" i="113"/>
  <c r="BW15" i="113"/>
  <c r="BX15" i="113"/>
  <c r="BO16" i="113"/>
  <c r="BP16" i="113"/>
  <c r="BQ16" i="113"/>
  <c r="BS16" i="113"/>
  <c r="BT16" i="113"/>
  <c r="BU16" i="113"/>
  <c r="BV16" i="113"/>
  <c r="BW16" i="113"/>
  <c r="BX16" i="113"/>
  <c r="BO18" i="113"/>
  <c r="BP18" i="113"/>
  <c r="BQ18" i="113"/>
  <c r="BS18" i="113"/>
  <c r="BT18" i="113"/>
  <c r="BU18" i="113"/>
  <c r="BW18" i="113"/>
  <c r="BX18" i="113"/>
  <c r="BO23" i="113"/>
  <c r="BP23" i="113"/>
  <c r="BQ23" i="113"/>
  <c r="BS23" i="113"/>
  <c r="BU23" i="113"/>
  <c r="BV23" i="113"/>
  <c r="BW23" i="113"/>
  <c r="BX23" i="113"/>
  <c r="BO24" i="113"/>
  <c r="BP24" i="113"/>
  <c r="BQ24" i="113"/>
  <c r="BS24" i="113"/>
  <c r="BT24" i="113"/>
  <c r="BU24" i="113"/>
  <c r="BV24" i="113"/>
  <c r="BW24" i="113"/>
  <c r="BX24" i="113"/>
  <c r="BO25" i="113"/>
  <c r="BP25" i="113"/>
  <c r="BQ25" i="113"/>
  <c r="BS25" i="113"/>
  <c r="BT25" i="113"/>
  <c r="BV25" i="113"/>
  <c r="BW25" i="113"/>
  <c r="BO26" i="113"/>
  <c r="BP26" i="113"/>
  <c r="BQ26" i="113"/>
  <c r="BS26" i="113"/>
  <c r="BT26" i="113"/>
  <c r="BU26" i="113"/>
  <c r="BV26" i="113"/>
  <c r="BW26" i="113"/>
  <c r="BX26" i="113"/>
  <c r="BO27" i="113"/>
  <c r="BP27" i="113"/>
  <c r="BQ27" i="113"/>
  <c r="BS27" i="113"/>
  <c r="BT27" i="113"/>
  <c r="BU27" i="113"/>
  <c r="BV27" i="113"/>
  <c r="BW27" i="113"/>
  <c r="BX27" i="113"/>
  <c r="BO31" i="113"/>
  <c r="BP31" i="113"/>
  <c r="BQ31" i="113"/>
  <c r="BS31" i="113"/>
  <c r="BU31" i="113"/>
  <c r="BV31" i="113"/>
  <c r="BW31" i="113"/>
  <c r="BX31" i="113"/>
  <c r="BO32" i="113"/>
  <c r="BP32" i="113"/>
  <c r="BQ32" i="113"/>
  <c r="BS32" i="113"/>
  <c r="BT32" i="113"/>
  <c r="BU32" i="113"/>
  <c r="BV32" i="113"/>
  <c r="BW32" i="113"/>
  <c r="BX32" i="113"/>
  <c r="BO34" i="113"/>
  <c r="BP34" i="113"/>
  <c r="BQ34" i="113"/>
  <c r="BS34" i="113"/>
  <c r="BT34" i="113"/>
  <c r="BU34" i="113"/>
  <c r="BV34" i="113"/>
  <c r="BW34" i="113"/>
  <c r="BX34" i="113"/>
  <c r="BO37" i="113"/>
  <c r="BP37" i="113"/>
  <c r="BQ37" i="113"/>
  <c r="BS37" i="113"/>
  <c r="BU37" i="113"/>
  <c r="BV37" i="113"/>
  <c r="BW37" i="113"/>
  <c r="BX37" i="113"/>
  <c r="BO38" i="113"/>
  <c r="BP38" i="113"/>
  <c r="BQ38" i="113"/>
  <c r="BS38" i="113"/>
  <c r="BU38" i="113"/>
  <c r="BV38" i="113"/>
  <c r="BW38" i="113"/>
  <c r="BX38" i="113"/>
  <c r="BO39" i="113"/>
  <c r="BP39" i="113"/>
  <c r="BQ39" i="113"/>
  <c r="BS39" i="113"/>
  <c r="BT39" i="113"/>
  <c r="BU39" i="113"/>
  <c r="BV39" i="113"/>
  <c r="BW39" i="113"/>
  <c r="BX39" i="113"/>
  <c r="BO42" i="113"/>
  <c r="BP42" i="113"/>
  <c r="BQ42" i="113"/>
  <c r="BS42" i="113"/>
  <c r="BU42" i="113"/>
  <c r="BV42" i="113"/>
  <c r="BW42" i="113"/>
  <c r="BX42" i="113"/>
  <c r="BO43" i="113"/>
  <c r="BP43" i="113"/>
  <c r="BQ43" i="113"/>
  <c r="BS43" i="113"/>
  <c r="BT43" i="113"/>
  <c r="BV43" i="113"/>
  <c r="BX43" i="113"/>
  <c r="BO44" i="113"/>
  <c r="BP44" i="113"/>
  <c r="BQ44" i="113"/>
  <c r="BS44" i="113"/>
  <c r="BT44" i="113"/>
  <c r="BU44" i="113"/>
  <c r="BV44" i="113"/>
  <c r="BW44" i="113"/>
  <c r="BX44" i="113"/>
  <c r="BO45" i="113"/>
  <c r="BP45" i="113"/>
  <c r="BQ45" i="113"/>
  <c r="BS45" i="113"/>
  <c r="BT45" i="113"/>
  <c r="BU45" i="113"/>
  <c r="BV45" i="113"/>
  <c r="BW45" i="113"/>
  <c r="BX45" i="113"/>
  <c r="BO51" i="113"/>
  <c r="BP51" i="113"/>
  <c r="BQ51" i="113"/>
  <c r="BS51" i="113"/>
  <c r="BT51" i="113"/>
  <c r="BU51" i="113"/>
  <c r="BV51" i="113"/>
  <c r="BW51" i="113"/>
  <c r="BX51" i="113"/>
  <c r="BO54" i="113"/>
  <c r="BP54" i="113"/>
  <c r="BQ54" i="113"/>
  <c r="BS54" i="113"/>
  <c r="BT54" i="113"/>
  <c r="BU54" i="113"/>
  <c r="BV54" i="113"/>
  <c r="BW54" i="113"/>
  <c r="BX54" i="113"/>
  <c r="BO55" i="113"/>
  <c r="BP55" i="113"/>
  <c r="BQ55" i="113"/>
  <c r="BS55" i="113"/>
  <c r="BT55" i="113"/>
  <c r="BU55" i="113"/>
  <c r="BV55" i="113"/>
  <c r="BW55" i="113"/>
  <c r="BX55" i="113"/>
  <c r="BO61" i="113"/>
  <c r="BP61" i="113"/>
  <c r="BQ61" i="113"/>
  <c r="BS61" i="113"/>
  <c r="BT61" i="113"/>
  <c r="BU61" i="113"/>
  <c r="BV61" i="113"/>
  <c r="BW61" i="113"/>
  <c r="BX61" i="113"/>
  <c r="BO62" i="113"/>
  <c r="BP62" i="113"/>
  <c r="BQ62" i="113"/>
  <c r="BS62" i="113"/>
  <c r="BT62" i="113"/>
  <c r="BU62" i="113"/>
  <c r="BV62" i="113"/>
  <c r="BW62" i="113"/>
  <c r="BX62" i="113"/>
  <c r="BO63" i="113"/>
  <c r="BP63" i="113"/>
  <c r="BQ63" i="113"/>
  <c r="BS63" i="113"/>
  <c r="BT63" i="113"/>
  <c r="BU63" i="113"/>
  <c r="BV63" i="113"/>
  <c r="BW63" i="113"/>
  <c r="BX63" i="113"/>
  <c r="BO64" i="113"/>
  <c r="BP64" i="113"/>
  <c r="BQ64" i="113"/>
  <c r="BS64" i="113"/>
  <c r="BT64" i="113"/>
  <c r="BU64" i="113"/>
  <c r="BV64" i="113"/>
  <c r="BW64" i="113"/>
  <c r="BX64" i="113"/>
  <c r="BO65" i="113"/>
  <c r="BP65" i="113"/>
  <c r="BQ65" i="113"/>
  <c r="BS65" i="113"/>
  <c r="BT65" i="113"/>
  <c r="BU65" i="113"/>
  <c r="BV65" i="113"/>
  <c r="BW65" i="113"/>
  <c r="BX65" i="113"/>
  <c r="BO68" i="113"/>
  <c r="BP68" i="113"/>
  <c r="BQ68" i="113"/>
  <c r="BS68" i="113"/>
  <c r="BT68" i="113"/>
  <c r="BU68" i="113"/>
  <c r="BV68" i="113"/>
  <c r="BW68" i="113"/>
  <c r="BX68" i="113"/>
  <c r="BO69" i="113"/>
  <c r="BP69" i="113"/>
  <c r="BQ69" i="113"/>
  <c r="BS69" i="113"/>
  <c r="BT69" i="113"/>
  <c r="BU69" i="113"/>
  <c r="BV69" i="113"/>
  <c r="BW69" i="113"/>
  <c r="BX69" i="113"/>
  <c r="BO70" i="113"/>
  <c r="BP70" i="113"/>
  <c r="BQ70" i="113"/>
  <c r="BS70" i="113"/>
  <c r="BT70" i="113"/>
  <c r="BU70" i="113"/>
  <c r="BV70" i="113"/>
  <c r="BW70" i="113"/>
  <c r="BX70" i="113"/>
  <c r="BO71" i="113"/>
  <c r="BP71" i="113"/>
  <c r="BQ71" i="113"/>
  <c r="BS71" i="113"/>
  <c r="BT71" i="113"/>
  <c r="BU71" i="113"/>
  <c r="BV71" i="113"/>
  <c r="BW71" i="113"/>
  <c r="BX71" i="113"/>
  <c r="BO72" i="113"/>
  <c r="BP72" i="113"/>
  <c r="BQ72" i="113"/>
  <c r="BS72" i="113"/>
  <c r="BT72" i="113"/>
  <c r="BU72" i="113"/>
  <c r="BV72" i="113"/>
  <c r="BW72" i="113"/>
  <c r="BX72" i="113"/>
  <c r="BO76" i="113"/>
  <c r="BP76" i="113"/>
  <c r="BQ76" i="113"/>
  <c r="BS76" i="113"/>
  <c r="BT76" i="113"/>
  <c r="BU76" i="113"/>
  <c r="BV76" i="113"/>
  <c r="BW76" i="113"/>
  <c r="BX76" i="113"/>
  <c r="BO78" i="113"/>
  <c r="BP78" i="113"/>
  <c r="BQ78" i="113"/>
  <c r="BS78" i="113"/>
  <c r="BT78" i="113"/>
  <c r="BU78" i="113"/>
  <c r="BV78" i="113"/>
  <c r="BW78" i="113"/>
  <c r="BX78" i="113"/>
  <c r="BO79" i="113"/>
  <c r="BP79" i="113"/>
  <c r="BQ79" i="113"/>
  <c r="BS79" i="113"/>
  <c r="BT79" i="113"/>
  <c r="BU79" i="113"/>
  <c r="BV79" i="113"/>
  <c r="BW79" i="113"/>
  <c r="BX79" i="113"/>
  <c r="BO80" i="113"/>
  <c r="BP80" i="113"/>
  <c r="BQ80" i="113"/>
  <c r="BS80" i="113"/>
  <c r="BT80" i="113"/>
  <c r="BU80" i="113"/>
  <c r="BV80" i="113"/>
  <c r="BW80" i="113"/>
  <c r="BX80" i="113"/>
  <c r="BD7" i="113"/>
  <c r="BE7" i="113"/>
  <c r="BF7" i="113"/>
  <c r="BG7" i="113"/>
  <c r="BH7" i="113"/>
  <c r="BI7" i="113"/>
  <c r="BJ7" i="113"/>
  <c r="BM7" i="113"/>
  <c r="BN7" i="113"/>
  <c r="BD8" i="113"/>
  <c r="BE8" i="113"/>
  <c r="BF8" i="113"/>
  <c r="BG8" i="113"/>
  <c r="BH8" i="113"/>
  <c r="BI8" i="113"/>
  <c r="BJ8" i="113"/>
  <c r="BM8" i="113"/>
  <c r="BN8" i="113"/>
  <c r="BD9" i="113"/>
  <c r="BE9" i="113"/>
  <c r="BF9" i="113"/>
  <c r="BG9" i="113"/>
  <c r="BH9" i="113"/>
  <c r="BI9" i="113"/>
  <c r="BJ9" i="113"/>
  <c r="BM9" i="113"/>
  <c r="BN9" i="113"/>
  <c r="BD11" i="113"/>
  <c r="BE11" i="113"/>
  <c r="BF11" i="113"/>
  <c r="BG11" i="113"/>
  <c r="BH11" i="113"/>
  <c r="BI11" i="113"/>
  <c r="BJ11" i="113"/>
  <c r="BM11" i="113"/>
  <c r="BN11" i="113"/>
  <c r="BD14" i="113"/>
  <c r="BE14" i="113"/>
  <c r="BF14" i="113"/>
  <c r="BG14" i="113"/>
  <c r="BH14" i="113"/>
  <c r="BI14" i="113"/>
  <c r="BJ14" i="113"/>
  <c r="BM14" i="113"/>
  <c r="BN14" i="113"/>
  <c r="BD15" i="113"/>
  <c r="BE15" i="113"/>
  <c r="BF15" i="113"/>
  <c r="BG15" i="113"/>
  <c r="BH15" i="113"/>
  <c r="BI15" i="113"/>
  <c r="BJ15" i="113"/>
  <c r="BM15" i="113"/>
  <c r="BN15" i="113"/>
  <c r="BD16" i="113"/>
  <c r="BE16" i="113"/>
  <c r="BF16" i="113"/>
  <c r="BG16" i="113"/>
  <c r="BH16" i="113"/>
  <c r="BI16" i="113"/>
  <c r="BJ16" i="113"/>
  <c r="BM16" i="113"/>
  <c r="BN16" i="113"/>
  <c r="BD18" i="113"/>
  <c r="BE18" i="113"/>
  <c r="BF18" i="113"/>
  <c r="BG18" i="113"/>
  <c r="BH18" i="113"/>
  <c r="BI18" i="113"/>
  <c r="BJ18" i="113"/>
  <c r="BM18" i="113"/>
  <c r="BN18" i="113"/>
  <c r="BD23" i="113"/>
  <c r="BE23" i="113"/>
  <c r="BF23" i="113"/>
  <c r="BG23" i="113"/>
  <c r="BH23" i="113"/>
  <c r="BI23" i="113"/>
  <c r="BJ23" i="113"/>
  <c r="BM23" i="113"/>
  <c r="BD24" i="113"/>
  <c r="BE24" i="113"/>
  <c r="BF24" i="113"/>
  <c r="BG24" i="113"/>
  <c r="BH24" i="113"/>
  <c r="BI24" i="113"/>
  <c r="BJ24" i="113"/>
  <c r="BM24" i="113"/>
  <c r="BN24" i="113"/>
  <c r="BE25" i="113"/>
  <c r="BF25" i="113"/>
  <c r="BG25" i="113"/>
  <c r="BH25" i="113"/>
  <c r="BJ25" i="113"/>
  <c r="BM25" i="113"/>
  <c r="BN25" i="113"/>
  <c r="BD26" i="113"/>
  <c r="BE26" i="113"/>
  <c r="BF26" i="113"/>
  <c r="BG26" i="113"/>
  <c r="BH26" i="113"/>
  <c r="BI26" i="113"/>
  <c r="BJ26" i="113"/>
  <c r="BM26" i="113"/>
  <c r="BN26" i="113"/>
  <c r="BD27" i="113"/>
  <c r="BE27" i="113"/>
  <c r="BF27" i="113"/>
  <c r="BG27" i="113"/>
  <c r="BH27" i="113"/>
  <c r="BI27" i="113"/>
  <c r="BJ27" i="113"/>
  <c r="BM27" i="113"/>
  <c r="BN27" i="113"/>
  <c r="BD31" i="113"/>
  <c r="BE31" i="113"/>
  <c r="BF31" i="113"/>
  <c r="BG31" i="113"/>
  <c r="BH31" i="113"/>
  <c r="BI31" i="113"/>
  <c r="BJ31" i="113"/>
  <c r="BM31" i="113"/>
  <c r="BD32" i="113"/>
  <c r="BE32" i="113"/>
  <c r="BF32" i="113"/>
  <c r="BG32" i="113"/>
  <c r="BH32" i="113"/>
  <c r="BI32" i="113"/>
  <c r="BJ32" i="113"/>
  <c r="BM32" i="113"/>
  <c r="BN32" i="113"/>
  <c r="BD34" i="113"/>
  <c r="BE34" i="113"/>
  <c r="BF34" i="113"/>
  <c r="BG34" i="113"/>
  <c r="BH34" i="113"/>
  <c r="BI34" i="113"/>
  <c r="BJ34" i="113"/>
  <c r="BM34" i="113"/>
  <c r="BN34" i="113"/>
  <c r="BD37" i="113"/>
  <c r="BE37" i="113"/>
  <c r="BF37" i="113"/>
  <c r="BG37" i="113"/>
  <c r="BH37" i="113"/>
  <c r="BI37" i="113"/>
  <c r="BJ37" i="113"/>
  <c r="BM37" i="113"/>
  <c r="BD38" i="113"/>
  <c r="BE38" i="113"/>
  <c r="BF38" i="113"/>
  <c r="BG38" i="113"/>
  <c r="BH38" i="113"/>
  <c r="BI38" i="113"/>
  <c r="BJ38" i="113"/>
  <c r="BM38" i="113"/>
  <c r="BD39" i="113"/>
  <c r="BE39" i="113"/>
  <c r="BF39" i="113"/>
  <c r="BG39" i="113"/>
  <c r="BH39" i="113"/>
  <c r="BI39" i="113"/>
  <c r="BJ39" i="113"/>
  <c r="BM39" i="113"/>
  <c r="BN39" i="113"/>
  <c r="BD42" i="113"/>
  <c r="BE42" i="113"/>
  <c r="BF42" i="113"/>
  <c r="BG42" i="113"/>
  <c r="BH42" i="113"/>
  <c r="BI42" i="113"/>
  <c r="BJ42" i="113"/>
  <c r="BM42" i="113"/>
  <c r="BE43" i="113"/>
  <c r="BH43" i="113"/>
  <c r="BI43" i="113"/>
  <c r="BJ43" i="113"/>
  <c r="BM43" i="113"/>
  <c r="BN43" i="113"/>
  <c r="BD44" i="113"/>
  <c r="BE44" i="113"/>
  <c r="BF44" i="113"/>
  <c r="BG44" i="113"/>
  <c r="BH44" i="113"/>
  <c r="BI44" i="113"/>
  <c r="BJ44" i="113"/>
  <c r="BM44" i="113"/>
  <c r="BN44" i="113"/>
  <c r="BD45" i="113"/>
  <c r="BE45" i="113"/>
  <c r="BF45" i="113"/>
  <c r="BG45" i="113"/>
  <c r="BH45" i="113"/>
  <c r="BI45" i="113"/>
  <c r="BJ45" i="113"/>
  <c r="BM45" i="113"/>
  <c r="BN45" i="113"/>
  <c r="BD51" i="113"/>
  <c r="BE51" i="113"/>
  <c r="BF51" i="113"/>
  <c r="BG51" i="113"/>
  <c r="BH51" i="113"/>
  <c r="BI51" i="113"/>
  <c r="BJ51" i="113"/>
  <c r="BM51" i="113"/>
  <c r="BN51" i="113"/>
  <c r="BD54" i="113"/>
  <c r="BE54" i="113"/>
  <c r="BF54" i="113"/>
  <c r="BG54" i="113"/>
  <c r="BH54" i="113"/>
  <c r="BI54" i="113"/>
  <c r="BJ54" i="113"/>
  <c r="BM54" i="113"/>
  <c r="BN54" i="113"/>
  <c r="BD55" i="113"/>
  <c r="BE55" i="113"/>
  <c r="BF55" i="113"/>
  <c r="BG55" i="113"/>
  <c r="BH55" i="113"/>
  <c r="BI55" i="113"/>
  <c r="BJ55" i="113"/>
  <c r="BM55" i="113"/>
  <c r="BN55" i="113"/>
  <c r="BD61" i="113"/>
  <c r="BE61" i="113"/>
  <c r="BF61" i="113"/>
  <c r="BG61" i="113"/>
  <c r="BH61" i="113"/>
  <c r="BI61" i="113"/>
  <c r="BJ61" i="113"/>
  <c r="BM61" i="113"/>
  <c r="BN61" i="113"/>
  <c r="BD62" i="113"/>
  <c r="BE62" i="113"/>
  <c r="BF62" i="113"/>
  <c r="BG62" i="113"/>
  <c r="BH62" i="113"/>
  <c r="BI62" i="113"/>
  <c r="BJ62" i="113"/>
  <c r="BM62" i="113"/>
  <c r="BN62" i="113"/>
  <c r="BD63" i="113"/>
  <c r="BE63" i="113"/>
  <c r="BF63" i="113"/>
  <c r="BG63" i="113"/>
  <c r="BH63" i="113"/>
  <c r="BI63" i="113"/>
  <c r="BJ63" i="113"/>
  <c r="BM63" i="113"/>
  <c r="BN63" i="113"/>
  <c r="BD64" i="113"/>
  <c r="BE64" i="113"/>
  <c r="BF64" i="113"/>
  <c r="BG64" i="113"/>
  <c r="BH64" i="113"/>
  <c r="BI64" i="113"/>
  <c r="BJ64" i="113"/>
  <c r="BM64" i="113"/>
  <c r="BN64" i="113"/>
  <c r="BD65" i="113"/>
  <c r="BE65" i="113"/>
  <c r="BF65" i="113"/>
  <c r="BG65" i="113"/>
  <c r="BH65" i="113"/>
  <c r="BI65" i="113"/>
  <c r="BJ65" i="113"/>
  <c r="BM65" i="113"/>
  <c r="BN65" i="113"/>
  <c r="BD68" i="113"/>
  <c r="BE68" i="113"/>
  <c r="BF68" i="113"/>
  <c r="BG68" i="113"/>
  <c r="BH68" i="113"/>
  <c r="BI68" i="113"/>
  <c r="BJ68" i="113"/>
  <c r="BM68" i="113"/>
  <c r="BN68" i="113"/>
  <c r="BD69" i="113"/>
  <c r="BE69" i="113"/>
  <c r="BF69" i="113"/>
  <c r="BG69" i="113"/>
  <c r="BH69" i="113"/>
  <c r="BI69" i="113"/>
  <c r="BJ69" i="113"/>
  <c r="BM69" i="113"/>
  <c r="BN69" i="113"/>
  <c r="BD70" i="113"/>
  <c r="BE70" i="113"/>
  <c r="BF70" i="113"/>
  <c r="BG70" i="113"/>
  <c r="BH70" i="113"/>
  <c r="BI70" i="113"/>
  <c r="BJ70" i="113"/>
  <c r="BM70" i="113"/>
  <c r="BN70" i="113"/>
  <c r="BD71" i="113"/>
  <c r="BE71" i="113"/>
  <c r="BF71" i="113"/>
  <c r="BG71" i="113"/>
  <c r="BH71" i="113"/>
  <c r="BI71" i="113"/>
  <c r="BJ71" i="113"/>
  <c r="BM71" i="113"/>
  <c r="BN71" i="113"/>
  <c r="BD72" i="113"/>
  <c r="BE72" i="113"/>
  <c r="BF72" i="113"/>
  <c r="BG72" i="113"/>
  <c r="BH72" i="113"/>
  <c r="BI72" i="113"/>
  <c r="BJ72" i="113"/>
  <c r="BM72" i="113"/>
  <c r="BN72" i="113"/>
  <c r="BD76" i="113"/>
  <c r="BE76" i="113"/>
  <c r="BF76" i="113"/>
  <c r="BG76" i="113"/>
  <c r="BH76" i="113"/>
  <c r="BI76" i="113"/>
  <c r="BJ76" i="113"/>
  <c r="BM76" i="113"/>
  <c r="BN76" i="113"/>
  <c r="BD78" i="113"/>
  <c r="BE78" i="113"/>
  <c r="BF78" i="113"/>
  <c r="BG78" i="113"/>
  <c r="BH78" i="113"/>
  <c r="BI78" i="113"/>
  <c r="BJ78" i="113"/>
  <c r="BM78" i="113"/>
  <c r="BN78" i="113"/>
  <c r="BD79" i="113"/>
  <c r="BE79" i="113"/>
  <c r="BF79" i="113"/>
  <c r="BG79" i="113"/>
  <c r="BH79" i="113"/>
  <c r="BI79" i="113"/>
  <c r="BJ79" i="113"/>
  <c r="BM79" i="113"/>
  <c r="BN79" i="113"/>
  <c r="BD80" i="113"/>
  <c r="BE80" i="113"/>
  <c r="BF80" i="113"/>
  <c r="BG80" i="113"/>
  <c r="BH80" i="113"/>
  <c r="BI80" i="113"/>
  <c r="BJ80" i="113"/>
  <c r="BM80" i="113"/>
  <c r="BN80" i="113"/>
  <c r="BC7" i="113"/>
  <c r="BC8" i="113"/>
  <c r="BC9" i="113"/>
  <c r="BC11" i="113"/>
  <c r="BC14" i="113"/>
  <c r="BC15" i="113"/>
  <c r="BC16" i="113"/>
  <c r="BC18" i="113"/>
  <c r="BC23" i="113"/>
  <c r="BC24" i="113"/>
  <c r="BC26" i="113"/>
  <c r="BC27" i="113"/>
  <c r="BC31" i="113"/>
  <c r="BC32" i="113"/>
  <c r="BC34" i="113"/>
  <c r="BC37" i="113"/>
  <c r="BC38" i="113"/>
  <c r="BC39" i="113"/>
  <c r="BC42" i="113"/>
  <c r="BC44" i="113"/>
  <c r="BC45" i="113"/>
  <c r="BC51" i="113"/>
  <c r="BC54" i="113"/>
  <c r="BC55" i="113"/>
  <c r="BC61" i="113"/>
  <c r="BC62" i="113"/>
  <c r="BC63" i="113"/>
  <c r="BC64" i="113"/>
  <c r="BC65" i="113"/>
  <c r="BC68" i="113"/>
  <c r="BC69" i="113"/>
  <c r="BC70" i="113"/>
  <c r="BC71" i="113"/>
  <c r="BC72" i="113"/>
  <c r="BC76" i="113"/>
  <c r="BC78" i="113"/>
  <c r="BC79" i="113"/>
  <c r="BC80" i="113"/>
  <c r="AX7" i="113"/>
  <c r="AZ7" i="113"/>
  <c r="BA7" i="113"/>
  <c r="BB7" i="113"/>
  <c r="AX8" i="113"/>
  <c r="AZ8" i="113"/>
  <c r="BA8" i="113"/>
  <c r="BB8" i="113"/>
  <c r="AX9" i="113"/>
  <c r="AZ9" i="113"/>
  <c r="BA9" i="113"/>
  <c r="BB9" i="113"/>
  <c r="AX11" i="113"/>
  <c r="AZ11" i="113"/>
  <c r="BA11" i="113"/>
  <c r="BB11" i="113"/>
  <c r="AX14" i="113"/>
  <c r="AZ14" i="113"/>
  <c r="BA14" i="113"/>
  <c r="BB14" i="113"/>
  <c r="AX15" i="113"/>
  <c r="AZ15" i="113"/>
  <c r="BA15" i="113"/>
  <c r="BB15" i="113"/>
  <c r="AX16" i="113"/>
  <c r="AZ16" i="113"/>
  <c r="BA16" i="113"/>
  <c r="BB16" i="113"/>
  <c r="AX18" i="113"/>
  <c r="AZ18" i="113"/>
  <c r="BA18" i="113"/>
  <c r="BB18" i="113"/>
  <c r="AX23" i="113"/>
  <c r="BA23" i="113"/>
  <c r="BB23" i="113"/>
  <c r="AX24" i="113"/>
  <c r="AZ24" i="113"/>
  <c r="BA24" i="113"/>
  <c r="BB24" i="113"/>
  <c r="AX25" i="113"/>
  <c r="BA25" i="113"/>
  <c r="BB25" i="113"/>
  <c r="AX26" i="113"/>
  <c r="AZ26" i="113"/>
  <c r="BA26" i="113"/>
  <c r="BB26" i="113"/>
  <c r="AX27" i="113"/>
  <c r="AZ27" i="113"/>
  <c r="BA27" i="113"/>
  <c r="BB27" i="113"/>
  <c r="AX31" i="113"/>
  <c r="AZ31" i="113"/>
  <c r="BA31" i="113"/>
  <c r="BB31" i="113"/>
  <c r="AX32" i="113"/>
  <c r="AZ32" i="113"/>
  <c r="BA32" i="113"/>
  <c r="BB32" i="113"/>
  <c r="AX34" i="113"/>
  <c r="AZ34" i="113"/>
  <c r="BA34" i="113"/>
  <c r="BB34" i="113"/>
  <c r="AX37" i="113"/>
  <c r="AZ37" i="113"/>
  <c r="BA37" i="113"/>
  <c r="BB37" i="113"/>
  <c r="AX38" i="113"/>
  <c r="AZ38" i="113"/>
  <c r="BA38" i="113"/>
  <c r="BB38" i="113"/>
  <c r="AX39" i="113"/>
  <c r="AZ39" i="113"/>
  <c r="BA39" i="113"/>
  <c r="BB39" i="113"/>
  <c r="AX42" i="113"/>
  <c r="AZ42" i="113"/>
  <c r="BA42" i="113"/>
  <c r="BB42" i="113"/>
  <c r="AX43" i="113"/>
  <c r="BA43" i="113"/>
  <c r="BB43" i="113"/>
  <c r="AX44" i="113"/>
  <c r="AZ44" i="113"/>
  <c r="BA44" i="113"/>
  <c r="BB44" i="113"/>
  <c r="AX45" i="113"/>
  <c r="AZ45" i="113"/>
  <c r="BA45" i="113"/>
  <c r="BB45" i="113"/>
  <c r="AX51" i="113"/>
  <c r="AZ51" i="113"/>
  <c r="BA51" i="113"/>
  <c r="BB51" i="113"/>
  <c r="AX54" i="113"/>
  <c r="AZ54" i="113"/>
  <c r="BA54" i="113"/>
  <c r="BB54" i="113"/>
  <c r="AX55" i="113"/>
  <c r="AZ55" i="113"/>
  <c r="BA55" i="113"/>
  <c r="BB55" i="113"/>
  <c r="AX61" i="113"/>
  <c r="AZ61" i="113"/>
  <c r="BA61" i="113"/>
  <c r="BB61" i="113"/>
  <c r="AX62" i="113"/>
  <c r="AZ62" i="113"/>
  <c r="BA62" i="113"/>
  <c r="BB62" i="113"/>
  <c r="AX63" i="113"/>
  <c r="AZ63" i="113"/>
  <c r="BA63" i="113"/>
  <c r="BB63" i="113"/>
  <c r="AX64" i="113"/>
  <c r="AZ64" i="113"/>
  <c r="BA64" i="113"/>
  <c r="BB64" i="113"/>
  <c r="AX65" i="113"/>
  <c r="AZ65" i="113"/>
  <c r="BA65" i="113"/>
  <c r="BB65" i="113"/>
  <c r="AX68" i="113"/>
  <c r="AZ68" i="113"/>
  <c r="BA68" i="113"/>
  <c r="BB68" i="113"/>
  <c r="AX69" i="113"/>
  <c r="AZ69" i="113"/>
  <c r="BA69" i="113"/>
  <c r="BB69" i="113"/>
  <c r="AX70" i="113"/>
  <c r="AZ70" i="113"/>
  <c r="BA70" i="113"/>
  <c r="BB70" i="113"/>
  <c r="AX71" i="113"/>
  <c r="AZ71" i="113"/>
  <c r="BA71" i="113"/>
  <c r="BB71" i="113"/>
  <c r="AX72" i="113"/>
  <c r="AZ72" i="113"/>
  <c r="BA72" i="113"/>
  <c r="BB72" i="113"/>
  <c r="AX76" i="113"/>
  <c r="AZ76" i="113"/>
  <c r="BA76" i="113"/>
  <c r="BB76" i="113"/>
  <c r="AX78" i="113"/>
  <c r="AZ78" i="113"/>
  <c r="BA78" i="113"/>
  <c r="BB78" i="113"/>
  <c r="AX79" i="113"/>
  <c r="AZ79" i="113"/>
  <c r="BA79" i="113"/>
  <c r="BB79" i="113"/>
  <c r="AX80" i="113"/>
  <c r="AZ80" i="113"/>
  <c r="BA80" i="113"/>
  <c r="BB80" i="113"/>
  <c r="AI7" i="113"/>
  <c r="AJ7" i="113"/>
  <c r="AK7" i="113"/>
  <c r="AL7" i="113"/>
  <c r="AN7" i="113"/>
  <c r="AO7" i="113"/>
  <c r="AP7" i="113"/>
  <c r="AQ7" i="113"/>
  <c r="AR7" i="113"/>
  <c r="AS7" i="113"/>
  <c r="AV7" i="113"/>
  <c r="AW7" i="113"/>
  <c r="AI8" i="113"/>
  <c r="AJ8" i="113"/>
  <c r="AK8" i="113"/>
  <c r="AL8" i="113"/>
  <c r="AN8" i="113"/>
  <c r="AO8" i="113"/>
  <c r="AP8" i="113"/>
  <c r="AQ8" i="113"/>
  <c r="AR8" i="113"/>
  <c r="AS8" i="113"/>
  <c r="AV8" i="113"/>
  <c r="AW8" i="113"/>
  <c r="AI9" i="113"/>
  <c r="AJ9" i="113"/>
  <c r="AK9" i="113"/>
  <c r="AL9" i="113"/>
  <c r="AN9" i="113"/>
  <c r="AO9" i="113"/>
  <c r="AP9" i="113"/>
  <c r="AQ9" i="113"/>
  <c r="AR9" i="113"/>
  <c r="AS9" i="113"/>
  <c r="AV9" i="113"/>
  <c r="AW9" i="113"/>
  <c r="AI11" i="113"/>
  <c r="AJ11" i="113"/>
  <c r="AK11" i="113"/>
  <c r="AL11" i="113"/>
  <c r="AN11" i="113"/>
  <c r="AO11" i="113"/>
  <c r="AP11" i="113"/>
  <c r="AQ11" i="113"/>
  <c r="AR11" i="113"/>
  <c r="AS11" i="113"/>
  <c r="AV11" i="113"/>
  <c r="AW11" i="113"/>
  <c r="AI14" i="113"/>
  <c r="AJ14" i="113"/>
  <c r="AK14" i="113"/>
  <c r="AL14" i="113"/>
  <c r="AN14" i="113"/>
  <c r="AO14" i="113"/>
  <c r="AP14" i="113"/>
  <c r="AQ14" i="113"/>
  <c r="AR14" i="113"/>
  <c r="AS14" i="113"/>
  <c r="AV14" i="113"/>
  <c r="AW14" i="113"/>
  <c r="AI15" i="113"/>
  <c r="AJ15" i="113"/>
  <c r="AK15" i="113"/>
  <c r="AL15" i="113"/>
  <c r="AN15" i="113"/>
  <c r="AO15" i="113"/>
  <c r="AP15" i="113"/>
  <c r="AQ15" i="113"/>
  <c r="AR15" i="113"/>
  <c r="AS15" i="113"/>
  <c r="AV15" i="113"/>
  <c r="AW15" i="113"/>
  <c r="AI16" i="113"/>
  <c r="AJ16" i="113"/>
  <c r="AK16" i="113"/>
  <c r="AL16" i="113"/>
  <c r="AN16" i="113"/>
  <c r="AO16" i="113"/>
  <c r="AP16" i="113"/>
  <c r="AQ16" i="113"/>
  <c r="AR16" i="113"/>
  <c r="AS16" i="113"/>
  <c r="AV16" i="113"/>
  <c r="AW16" i="113"/>
  <c r="AI18" i="113"/>
  <c r="AJ18" i="113"/>
  <c r="AK18" i="113"/>
  <c r="AL18" i="113"/>
  <c r="AN18" i="113"/>
  <c r="AO18" i="113"/>
  <c r="AP18" i="113"/>
  <c r="AQ18" i="113"/>
  <c r="AR18" i="113"/>
  <c r="AS18" i="113"/>
  <c r="AV18" i="113"/>
  <c r="AW18" i="113"/>
  <c r="AI23" i="113"/>
  <c r="AJ23" i="113"/>
  <c r="AK23" i="113"/>
  <c r="AN23" i="113"/>
  <c r="AO23" i="113"/>
  <c r="AP23" i="113"/>
  <c r="AQ23" i="113"/>
  <c r="AR23" i="113"/>
  <c r="AS23" i="113"/>
  <c r="AW23" i="113"/>
  <c r="AI24" i="113"/>
  <c r="AJ24" i="113"/>
  <c r="AK24" i="113"/>
  <c r="AL24" i="113"/>
  <c r="AN24" i="113"/>
  <c r="AO24" i="113"/>
  <c r="AP24" i="113"/>
  <c r="AQ24" i="113"/>
  <c r="AR24" i="113"/>
  <c r="AS24" i="113"/>
  <c r="AV24" i="113"/>
  <c r="AW24" i="113"/>
  <c r="AI25" i="113"/>
  <c r="AJ25" i="113"/>
  <c r="AK25" i="113"/>
  <c r="AL25" i="113"/>
  <c r="AN25" i="113"/>
  <c r="AO25" i="113"/>
  <c r="AP25" i="113"/>
  <c r="AQ25" i="113"/>
  <c r="AR25" i="113"/>
  <c r="AS25" i="113"/>
  <c r="AV25" i="113"/>
  <c r="AI26" i="113"/>
  <c r="AK26" i="113"/>
  <c r="AL26" i="113"/>
  <c r="AN26" i="113"/>
  <c r="AO26" i="113"/>
  <c r="AP26" i="113"/>
  <c r="AQ26" i="113"/>
  <c r="AR26" i="113"/>
  <c r="AS26" i="113"/>
  <c r="AV26" i="113"/>
  <c r="AW26" i="113"/>
  <c r="AI27" i="113"/>
  <c r="AJ27" i="113"/>
  <c r="AK27" i="113"/>
  <c r="AL27" i="113"/>
  <c r="AN27" i="113"/>
  <c r="AO27" i="113"/>
  <c r="AP27" i="113"/>
  <c r="AQ27" i="113"/>
  <c r="AR27" i="113"/>
  <c r="AS27" i="113"/>
  <c r="AV27" i="113"/>
  <c r="AW27" i="113"/>
  <c r="AI31" i="113"/>
  <c r="AJ31" i="113"/>
  <c r="AK31" i="113"/>
  <c r="AN31" i="113"/>
  <c r="AO31" i="113"/>
  <c r="AP31" i="113"/>
  <c r="AQ31" i="113"/>
  <c r="AR31" i="113"/>
  <c r="AS31" i="113"/>
  <c r="AW31" i="113"/>
  <c r="AI32" i="113"/>
  <c r="AJ32" i="113"/>
  <c r="AK32" i="113"/>
  <c r="AL32" i="113"/>
  <c r="AN32" i="113"/>
  <c r="AO32" i="113"/>
  <c r="AP32" i="113"/>
  <c r="AQ32" i="113"/>
  <c r="AR32" i="113"/>
  <c r="AS32" i="113"/>
  <c r="AV32" i="113"/>
  <c r="AW32" i="113"/>
  <c r="AI34" i="113"/>
  <c r="AJ34" i="113"/>
  <c r="AK34" i="113"/>
  <c r="AL34" i="113"/>
  <c r="AN34" i="113"/>
  <c r="AO34" i="113"/>
  <c r="AP34" i="113"/>
  <c r="AQ34" i="113"/>
  <c r="AR34" i="113"/>
  <c r="AS34" i="113"/>
  <c r="AV34" i="113"/>
  <c r="AW34" i="113"/>
  <c r="AI37" i="113"/>
  <c r="AJ37" i="113"/>
  <c r="AK37" i="113"/>
  <c r="AN37" i="113"/>
  <c r="AO37" i="113"/>
  <c r="AP37" i="113"/>
  <c r="AQ37" i="113"/>
  <c r="AR37" i="113"/>
  <c r="AS37" i="113"/>
  <c r="AW37" i="113"/>
  <c r="AI38" i="113"/>
  <c r="AJ38" i="113"/>
  <c r="AK38" i="113"/>
  <c r="AN38" i="113"/>
  <c r="AO38" i="113"/>
  <c r="AP38" i="113"/>
  <c r="AQ38" i="113"/>
  <c r="AR38" i="113"/>
  <c r="AS38" i="113"/>
  <c r="AW38" i="113"/>
  <c r="AI39" i="113"/>
  <c r="AJ39" i="113"/>
  <c r="AK39" i="113"/>
  <c r="AL39" i="113"/>
  <c r="AN39" i="113"/>
  <c r="AO39" i="113"/>
  <c r="AP39" i="113"/>
  <c r="AQ39" i="113"/>
  <c r="AR39" i="113"/>
  <c r="AS39" i="113"/>
  <c r="AV39" i="113"/>
  <c r="AW39" i="113"/>
  <c r="AI42" i="113"/>
  <c r="AJ42" i="113"/>
  <c r="AK42" i="113"/>
  <c r="AN42" i="113"/>
  <c r="AO42" i="113"/>
  <c r="AP42" i="113"/>
  <c r="AQ42" i="113"/>
  <c r="AR42" i="113"/>
  <c r="AS42" i="113"/>
  <c r="AW42" i="113"/>
  <c r="AI43" i="113"/>
  <c r="AJ43" i="113"/>
  <c r="AK43" i="113"/>
  <c r="AL43" i="113"/>
  <c r="AN43" i="113"/>
  <c r="AO43" i="113"/>
  <c r="AP43" i="113"/>
  <c r="AQ43" i="113"/>
  <c r="AR43" i="113"/>
  <c r="AS43" i="113"/>
  <c r="AV43" i="113"/>
  <c r="AI44" i="113"/>
  <c r="AK44" i="113"/>
  <c r="AL44" i="113"/>
  <c r="AN44" i="113"/>
  <c r="AO44" i="113"/>
  <c r="AP44" i="113"/>
  <c r="AQ44" i="113"/>
  <c r="AR44" i="113"/>
  <c r="AS44" i="113"/>
  <c r="AV44" i="113"/>
  <c r="AW44" i="113"/>
  <c r="AI45" i="113"/>
  <c r="AJ45" i="113"/>
  <c r="AK45" i="113"/>
  <c r="AL45" i="113"/>
  <c r="AN45" i="113"/>
  <c r="AO45" i="113"/>
  <c r="AP45" i="113"/>
  <c r="AQ45" i="113"/>
  <c r="AR45" i="113"/>
  <c r="AS45" i="113"/>
  <c r="AV45" i="113"/>
  <c r="AW45" i="113"/>
  <c r="AI51" i="113"/>
  <c r="AJ51" i="113"/>
  <c r="AK51" i="113"/>
  <c r="AL51" i="113"/>
  <c r="AN51" i="113"/>
  <c r="AO51" i="113"/>
  <c r="AP51" i="113"/>
  <c r="AQ51" i="113"/>
  <c r="AR51" i="113"/>
  <c r="AS51" i="113"/>
  <c r="AV51" i="113"/>
  <c r="AW51" i="113"/>
  <c r="AI54" i="113"/>
  <c r="AJ54" i="113"/>
  <c r="AK54" i="113"/>
  <c r="AL54" i="113"/>
  <c r="AN54" i="113"/>
  <c r="AO54" i="113"/>
  <c r="AP54" i="113"/>
  <c r="AQ54" i="113"/>
  <c r="AR54" i="113"/>
  <c r="AS54" i="113"/>
  <c r="AV54" i="113"/>
  <c r="AW54" i="113"/>
  <c r="AI55" i="113"/>
  <c r="AJ55" i="113"/>
  <c r="AK55" i="113"/>
  <c r="AL55" i="113"/>
  <c r="AN55" i="113"/>
  <c r="AO55" i="113"/>
  <c r="AP55" i="113"/>
  <c r="AQ55" i="113"/>
  <c r="AR55" i="113"/>
  <c r="AS55" i="113"/>
  <c r="AV55" i="113"/>
  <c r="AW55" i="113"/>
  <c r="AI61" i="113"/>
  <c r="AJ61" i="113"/>
  <c r="AK61" i="113"/>
  <c r="AL61" i="113"/>
  <c r="AN61" i="113"/>
  <c r="AO61" i="113"/>
  <c r="AP61" i="113"/>
  <c r="AQ61" i="113"/>
  <c r="AR61" i="113"/>
  <c r="AS61" i="113"/>
  <c r="AV61" i="113"/>
  <c r="AW61" i="113"/>
  <c r="AI62" i="113"/>
  <c r="AJ62" i="113"/>
  <c r="AK62" i="113"/>
  <c r="AL62" i="113"/>
  <c r="AN62" i="113"/>
  <c r="AO62" i="113"/>
  <c r="AP62" i="113"/>
  <c r="AQ62" i="113"/>
  <c r="AR62" i="113"/>
  <c r="AS62" i="113"/>
  <c r="AV62" i="113"/>
  <c r="AW62" i="113"/>
  <c r="AI63" i="113"/>
  <c r="AJ63" i="113"/>
  <c r="AK63" i="113"/>
  <c r="AL63" i="113"/>
  <c r="AN63" i="113"/>
  <c r="AO63" i="113"/>
  <c r="AP63" i="113"/>
  <c r="AQ63" i="113"/>
  <c r="AR63" i="113"/>
  <c r="AS63" i="113"/>
  <c r="AV63" i="113"/>
  <c r="AW63" i="113"/>
  <c r="AI64" i="113"/>
  <c r="AJ64" i="113"/>
  <c r="AK64" i="113"/>
  <c r="AL64" i="113"/>
  <c r="AN64" i="113"/>
  <c r="AO64" i="113"/>
  <c r="AP64" i="113"/>
  <c r="AQ64" i="113"/>
  <c r="AR64" i="113"/>
  <c r="AS64" i="113"/>
  <c r="AV64" i="113"/>
  <c r="AW64" i="113"/>
  <c r="AI65" i="113"/>
  <c r="AJ65" i="113"/>
  <c r="AK65" i="113"/>
  <c r="AL65" i="113"/>
  <c r="AN65" i="113"/>
  <c r="AO65" i="113"/>
  <c r="AP65" i="113"/>
  <c r="AQ65" i="113"/>
  <c r="AR65" i="113"/>
  <c r="AS65" i="113"/>
  <c r="AV65" i="113"/>
  <c r="AW65" i="113"/>
  <c r="AI68" i="113"/>
  <c r="AJ68" i="113"/>
  <c r="AK68" i="113"/>
  <c r="AL68" i="113"/>
  <c r="AN68" i="113"/>
  <c r="AO68" i="113"/>
  <c r="AP68" i="113"/>
  <c r="AQ68" i="113"/>
  <c r="AR68" i="113"/>
  <c r="AS68" i="113"/>
  <c r="AV68" i="113"/>
  <c r="AW68" i="113"/>
  <c r="AI69" i="113"/>
  <c r="AJ69" i="113"/>
  <c r="AK69" i="113"/>
  <c r="AL69" i="113"/>
  <c r="AN69" i="113"/>
  <c r="AO69" i="113"/>
  <c r="AP69" i="113"/>
  <c r="AQ69" i="113"/>
  <c r="AR69" i="113"/>
  <c r="AS69" i="113"/>
  <c r="AV69" i="113"/>
  <c r="AW69" i="113"/>
  <c r="AI70" i="113"/>
  <c r="AJ70" i="113"/>
  <c r="AK70" i="113"/>
  <c r="AL70" i="113"/>
  <c r="AN70" i="113"/>
  <c r="AO70" i="113"/>
  <c r="AP70" i="113"/>
  <c r="AQ70" i="113"/>
  <c r="AR70" i="113"/>
  <c r="AS70" i="113"/>
  <c r="AV70" i="113"/>
  <c r="AW70" i="113"/>
  <c r="AI71" i="113"/>
  <c r="AJ71" i="113"/>
  <c r="AK71" i="113"/>
  <c r="AL71" i="113"/>
  <c r="AN71" i="113"/>
  <c r="AO71" i="113"/>
  <c r="AP71" i="113"/>
  <c r="AQ71" i="113"/>
  <c r="AR71" i="113"/>
  <c r="AS71" i="113"/>
  <c r="AV71" i="113"/>
  <c r="AW71" i="113"/>
  <c r="AI72" i="113"/>
  <c r="AJ72" i="113"/>
  <c r="AK72" i="113"/>
  <c r="AL72" i="113"/>
  <c r="AN72" i="113"/>
  <c r="AO72" i="113"/>
  <c r="AP72" i="113"/>
  <c r="AQ72" i="113"/>
  <c r="AR72" i="113"/>
  <c r="AS72" i="113"/>
  <c r="AV72" i="113"/>
  <c r="AW72" i="113"/>
  <c r="AI76" i="113"/>
  <c r="AJ76" i="113"/>
  <c r="AK76" i="113"/>
  <c r="AL76" i="113"/>
  <c r="AN76" i="113"/>
  <c r="AO76" i="113"/>
  <c r="AP76" i="113"/>
  <c r="AQ76" i="113"/>
  <c r="AR76" i="113"/>
  <c r="AS76" i="113"/>
  <c r="AV76" i="113"/>
  <c r="AW76" i="113"/>
  <c r="AI78" i="113"/>
  <c r="AJ78" i="113"/>
  <c r="AK78" i="113"/>
  <c r="AL78" i="113"/>
  <c r="AN78" i="113"/>
  <c r="AO78" i="113"/>
  <c r="AP78" i="113"/>
  <c r="AQ78" i="113"/>
  <c r="AR78" i="113"/>
  <c r="AS78" i="113"/>
  <c r="AV78" i="113"/>
  <c r="AW78" i="113"/>
  <c r="AI79" i="113"/>
  <c r="AJ79" i="113"/>
  <c r="AK79" i="113"/>
  <c r="AL79" i="113"/>
  <c r="AN79" i="113"/>
  <c r="AO79" i="113"/>
  <c r="AP79" i="113"/>
  <c r="AQ79" i="113"/>
  <c r="AR79" i="113"/>
  <c r="AS79" i="113"/>
  <c r="AV79" i="113"/>
  <c r="AW79" i="113"/>
  <c r="AI80" i="113"/>
  <c r="AJ80" i="113"/>
  <c r="AK80" i="113"/>
  <c r="AL80" i="113"/>
  <c r="AN80" i="113"/>
  <c r="AO80" i="113"/>
  <c r="AP80" i="113"/>
  <c r="AQ80" i="113"/>
  <c r="AR80" i="113"/>
  <c r="AS80" i="113"/>
  <c r="AV80" i="113"/>
  <c r="AW80" i="113"/>
  <c r="AC7" i="113"/>
  <c r="AC8" i="113"/>
  <c r="AC9" i="113"/>
  <c r="AC11" i="113"/>
  <c r="AC14" i="113"/>
  <c r="AC15" i="113"/>
  <c r="AC16" i="113"/>
  <c r="AC18" i="113"/>
  <c r="AC23" i="113"/>
  <c r="AC24" i="113"/>
  <c r="AC25" i="113"/>
  <c r="AC26" i="113"/>
  <c r="AC27" i="113"/>
  <c r="AC31" i="113"/>
  <c r="AC32" i="113"/>
  <c r="AC34" i="113"/>
  <c r="AC37" i="113"/>
  <c r="AC38" i="113"/>
  <c r="AC39" i="113"/>
  <c r="AC42" i="113"/>
  <c r="AC43" i="113"/>
  <c r="AC44" i="113"/>
  <c r="AC45" i="113"/>
  <c r="AC51" i="113"/>
  <c r="AC54" i="113"/>
  <c r="AC55" i="113"/>
  <c r="AC61" i="113"/>
  <c r="AC62" i="113"/>
  <c r="AC63" i="113"/>
  <c r="AC64" i="113"/>
  <c r="AC65" i="113"/>
  <c r="AC68" i="113"/>
  <c r="AC69" i="113"/>
  <c r="AC70" i="113"/>
  <c r="AC71" i="113"/>
  <c r="AC72" i="113"/>
  <c r="AC76" i="113"/>
  <c r="AC78" i="113"/>
  <c r="AC79" i="113"/>
  <c r="AC80" i="113"/>
  <c r="L25" i="51" l="1"/>
  <c r="K25" i="51"/>
  <c r="M24" i="51"/>
  <c r="M23" i="51"/>
  <c r="M25" i="51" l="1"/>
  <c r="BN42" i="113"/>
  <c r="BN37" i="113"/>
  <c r="BN31" i="113"/>
  <c r="BN23" i="113"/>
  <c r="AL42" i="113"/>
  <c r="AL38" i="113"/>
  <c r="AL37" i="113"/>
  <c r="AL31" i="113"/>
  <c r="AL23" i="113"/>
  <c r="BT42" i="113" l="1"/>
  <c r="BT38" i="113"/>
  <c r="BT37" i="113"/>
  <c r="BT31" i="113"/>
  <c r="BT23" i="113"/>
  <c r="AV42" i="113"/>
  <c r="AV38" i="113"/>
  <c r="AV37" i="113"/>
  <c r="AV31" i="113"/>
  <c r="AV23" i="113"/>
  <c r="BN38" i="113" l="1"/>
  <c r="C34" i="3" l="1"/>
  <c r="B34" i="3"/>
  <c r="AC72" i="1"/>
  <c r="AC73" i="113" s="1"/>
  <c r="AC65" i="1"/>
  <c r="AC45" i="1"/>
  <c r="AC46" i="113" s="1"/>
  <c r="AC34" i="1"/>
  <c r="AC35" i="113" s="1"/>
  <c r="AC27" i="1"/>
  <c r="AC28" i="113" s="1"/>
  <c r="AC16" i="1"/>
  <c r="AC17" i="113" s="1"/>
  <c r="B35" i="48" l="1"/>
  <c r="AC18" i="1"/>
  <c r="AC19" i="113" s="1"/>
  <c r="AC73" i="1"/>
  <c r="AC66" i="113"/>
  <c r="AC46" i="1"/>
  <c r="AC76" i="1" l="1"/>
  <c r="AC74" i="113"/>
  <c r="AC48" i="1"/>
  <c r="AC47" i="113"/>
  <c r="AC51" i="1" l="1"/>
  <c r="AC52" i="113" s="1"/>
  <c r="AC49" i="113"/>
  <c r="AC80" i="1"/>
  <c r="AC77" i="113"/>
  <c r="H36" i="99" l="1"/>
  <c r="AC81" i="113"/>
  <c r="E34" i="3"/>
  <c r="F35" i="48" s="1"/>
  <c r="G35" i="48" s="1"/>
  <c r="K36" i="99" l="1"/>
  <c r="BW43" i="113"/>
  <c r="BG43" i="113"/>
  <c r="BF43" i="113"/>
  <c r="AZ25" i="113" l="1"/>
  <c r="BU43" i="113" l="1"/>
  <c r="BU25" i="113"/>
  <c r="BD43" i="113" l="1"/>
  <c r="BD25" i="113"/>
  <c r="BC43" i="113"/>
  <c r="BC25" i="113"/>
  <c r="AW25" i="113"/>
  <c r="C74" i="3" l="1"/>
  <c r="B74" i="3"/>
  <c r="BK73" i="113"/>
  <c r="BK35" i="113"/>
  <c r="BK28" i="113"/>
  <c r="BK47" i="113" l="1"/>
  <c r="BK46" i="113"/>
  <c r="BK19" i="113"/>
  <c r="BK17" i="113"/>
  <c r="BK66" i="113"/>
  <c r="BK49" i="113"/>
  <c r="BK74" i="113" l="1"/>
  <c r="BK52" i="113"/>
  <c r="BK77" i="113" l="1"/>
  <c r="E74" i="3" l="1"/>
  <c r="BK81" i="113"/>
  <c r="AW43" i="113"/>
  <c r="AZ23" i="113" l="1"/>
  <c r="C88" i="3" l="1"/>
  <c r="B88" i="3"/>
  <c r="C69" i="3"/>
  <c r="B68" i="48" s="1"/>
  <c r="B69" i="3"/>
  <c r="B62" i="3"/>
  <c r="C62" i="3"/>
  <c r="BY73" i="113"/>
  <c r="BY66" i="113"/>
  <c r="BY46" i="113"/>
  <c r="BY35" i="113"/>
  <c r="BY28" i="113"/>
  <c r="B61" i="48" l="1"/>
  <c r="BY19" i="113"/>
  <c r="BY17" i="113"/>
  <c r="BY47" i="113" l="1"/>
  <c r="BY74" i="113"/>
  <c r="BY77" i="113" l="1"/>
  <c r="BY52" i="113"/>
  <c r="BY49" i="113"/>
  <c r="BJ28" i="113"/>
  <c r="BJ35" i="113"/>
  <c r="BJ46" i="113"/>
  <c r="BJ66" i="113"/>
  <c r="BJ73" i="113"/>
  <c r="BJ19" i="113" l="1"/>
  <c r="BJ17" i="113"/>
  <c r="H96" i="99"/>
  <c r="BY81" i="113"/>
  <c r="E88" i="3"/>
  <c r="K96" i="99" l="1"/>
  <c r="BJ74" i="113"/>
  <c r="BJ47" i="113"/>
  <c r="BJ77" i="113" l="1"/>
  <c r="BJ52" i="113"/>
  <c r="BJ49" i="113"/>
  <c r="AZ43" i="113"/>
  <c r="H72" i="99" l="1"/>
  <c r="K72" i="99" s="1"/>
  <c r="BJ81" i="113"/>
  <c r="E69" i="3"/>
  <c r="F68" i="48" s="1"/>
  <c r="G68" i="48" s="1"/>
  <c r="E57" i="161" l="1"/>
  <c r="G57" i="161" l="1"/>
  <c r="J57" i="161" s="1"/>
  <c r="F57" i="161" l="1"/>
  <c r="BV18" i="113" l="1"/>
  <c r="BS28" i="113" l="1"/>
  <c r="BS35" i="113"/>
  <c r="BS46" i="113"/>
  <c r="BS66" i="113"/>
  <c r="BS73" i="113"/>
  <c r="BS19" i="113" l="1"/>
  <c r="BS17" i="113"/>
  <c r="BS74" i="113" l="1"/>
  <c r="BS49" i="113"/>
  <c r="BS47" i="113"/>
  <c r="AJ26" i="113"/>
  <c r="BS52" i="113" l="1"/>
  <c r="BS77" i="113"/>
  <c r="AJ44" i="113"/>
  <c r="H90" i="99" l="1"/>
  <c r="BS81" i="113"/>
  <c r="K90" i="99" l="1"/>
  <c r="AB27" i="1"/>
  <c r="AL66" i="113" l="1"/>
  <c r="AL73" i="113"/>
  <c r="BX25" i="113" l="1"/>
  <c r="BI25" i="113"/>
  <c r="AL77" i="113" l="1"/>
  <c r="AL74" i="113"/>
  <c r="AJ73" i="113"/>
  <c r="AJ66" i="113"/>
  <c r="AJ46" i="113"/>
  <c r="AJ35" i="113"/>
  <c r="AJ28" i="113"/>
  <c r="AJ19" i="113" l="1"/>
  <c r="AJ17" i="113"/>
  <c r="AJ74" i="113" l="1"/>
  <c r="AJ47" i="113"/>
  <c r="AJ52" i="113" l="1"/>
  <c r="AJ49" i="113"/>
  <c r="AJ81" i="113"/>
  <c r="AJ77" i="113"/>
  <c r="BP9" i="1" l="1"/>
  <c r="AH9" i="1"/>
  <c r="AI9" i="1" l="1"/>
  <c r="AJ9" i="1" s="1"/>
  <c r="A43" i="99"/>
  <c r="A40" i="3"/>
  <c r="A84" i="99"/>
  <c r="BM10" i="113"/>
  <c r="AI10" i="113" l="1"/>
  <c r="AK9" i="1"/>
  <c r="AL9" i="1" s="1"/>
  <c r="AM9" i="1" s="1"/>
  <c r="AN9" i="1" s="1"/>
  <c r="A49" i="99" s="1"/>
  <c r="BF9" i="1"/>
  <c r="BD10" i="113"/>
  <c r="A46" i="3" l="1"/>
  <c r="A45" i="48" s="1"/>
  <c r="AO9" i="1"/>
  <c r="AP9" i="1" s="1"/>
  <c r="AJ10" i="113"/>
  <c r="A47" i="99"/>
  <c r="AK10" i="113"/>
  <c r="BE10" i="113"/>
  <c r="BF10" i="113" l="1"/>
  <c r="AQ9" i="1"/>
  <c r="AR9" i="1" s="1"/>
  <c r="AS9" i="1" s="1"/>
  <c r="AT9" i="1" s="1"/>
  <c r="AU9" i="1" s="1"/>
  <c r="AL10" i="113"/>
  <c r="C83" i="3"/>
  <c r="B83" i="3"/>
  <c r="C82" i="3"/>
  <c r="B82" i="3"/>
  <c r="C80" i="3"/>
  <c r="B80" i="3"/>
  <c r="C79" i="3"/>
  <c r="B79" i="3"/>
  <c r="C78" i="3"/>
  <c r="B78" i="3"/>
  <c r="C77" i="3"/>
  <c r="B77" i="3"/>
  <c r="C76" i="3"/>
  <c r="B76" i="3"/>
  <c r="C85" i="3"/>
  <c r="B85" i="3"/>
  <c r="C84" i="3"/>
  <c r="B84" i="3"/>
  <c r="C87" i="3"/>
  <c r="B87" i="3"/>
  <c r="B86" i="3"/>
  <c r="C86" i="3"/>
  <c r="AV9" i="1" l="1"/>
  <c r="A56" i="99"/>
  <c r="A53" i="3"/>
  <c r="A52" i="48" s="1"/>
  <c r="AN10" i="113"/>
  <c r="BG10" i="113"/>
  <c r="BP72" i="1"/>
  <c r="BM73" i="113" s="1"/>
  <c r="BP65" i="1"/>
  <c r="BM66" i="113" s="1"/>
  <c r="BP45" i="1"/>
  <c r="BM46" i="113" s="1"/>
  <c r="BP34" i="1"/>
  <c r="BM35" i="113" s="1"/>
  <c r="BP27" i="1"/>
  <c r="BM28" i="113" s="1"/>
  <c r="BP16" i="1"/>
  <c r="AW9" i="1" l="1"/>
  <c r="A54" i="3"/>
  <c r="A53" i="48" s="1"/>
  <c r="A57" i="99"/>
  <c r="BH10" i="113"/>
  <c r="BP18" i="1"/>
  <c r="BM19" i="113" s="1"/>
  <c r="BM17" i="113"/>
  <c r="AO10" i="113"/>
  <c r="BP73" i="1"/>
  <c r="BP46" i="1"/>
  <c r="I74" i="161"/>
  <c r="H74" i="161"/>
  <c r="I67" i="161"/>
  <c r="H67" i="161"/>
  <c r="I29" i="161"/>
  <c r="H29" i="161"/>
  <c r="BT73" i="113"/>
  <c r="H75" i="161" l="1"/>
  <c r="H78" i="161" s="1"/>
  <c r="H82" i="161" s="1"/>
  <c r="BP48" i="1"/>
  <c r="BM47" i="113"/>
  <c r="BP76" i="1"/>
  <c r="BM74" i="113"/>
  <c r="A52" i="99"/>
  <c r="AP10" i="113"/>
  <c r="BI10" i="113"/>
  <c r="I75" i="161"/>
  <c r="I78" i="161" s="1"/>
  <c r="I82" i="161" s="1"/>
  <c r="A69" i="3" l="1"/>
  <c r="A68" i="48" s="1"/>
  <c r="A72" i="99"/>
  <c r="BJ10" i="113"/>
  <c r="BP80" i="1"/>
  <c r="BM77" i="113"/>
  <c r="AQ10" i="113"/>
  <c r="BP51" i="1"/>
  <c r="BM52" i="113" s="1"/>
  <c r="BM49" i="113"/>
  <c r="BT66" i="113"/>
  <c r="BT46" i="113"/>
  <c r="BT35" i="113"/>
  <c r="BT28" i="113"/>
  <c r="BS72" i="1"/>
  <c r="BP73" i="113" s="1"/>
  <c r="BQ73" i="113"/>
  <c r="BR72" i="1"/>
  <c r="BO73" i="113" s="1"/>
  <c r="BQ72" i="1"/>
  <c r="BN73" i="113" s="1"/>
  <c r="BS65" i="1"/>
  <c r="BP66" i="113" s="1"/>
  <c r="BQ66" i="113"/>
  <c r="BR65" i="1"/>
  <c r="BO66" i="113" s="1"/>
  <c r="BQ65" i="1"/>
  <c r="BN66" i="113" s="1"/>
  <c r="BS45" i="1"/>
  <c r="BP46" i="113" s="1"/>
  <c r="BQ46" i="113"/>
  <c r="BR45" i="1"/>
  <c r="BO46" i="113" s="1"/>
  <c r="BQ45" i="1"/>
  <c r="BN46" i="113" s="1"/>
  <c r="BS34" i="1"/>
  <c r="BP35" i="113" s="1"/>
  <c r="BQ35" i="113"/>
  <c r="BR34" i="1"/>
  <c r="BO35" i="113" s="1"/>
  <c r="BQ34" i="1"/>
  <c r="BN35" i="113" s="1"/>
  <c r="BS27" i="1"/>
  <c r="BP28" i="113" s="1"/>
  <c r="BQ28" i="113"/>
  <c r="BR27" i="1"/>
  <c r="BO28" i="113" s="1"/>
  <c r="BQ27" i="1"/>
  <c r="BN28" i="113" s="1"/>
  <c r="BS16" i="1"/>
  <c r="BR16" i="1"/>
  <c r="BQ16" i="1"/>
  <c r="C61" i="3"/>
  <c r="B60" i="48" s="1"/>
  <c r="B61" i="3"/>
  <c r="C60" i="3"/>
  <c r="B59" i="48" s="1"/>
  <c r="B60" i="3"/>
  <c r="BQ19" i="113" l="1"/>
  <c r="BQ17" i="113"/>
  <c r="BS18" i="1"/>
  <c r="BP19" i="113" s="1"/>
  <c r="BP17" i="113"/>
  <c r="H84" i="99"/>
  <c r="BM81" i="113"/>
  <c r="E76" i="3"/>
  <c r="BQ18" i="1"/>
  <c r="BN19" i="113" s="1"/>
  <c r="BN17" i="113"/>
  <c r="BT19" i="113"/>
  <c r="BT17" i="113"/>
  <c r="AR10" i="113"/>
  <c r="BR18" i="1"/>
  <c r="BO19" i="113" s="1"/>
  <c r="BO17" i="113"/>
  <c r="E82" i="3"/>
  <c r="BR73" i="1"/>
  <c r="BQ46" i="1"/>
  <c r="BS46" i="1"/>
  <c r="BQ73" i="1"/>
  <c r="BS73" i="1"/>
  <c r="BR46" i="1"/>
  <c r="BV73" i="113"/>
  <c r="BZ72" i="1"/>
  <c r="BW73" i="113" s="1"/>
  <c r="BX73" i="113"/>
  <c r="BV66" i="113"/>
  <c r="BZ65" i="1"/>
  <c r="BW66" i="113" s="1"/>
  <c r="BX66" i="113"/>
  <c r="BV46" i="113"/>
  <c r="BU46" i="113"/>
  <c r="BX46" i="113"/>
  <c r="BZ45" i="1"/>
  <c r="BW46" i="113" s="1"/>
  <c r="BV35" i="113"/>
  <c r="BX35" i="113"/>
  <c r="BU35" i="113"/>
  <c r="BZ34" i="1"/>
  <c r="BW35" i="113" s="1"/>
  <c r="BV28" i="113"/>
  <c r="BU28" i="113"/>
  <c r="BX28" i="113"/>
  <c r="BZ27" i="1"/>
  <c r="BW28" i="113" s="1"/>
  <c r="BZ16" i="1"/>
  <c r="C56" i="3"/>
  <c r="B56" i="3"/>
  <c r="BE45" i="1"/>
  <c r="BD46" i="113" s="1"/>
  <c r="BE34" i="1"/>
  <c r="BD35" i="113" s="1"/>
  <c r="BE27" i="1"/>
  <c r="BD28" i="113" s="1"/>
  <c r="BE16" i="1"/>
  <c r="BI73" i="113"/>
  <c r="BI66" i="113"/>
  <c r="BI46" i="113"/>
  <c r="BI35" i="113"/>
  <c r="BI28" i="113"/>
  <c r="BG73" i="113"/>
  <c r="BG66" i="113"/>
  <c r="BG46" i="113"/>
  <c r="BG35" i="113"/>
  <c r="BG28" i="113"/>
  <c r="B55" i="48" l="1"/>
  <c r="BI19" i="113"/>
  <c r="BI17" i="113"/>
  <c r="BZ18" i="1"/>
  <c r="BW19" i="113" s="1"/>
  <c r="BW17" i="113"/>
  <c r="BQ48" i="1"/>
  <c r="BN47" i="113"/>
  <c r="AS10" i="113"/>
  <c r="AX9" i="1"/>
  <c r="AY9" i="1" s="1"/>
  <c r="BX19" i="113"/>
  <c r="BX17" i="113"/>
  <c r="BS76" i="1"/>
  <c r="BP74" i="113"/>
  <c r="BR76" i="1"/>
  <c r="BO74" i="113"/>
  <c r="BR48" i="1"/>
  <c r="BO49" i="113" s="1"/>
  <c r="BO47" i="113"/>
  <c r="BT74" i="113"/>
  <c r="BG19" i="113"/>
  <c r="BG17" i="113"/>
  <c r="BE18" i="1"/>
  <c r="BD19" i="113" s="1"/>
  <c r="BD17" i="113"/>
  <c r="BU19" i="113"/>
  <c r="BU17" i="113"/>
  <c r="BQ74" i="113"/>
  <c r="BQ76" i="1"/>
  <c r="BN74" i="113"/>
  <c r="BV19" i="113"/>
  <c r="BV17" i="113"/>
  <c r="BQ49" i="113"/>
  <c r="BQ47" i="113"/>
  <c r="BS48" i="1"/>
  <c r="BP47" i="113"/>
  <c r="BT49" i="113"/>
  <c r="BT47" i="113"/>
  <c r="K84" i="99"/>
  <c r="BU66" i="113"/>
  <c r="BZ46" i="1"/>
  <c r="BU73" i="113"/>
  <c r="BE72" i="1"/>
  <c r="BD73" i="113" s="1"/>
  <c r="BZ73" i="1"/>
  <c r="BE46" i="1"/>
  <c r="BE65" i="1"/>
  <c r="BD66" i="113" s="1"/>
  <c r="AZ9" i="1" l="1"/>
  <c r="BQ52" i="113"/>
  <c r="BT52" i="113"/>
  <c r="BI47" i="113"/>
  <c r="A58" i="99"/>
  <c r="AV10" i="113"/>
  <c r="BG74" i="113"/>
  <c r="BX49" i="113"/>
  <c r="BX47" i="113"/>
  <c r="BX74" i="113"/>
  <c r="BQ80" i="1"/>
  <c r="BN77" i="113"/>
  <c r="BS80" i="1"/>
  <c r="BP77" i="113"/>
  <c r="BE48" i="1"/>
  <c r="BD47" i="113"/>
  <c r="BZ76" i="1"/>
  <c r="BW74" i="113"/>
  <c r="BR51" i="1"/>
  <c r="BO52" i="113" s="1"/>
  <c r="BI74" i="113"/>
  <c r="BV74" i="113"/>
  <c r="BU49" i="113"/>
  <c r="BU47" i="113"/>
  <c r="BG49" i="113"/>
  <c r="BG47" i="113"/>
  <c r="BV49" i="113"/>
  <c r="BV47" i="113"/>
  <c r="BZ48" i="1"/>
  <c r="BW49" i="113" s="1"/>
  <c r="BW47" i="113"/>
  <c r="BS51" i="1"/>
  <c r="BP52" i="113" s="1"/>
  <c r="BP49" i="113"/>
  <c r="BQ77" i="113"/>
  <c r="BT77" i="113"/>
  <c r="BR80" i="1"/>
  <c r="BO77" i="113"/>
  <c r="BQ51" i="1"/>
  <c r="BN52" i="113" s="1"/>
  <c r="BN49" i="113"/>
  <c r="BV52" i="113"/>
  <c r="BE73" i="1"/>
  <c r="BX52" i="113"/>
  <c r="BU52" i="113"/>
  <c r="BA9" i="1" l="1"/>
  <c r="BB9" i="1" s="1"/>
  <c r="BC9" i="1" s="1"/>
  <c r="BD9" i="1" s="1"/>
  <c r="A58" i="3"/>
  <c r="A57" i="48" s="1"/>
  <c r="A61" i="99"/>
  <c r="E78" i="3"/>
  <c r="H86" i="99"/>
  <c r="BO81" i="113"/>
  <c r="E77" i="3"/>
  <c r="H85" i="99"/>
  <c r="BN81" i="113"/>
  <c r="BV77" i="113"/>
  <c r="BZ51" i="1"/>
  <c r="BW52" i="113" s="1"/>
  <c r="BZ80" i="1"/>
  <c r="BW77" i="113"/>
  <c r="E79" i="3"/>
  <c r="H87" i="99"/>
  <c r="BP81" i="113"/>
  <c r="BX77" i="113"/>
  <c r="BG81" i="113"/>
  <c r="BG77" i="113"/>
  <c r="E80" i="3"/>
  <c r="H88" i="99"/>
  <c r="BQ81" i="113"/>
  <c r="BE51" i="1"/>
  <c r="BD52" i="113" s="1"/>
  <c r="BD49" i="113"/>
  <c r="BE76" i="1"/>
  <c r="BD74" i="113"/>
  <c r="A59" i="99"/>
  <c r="AW10" i="113"/>
  <c r="BU74" i="113"/>
  <c r="E83" i="3"/>
  <c r="H91" i="99"/>
  <c r="BT81" i="113"/>
  <c r="BG52" i="113"/>
  <c r="BI81" i="113"/>
  <c r="BI77" i="113"/>
  <c r="BI52" i="113"/>
  <c r="BI49" i="113"/>
  <c r="BF28" i="113"/>
  <c r="BF35" i="113"/>
  <c r="BF46" i="113"/>
  <c r="BF66" i="113"/>
  <c r="BF73" i="113"/>
  <c r="BB73" i="113"/>
  <c r="BB66" i="113"/>
  <c r="BB46" i="113"/>
  <c r="BB35" i="113"/>
  <c r="BB28" i="113"/>
  <c r="BA73" i="113"/>
  <c r="BA66" i="113"/>
  <c r="BA46" i="113"/>
  <c r="BA35" i="113"/>
  <c r="BA28" i="113"/>
  <c r="AH16" i="1"/>
  <c r="AH18" i="1" s="1"/>
  <c r="AH27" i="1"/>
  <c r="AH34" i="1"/>
  <c r="AH45" i="1"/>
  <c r="AH65" i="1"/>
  <c r="AH72" i="1"/>
  <c r="A62" i="3" l="1"/>
  <c r="A61" i="48" s="1"/>
  <c r="BC10" i="113"/>
  <c r="AX10" i="113"/>
  <c r="K88" i="99"/>
  <c r="BF19" i="113"/>
  <c r="BF17" i="113"/>
  <c r="E87" i="3"/>
  <c r="H95" i="99"/>
  <c r="BX81" i="113"/>
  <c r="E85" i="3"/>
  <c r="H93" i="99"/>
  <c r="BV81" i="113"/>
  <c r="BA19" i="113"/>
  <c r="BA17" i="113"/>
  <c r="K91" i="99"/>
  <c r="BE80" i="1"/>
  <c r="BD81" i="113" s="1"/>
  <c r="BD77" i="113"/>
  <c r="BB19" i="113"/>
  <c r="BB17" i="113"/>
  <c r="E86" i="3"/>
  <c r="H94" i="99"/>
  <c r="BW81" i="113"/>
  <c r="K86" i="99"/>
  <c r="BU77" i="113"/>
  <c r="K87" i="99"/>
  <c r="K85" i="99"/>
  <c r="A76" i="3"/>
  <c r="BQ9" i="1"/>
  <c r="AH73" i="1"/>
  <c r="AH76" i="1" s="1"/>
  <c r="AH80" i="1" s="1"/>
  <c r="AH46" i="1"/>
  <c r="AH48" i="1" s="1"/>
  <c r="AH51" i="1" s="1"/>
  <c r="H43" i="99" l="1"/>
  <c r="E40" i="3"/>
  <c r="BB74" i="113"/>
  <c r="K95" i="99"/>
  <c r="BA49" i="113"/>
  <c r="BA47" i="113"/>
  <c r="K93" i="99"/>
  <c r="BF49" i="113"/>
  <c r="BF47" i="113"/>
  <c r="BA74" i="113"/>
  <c r="BF74" i="113"/>
  <c r="E84" i="3"/>
  <c r="H92" i="99"/>
  <c r="BU81" i="113"/>
  <c r="K94" i="99"/>
  <c r="BB47" i="113"/>
  <c r="BR9" i="1"/>
  <c r="A85" i="99"/>
  <c r="BN10" i="113"/>
  <c r="AZ10" i="113"/>
  <c r="A77" i="3"/>
  <c r="AW73" i="113"/>
  <c r="AW66" i="113"/>
  <c r="AW46" i="113"/>
  <c r="AW35" i="113"/>
  <c r="AW28" i="113"/>
  <c r="BA52" i="113" l="1"/>
  <c r="BB52" i="113"/>
  <c r="BB49" i="113"/>
  <c r="BF81" i="113"/>
  <c r="BF77" i="113"/>
  <c r="K92" i="99"/>
  <c r="K97" i="99" s="1"/>
  <c r="AW19" i="113"/>
  <c r="AW17" i="113"/>
  <c r="BS9" i="1"/>
  <c r="BT9" i="1" s="1"/>
  <c r="BU9" i="1" s="1"/>
  <c r="BV9" i="1" s="1"/>
  <c r="BW9" i="1" s="1"/>
  <c r="BX9" i="1" s="1"/>
  <c r="A86" i="99"/>
  <c r="BO10" i="113"/>
  <c r="BA77" i="113"/>
  <c r="BF52" i="113"/>
  <c r="A63" i="99"/>
  <c r="BA10" i="113"/>
  <c r="BB77" i="113"/>
  <c r="A78" i="3"/>
  <c r="AW74" i="113"/>
  <c r="C49" i="3"/>
  <c r="B49" i="3"/>
  <c r="B48" i="48" l="1"/>
  <c r="A64" i="99"/>
  <c r="BB10" i="113"/>
  <c r="AW47" i="113"/>
  <c r="H64" i="99"/>
  <c r="BB81" i="113"/>
  <c r="E61" i="3"/>
  <c r="F60" i="48" s="1"/>
  <c r="G60" i="48" s="1"/>
  <c r="A87" i="99"/>
  <c r="BP10" i="113"/>
  <c r="H63" i="99"/>
  <c r="BA81" i="113"/>
  <c r="E60" i="3"/>
  <c r="F59" i="48" s="1"/>
  <c r="G59" i="48" s="1"/>
  <c r="A79" i="3"/>
  <c r="F500" i="111"/>
  <c r="F501" i="111"/>
  <c r="F334" i="111"/>
  <c r="F329" i="111"/>
  <c r="F306" i="111"/>
  <c r="F202" i="111"/>
  <c r="BR10" i="113" l="1"/>
  <c r="A89" i="99"/>
  <c r="BY9" i="1"/>
  <c r="BZ9" i="1" s="1"/>
  <c r="CA9" i="1" s="1"/>
  <c r="A81" i="3"/>
  <c r="K63" i="99"/>
  <c r="AW52" i="113"/>
  <c r="AW49" i="113"/>
  <c r="A88" i="99"/>
  <c r="BQ10" i="113"/>
  <c r="AW77" i="113"/>
  <c r="K64" i="99"/>
  <c r="A80" i="3"/>
  <c r="AP73" i="113"/>
  <c r="AP66" i="113"/>
  <c r="AP46" i="113"/>
  <c r="AP35" i="113"/>
  <c r="AP28" i="113"/>
  <c r="B64" i="3"/>
  <c r="C64" i="3"/>
  <c r="B63" i="48" l="1"/>
  <c r="AP19" i="113"/>
  <c r="AP17" i="113"/>
  <c r="A83" i="3"/>
  <c r="A90" i="99"/>
  <c r="BS10" i="113"/>
  <c r="E56" i="3"/>
  <c r="F55" i="48" s="1"/>
  <c r="G55" i="48" s="1"/>
  <c r="H59" i="99"/>
  <c r="AW81" i="113"/>
  <c r="A82" i="3"/>
  <c r="AP74" i="113" l="1"/>
  <c r="K59" i="99"/>
  <c r="A91" i="99"/>
  <c r="BT10" i="113"/>
  <c r="AP47" i="113"/>
  <c r="AP52" i="113" l="1"/>
  <c r="AP49" i="113"/>
  <c r="A92" i="99"/>
  <c r="BU10" i="113"/>
  <c r="A84" i="3"/>
  <c r="AP77" i="113"/>
  <c r="E14" i="52"/>
  <c r="E9" i="52"/>
  <c r="E30" i="160"/>
  <c r="C42" i="160" s="1"/>
  <c r="I41" i="1" l="1"/>
  <c r="AF41" i="1"/>
  <c r="Y41" i="1"/>
  <c r="E49" i="3"/>
  <c r="F48" i="48" s="1"/>
  <c r="G48" i="48" s="1"/>
  <c r="H52" i="99"/>
  <c r="AP81" i="113"/>
  <c r="A93" i="99"/>
  <c r="BV10" i="113"/>
  <c r="A85" i="3"/>
  <c r="E9" i="160"/>
  <c r="E12" i="52" s="1"/>
  <c r="D42" i="160"/>
  <c r="E43" i="160" s="1"/>
  <c r="E13" i="160" s="1"/>
  <c r="E16" i="52" s="1"/>
  <c r="Y33" i="1" l="1"/>
  <c r="S33" i="1"/>
  <c r="I33" i="1"/>
  <c r="Y36" i="1"/>
  <c r="T36" i="1"/>
  <c r="I36" i="1"/>
  <c r="I37" i="113" s="1"/>
  <c r="I42" i="113"/>
  <c r="I45" i="1"/>
  <c r="A94" i="99"/>
  <c r="BW10" i="113"/>
  <c r="A86" i="3"/>
  <c r="K52" i="99"/>
  <c r="AG33" i="1"/>
  <c r="AG36" i="1"/>
  <c r="E16" i="160"/>
  <c r="E18" i="160" s="1"/>
  <c r="I34" i="113" l="1"/>
  <c r="I34" i="1"/>
  <c r="I35" i="113" s="1"/>
  <c r="I46" i="113"/>
  <c r="I46" i="1"/>
  <c r="A95" i="99"/>
  <c r="BX10" i="113"/>
  <c r="A87" i="3"/>
  <c r="E20" i="160"/>
  <c r="I48" i="1" l="1"/>
  <c r="I47" i="113"/>
  <c r="A96" i="99"/>
  <c r="BY10" i="113"/>
  <c r="A88" i="3"/>
  <c r="E22" i="160"/>
  <c r="E22" i="52"/>
  <c r="I49" i="113" l="1"/>
  <c r="I51" i="1"/>
  <c r="I52" i="113" s="1"/>
  <c r="A74" i="3"/>
  <c r="BK10" i="113"/>
  <c r="B65" i="99"/>
  <c r="A65" i="99"/>
  <c r="BC73" i="113" l="1"/>
  <c r="BC66" i="113"/>
  <c r="BC46" i="113"/>
  <c r="BC35" i="113"/>
  <c r="BC28" i="113"/>
  <c r="BC19" i="113" l="1"/>
  <c r="BC17" i="113"/>
  <c r="B70" i="99"/>
  <c r="A70" i="99"/>
  <c r="C67" i="3"/>
  <c r="B66" i="48" s="1"/>
  <c r="B67" i="3"/>
  <c r="A67" i="3"/>
  <c r="A66" i="48" s="1"/>
  <c r="BC49" i="113" l="1"/>
  <c r="BC47" i="113"/>
  <c r="BC74" i="113"/>
  <c r="BC52" i="113"/>
  <c r="BC77" i="113" l="1"/>
  <c r="BH73" i="113"/>
  <c r="BH66" i="113"/>
  <c r="BH46" i="113"/>
  <c r="BH35" i="113"/>
  <c r="BH28" i="113"/>
  <c r="BH19" i="113" l="1"/>
  <c r="BH17" i="113"/>
  <c r="E62" i="3"/>
  <c r="F61" i="48" s="1"/>
  <c r="G61" i="48" s="1"/>
  <c r="BC81" i="113"/>
  <c r="H65" i="99"/>
  <c r="K65" i="99" s="1"/>
  <c r="J74" i="117"/>
  <c r="J67" i="117"/>
  <c r="J29" i="117"/>
  <c r="A4" i="117"/>
  <c r="A4" i="161" s="1"/>
  <c r="A3" i="117"/>
  <c r="A3" i="161" s="1"/>
  <c r="A2" i="117"/>
  <c r="A2" i="161" s="1"/>
  <c r="A1" i="117"/>
  <c r="A1" i="161" s="1"/>
  <c r="BH47" i="113" l="1"/>
  <c r="BH74" i="113"/>
  <c r="J75" i="117"/>
  <c r="J78" i="117" s="1"/>
  <c r="J82" i="117" s="1"/>
  <c r="BH77" i="113" l="1"/>
  <c r="BH52" i="113"/>
  <c r="BH49" i="113"/>
  <c r="B62" i="99"/>
  <c r="B68" i="99"/>
  <c r="B45" i="99"/>
  <c r="B44" i="99"/>
  <c r="B42" i="99"/>
  <c r="A42" i="99"/>
  <c r="B41" i="99"/>
  <c r="A41" i="99"/>
  <c r="BH81" i="113" l="1"/>
  <c r="E67" i="3"/>
  <c r="F66" i="48" s="1"/>
  <c r="G66" i="48" s="1"/>
  <c r="H70" i="99"/>
  <c r="K70" i="99" s="1"/>
  <c r="X16" i="1"/>
  <c r="X18" i="1" s="1"/>
  <c r="X27" i="1"/>
  <c r="X34" i="1"/>
  <c r="X45" i="1"/>
  <c r="X65" i="1"/>
  <c r="X72" i="1"/>
  <c r="X73" i="1" l="1"/>
  <c r="X76" i="1" s="1"/>
  <c r="X80" i="1" s="1"/>
  <c r="X46" i="1"/>
  <c r="X48" i="1" s="1"/>
  <c r="X51" i="1" l="1"/>
  <c r="B44" i="3" l="1"/>
  <c r="C44" i="3"/>
  <c r="B43" i="48" l="1"/>
  <c r="AH7" i="113"/>
  <c r="AH8" i="113"/>
  <c r="AH9" i="113"/>
  <c r="AH11" i="113"/>
  <c r="AH14" i="113"/>
  <c r="AH15" i="113"/>
  <c r="AH16" i="113"/>
  <c r="AH18" i="113"/>
  <c r="AH23" i="113"/>
  <c r="AH24" i="113"/>
  <c r="AH25" i="113"/>
  <c r="AH26" i="113"/>
  <c r="AH27" i="113"/>
  <c r="AH31" i="113"/>
  <c r="AH32" i="113"/>
  <c r="AH34" i="113"/>
  <c r="AH37" i="113"/>
  <c r="AH38" i="113"/>
  <c r="AH39" i="113"/>
  <c r="AH42" i="113"/>
  <c r="AH43" i="113"/>
  <c r="AH44" i="113"/>
  <c r="AH45" i="113"/>
  <c r="AH51" i="113"/>
  <c r="AH54" i="113"/>
  <c r="AH55" i="113"/>
  <c r="AH61" i="113"/>
  <c r="AH62" i="113"/>
  <c r="AH63" i="113"/>
  <c r="AH64" i="113"/>
  <c r="AH65" i="113"/>
  <c r="AH68" i="113"/>
  <c r="AH69" i="113"/>
  <c r="AH70" i="113"/>
  <c r="AH71" i="113"/>
  <c r="AH72" i="113"/>
  <c r="AH76" i="113"/>
  <c r="AH78" i="113"/>
  <c r="AH79" i="113"/>
  <c r="AH80" i="113"/>
  <c r="C41" i="3"/>
  <c r="B41" i="3"/>
  <c r="AI72" i="1"/>
  <c r="AH73" i="113" s="1"/>
  <c r="AI65" i="1"/>
  <c r="AH66" i="113" s="1"/>
  <c r="AI45" i="1"/>
  <c r="AH46" i="113" s="1"/>
  <c r="AI34" i="1"/>
  <c r="AH35" i="113" s="1"/>
  <c r="AI27" i="1"/>
  <c r="AH28" i="113" s="1"/>
  <c r="AI16" i="1"/>
  <c r="AH17" i="113" s="1"/>
  <c r="B40" i="48" l="1"/>
  <c r="AI18" i="1"/>
  <c r="AH19" i="113" s="1"/>
  <c r="AI73" i="1"/>
  <c r="AI46" i="1"/>
  <c r="AI76" i="1" l="1"/>
  <c r="AH74" i="113"/>
  <c r="AI48" i="1"/>
  <c r="AH47" i="113"/>
  <c r="AI51" i="1" l="1"/>
  <c r="AH52" i="113" s="1"/>
  <c r="AH49" i="113"/>
  <c r="AI80" i="1"/>
  <c r="H44" i="99" s="1"/>
  <c r="K44" i="99" s="1"/>
  <c r="AH77" i="113"/>
  <c r="E41" i="3" l="1"/>
  <c r="AH81" i="113"/>
  <c r="AE7" i="113"/>
  <c r="AE8" i="113"/>
  <c r="AE9" i="113"/>
  <c r="AE10" i="113"/>
  <c r="AE11" i="113"/>
  <c r="AE14" i="113"/>
  <c r="AE15" i="113"/>
  <c r="AE16" i="113"/>
  <c r="AE18" i="113"/>
  <c r="AE23" i="113"/>
  <c r="AE24" i="113"/>
  <c r="AE25" i="113"/>
  <c r="AE26" i="113"/>
  <c r="AE27" i="113"/>
  <c r="AE31" i="113"/>
  <c r="AE32" i="113"/>
  <c r="AE38" i="113"/>
  <c r="AE39" i="113"/>
  <c r="AE43" i="113"/>
  <c r="AE44" i="113"/>
  <c r="AE45" i="113"/>
  <c r="AE51" i="113"/>
  <c r="AE54" i="113"/>
  <c r="AE55" i="113"/>
  <c r="AE61" i="113"/>
  <c r="AE62" i="113"/>
  <c r="AE63" i="113"/>
  <c r="AE64" i="113"/>
  <c r="AE65" i="113"/>
  <c r="AE68" i="113"/>
  <c r="AE69" i="113"/>
  <c r="AE70" i="113"/>
  <c r="AE71" i="113"/>
  <c r="AE72" i="113"/>
  <c r="AE76" i="113"/>
  <c r="AE78" i="113"/>
  <c r="AE79" i="113"/>
  <c r="AE80" i="113"/>
  <c r="C38" i="3"/>
  <c r="B38" i="3"/>
  <c r="A38" i="3"/>
  <c r="AF72" i="1"/>
  <c r="AE73" i="113" s="1"/>
  <c r="AF65" i="1"/>
  <c r="AF45" i="1"/>
  <c r="AE37" i="113"/>
  <c r="AF34" i="1"/>
  <c r="AE35" i="113" s="1"/>
  <c r="AF27" i="1"/>
  <c r="AE28" i="113" s="1"/>
  <c r="AF16" i="1"/>
  <c r="AF18" i="1" s="1"/>
  <c r="AE19" i="113" s="1"/>
  <c r="C59" i="3"/>
  <c r="B58" i="48" s="1"/>
  <c r="B59" i="3"/>
  <c r="AZ73" i="113"/>
  <c r="AZ66" i="113"/>
  <c r="AZ46" i="113"/>
  <c r="AZ35" i="113"/>
  <c r="AZ28" i="113"/>
  <c r="AZ17" i="113"/>
  <c r="A37" i="48" l="1"/>
  <c r="B37" i="48"/>
  <c r="F40" i="48"/>
  <c r="G40" i="48" s="1"/>
  <c r="AF73" i="1"/>
  <c r="AF76" i="1" s="1"/>
  <c r="AF80" i="1" s="1"/>
  <c r="AZ19" i="113"/>
  <c r="AZ74" i="113"/>
  <c r="AE66" i="113"/>
  <c r="AZ47" i="113"/>
  <c r="AE42" i="113"/>
  <c r="AE17" i="113"/>
  <c r="AF46" i="1"/>
  <c r="AE47" i="113" s="1"/>
  <c r="AE46" i="113"/>
  <c r="AE34" i="113"/>
  <c r="E38" i="3" l="1"/>
  <c r="H41" i="99"/>
  <c r="K41" i="99" s="1"/>
  <c r="AZ77" i="113"/>
  <c r="AE74" i="113"/>
  <c r="AE77" i="113"/>
  <c r="AE81" i="113"/>
  <c r="AF48" i="1"/>
  <c r="AE49" i="113" s="1"/>
  <c r="AF7" i="113"/>
  <c r="AF8" i="113"/>
  <c r="AF9" i="113"/>
  <c r="AF10" i="113"/>
  <c r="AF11" i="113"/>
  <c r="AF14" i="113"/>
  <c r="AF15" i="113"/>
  <c r="AF16" i="113"/>
  <c r="AF18" i="113"/>
  <c r="AF23" i="113"/>
  <c r="AF24" i="113"/>
  <c r="AF25" i="113"/>
  <c r="AF26" i="113"/>
  <c r="AF27" i="113"/>
  <c r="AF31" i="113"/>
  <c r="AF32" i="113"/>
  <c r="AF38" i="113"/>
  <c r="AF39" i="113"/>
  <c r="AF43" i="113"/>
  <c r="AF44" i="113"/>
  <c r="AF45" i="113"/>
  <c r="AF51" i="113"/>
  <c r="AF54" i="113"/>
  <c r="AF55" i="113"/>
  <c r="AF61" i="113"/>
  <c r="AF62" i="113"/>
  <c r="AF63" i="113"/>
  <c r="AF64" i="113"/>
  <c r="AF65" i="113"/>
  <c r="AF68" i="113"/>
  <c r="AF69" i="113"/>
  <c r="AF70" i="113"/>
  <c r="AF71" i="113"/>
  <c r="AF72" i="113"/>
  <c r="AF76" i="113"/>
  <c r="AF78" i="113"/>
  <c r="AF79" i="113"/>
  <c r="AF80" i="113"/>
  <c r="C55" i="3"/>
  <c r="B54" i="48" s="1"/>
  <c r="C65" i="3"/>
  <c r="B64" i="48" s="1"/>
  <c r="C42" i="3"/>
  <c r="B65" i="3"/>
  <c r="B42" i="3"/>
  <c r="C39" i="3"/>
  <c r="B39" i="3"/>
  <c r="A39" i="3"/>
  <c r="AK73" i="113"/>
  <c r="AK66" i="113"/>
  <c r="AK46" i="113"/>
  <c r="AK35" i="113"/>
  <c r="AK28" i="113"/>
  <c r="AJ72" i="1"/>
  <c r="AI73" i="113" s="1"/>
  <c r="AJ65" i="1"/>
  <c r="AI66" i="113" s="1"/>
  <c r="AJ45" i="1"/>
  <c r="AI46" i="113" s="1"/>
  <c r="AJ34" i="1"/>
  <c r="AI35" i="113" s="1"/>
  <c r="AJ27" i="1"/>
  <c r="AI28" i="113" s="1"/>
  <c r="AJ16" i="1"/>
  <c r="AI17" i="113" s="1"/>
  <c r="AG72" i="1"/>
  <c r="AF73" i="113" s="1"/>
  <c r="AG65" i="1"/>
  <c r="AG41" i="1"/>
  <c r="AG45" i="1" s="1"/>
  <c r="AF46" i="113" s="1"/>
  <c r="AF37" i="113"/>
  <c r="AG34" i="1"/>
  <c r="AF35" i="113" s="1"/>
  <c r="AG27" i="1"/>
  <c r="AF28" i="113" s="1"/>
  <c r="AG16" i="1"/>
  <c r="AG18" i="1" s="1"/>
  <c r="AF19" i="113" s="1"/>
  <c r="B38" i="48" l="1"/>
  <c r="A38" i="48"/>
  <c r="B41" i="48"/>
  <c r="AZ52" i="113"/>
  <c r="AZ49" i="113"/>
  <c r="AK19" i="113"/>
  <c r="AK17" i="113"/>
  <c r="F37" i="48"/>
  <c r="G37" i="48" s="1"/>
  <c r="AJ18" i="1"/>
  <c r="AI19" i="113" s="1"/>
  <c r="AJ73" i="1"/>
  <c r="AI74" i="113" s="1"/>
  <c r="AG73" i="1"/>
  <c r="AF51" i="1"/>
  <c r="AE52" i="113" s="1"/>
  <c r="AF34" i="113"/>
  <c r="AK47" i="113"/>
  <c r="AF42" i="113"/>
  <c r="AJ46" i="1"/>
  <c r="AI47" i="113" s="1"/>
  <c r="AF66" i="113"/>
  <c r="AF17" i="113"/>
  <c r="AG46" i="1"/>
  <c r="E52" i="1"/>
  <c r="E44" i="1"/>
  <c r="E32" i="1"/>
  <c r="F504" i="111"/>
  <c r="F503" i="111"/>
  <c r="F502" i="111"/>
  <c r="H78" i="111" s="1"/>
  <c r="F499" i="111"/>
  <c r="F498" i="111"/>
  <c r="F497" i="111"/>
  <c r="F496" i="111"/>
  <c r="F495" i="111"/>
  <c r="F494" i="111"/>
  <c r="F493" i="111"/>
  <c r="F492" i="111"/>
  <c r="F491" i="111"/>
  <c r="F490" i="111"/>
  <c r="F489" i="111"/>
  <c r="F488" i="111"/>
  <c r="F487" i="111"/>
  <c r="F486" i="111"/>
  <c r="F485" i="111"/>
  <c r="F484" i="111"/>
  <c r="F483" i="111"/>
  <c r="F482" i="111"/>
  <c r="F481" i="111"/>
  <c r="F480" i="111"/>
  <c r="F479" i="111"/>
  <c r="F478" i="111"/>
  <c r="F477" i="111"/>
  <c r="F476" i="111"/>
  <c r="F475" i="111"/>
  <c r="F474" i="111"/>
  <c r="F473" i="111"/>
  <c r="F472" i="111"/>
  <c r="F471" i="111"/>
  <c r="F470" i="111"/>
  <c r="F469" i="111"/>
  <c r="F468" i="111"/>
  <c r="F467" i="111"/>
  <c r="F466" i="111"/>
  <c r="F465" i="111"/>
  <c r="F464" i="111"/>
  <c r="F463" i="111"/>
  <c r="F462" i="111"/>
  <c r="F461" i="111"/>
  <c r="F460" i="111"/>
  <c r="F459" i="111"/>
  <c r="F458" i="111"/>
  <c r="F457" i="111"/>
  <c r="F456" i="111"/>
  <c r="F455" i="111"/>
  <c r="F454" i="111"/>
  <c r="F453" i="111"/>
  <c r="F452" i="111"/>
  <c r="F451" i="111"/>
  <c r="F76" i="111" s="1"/>
  <c r="E75" i="1" s="1"/>
  <c r="F450" i="111"/>
  <c r="F449" i="111"/>
  <c r="F448" i="111"/>
  <c r="F447" i="111"/>
  <c r="F446" i="111"/>
  <c r="F445" i="111"/>
  <c r="F444" i="111"/>
  <c r="F443" i="111"/>
  <c r="F442" i="111"/>
  <c r="F441" i="111"/>
  <c r="F440" i="111"/>
  <c r="F439" i="111"/>
  <c r="F438" i="111"/>
  <c r="F437" i="111"/>
  <c r="F436" i="111"/>
  <c r="F435" i="111"/>
  <c r="F434" i="111"/>
  <c r="F433" i="111"/>
  <c r="F432" i="111"/>
  <c r="F431" i="111"/>
  <c r="F430" i="111"/>
  <c r="F429" i="111"/>
  <c r="F428" i="111"/>
  <c r="F427" i="111"/>
  <c r="F426" i="111"/>
  <c r="F425" i="111"/>
  <c r="F424" i="111"/>
  <c r="F423" i="111"/>
  <c r="F71" i="111" s="1"/>
  <c r="F422" i="111"/>
  <c r="F70" i="111" s="1"/>
  <c r="F421" i="111"/>
  <c r="F420" i="111"/>
  <c r="F419" i="111"/>
  <c r="F418" i="111"/>
  <c r="F417" i="111"/>
  <c r="F416" i="111"/>
  <c r="F415" i="111"/>
  <c r="F414" i="111"/>
  <c r="F413" i="111"/>
  <c r="F412" i="111"/>
  <c r="F411" i="111"/>
  <c r="F410" i="111"/>
  <c r="F409" i="111"/>
  <c r="F408" i="111"/>
  <c r="F407" i="111"/>
  <c r="F406" i="111"/>
  <c r="F405" i="111"/>
  <c r="F404" i="111"/>
  <c r="F403" i="111"/>
  <c r="F402" i="111"/>
  <c r="F401" i="111"/>
  <c r="F399" i="111"/>
  <c r="F64" i="111" s="1"/>
  <c r="F398" i="111"/>
  <c r="F397" i="111"/>
  <c r="F396" i="111"/>
  <c r="F395" i="111"/>
  <c r="F394" i="111"/>
  <c r="F393" i="111"/>
  <c r="F392" i="111"/>
  <c r="F391" i="111"/>
  <c r="F390" i="111"/>
  <c r="F389" i="111"/>
  <c r="F388" i="111"/>
  <c r="F387" i="111"/>
  <c r="F386" i="111"/>
  <c r="F385" i="111"/>
  <c r="F384" i="111"/>
  <c r="F383" i="111"/>
  <c r="F381" i="111"/>
  <c r="E62" i="1" s="1"/>
  <c r="F380" i="111"/>
  <c r="F379" i="111"/>
  <c r="F378" i="111"/>
  <c r="F377" i="111"/>
  <c r="F376" i="111"/>
  <c r="F375" i="111"/>
  <c r="F374" i="111"/>
  <c r="F373" i="111"/>
  <c r="F372" i="111"/>
  <c r="F371" i="111"/>
  <c r="F370" i="111"/>
  <c r="F369" i="111"/>
  <c r="F368" i="111"/>
  <c r="F62" i="111" s="1"/>
  <c r="F367" i="111"/>
  <c r="F366" i="111"/>
  <c r="F365" i="111"/>
  <c r="F364" i="111"/>
  <c r="F363" i="111"/>
  <c r="F362" i="111"/>
  <c r="F361" i="111"/>
  <c r="F360" i="111"/>
  <c r="F359" i="111"/>
  <c r="F358" i="111"/>
  <c r="F357" i="111"/>
  <c r="F356" i="111"/>
  <c r="F355" i="111"/>
  <c r="F354" i="111"/>
  <c r="F353" i="111"/>
  <c r="F352" i="111"/>
  <c r="F351" i="111"/>
  <c r="F350" i="111"/>
  <c r="F349" i="111"/>
  <c r="F348" i="111"/>
  <c r="F347" i="111"/>
  <c r="F346" i="111"/>
  <c r="F345" i="111"/>
  <c r="F344" i="111"/>
  <c r="F343" i="111"/>
  <c r="F342" i="111"/>
  <c r="F341" i="111"/>
  <c r="F340" i="111"/>
  <c r="F339" i="111"/>
  <c r="F338" i="111"/>
  <c r="F337" i="111"/>
  <c r="F336" i="111"/>
  <c r="F335" i="111"/>
  <c r="F61" i="111" s="1"/>
  <c r="F333" i="111"/>
  <c r="F332" i="111"/>
  <c r="F331" i="111"/>
  <c r="F330" i="111"/>
  <c r="F328" i="111"/>
  <c r="F327" i="111"/>
  <c r="F326" i="111"/>
  <c r="F325" i="111"/>
  <c r="F324" i="111"/>
  <c r="F323" i="111"/>
  <c r="F322" i="111"/>
  <c r="F321" i="111"/>
  <c r="F320" i="111"/>
  <c r="F319" i="111"/>
  <c r="F318" i="111"/>
  <c r="F317" i="111"/>
  <c r="F55" i="111" s="1"/>
  <c r="E54" i="1" s="1"/>
  <c r="F316" i="111"/>
  <c r="F54" i="111" s="1"/>
  <c r="F315" i="111"/>
  <c r="F52" i="111" s="1"/>
  <c r="F314" i="111"/>
  <c r="F313" i="111"/>
  <c r="F312" i="111"/>
  <c r="F311" i="111"/>
  <c r="F310" i="111"/>
  <c r="F309" i="111"/>
  <c r="F308" i="111"/>
  <c r="F307" i="111"/>
  <c r="F286" i="111"/>
  <c r="F285" i="111"/>
  <c r="F284" i="111"/>
  <c r="F283" i="111"/>
  <c r="F282" i="111"/>
  <c r="F281" i="111"/>
  <c r="F280" i="111"/>
  <c r="F279" i="111"/>
  <c r="F42" i="111" s="1"/>
  <c r="F278" i="111"/>
  <c r="F277" i="111"/>
  <c r="F276" i="111"/>
  <c r="F275" i="111"/>
  <c r="F274" i="111"/>
  <c r="F273" i="111"/>
  <c r="F272" i="111"/>
  <c r="F271" i="111"/>
  <c r="F270" i="111"/>
  <c r="F269" i="111"/>
  <c r="F268" i="111"/>
  <c r="F267" i="111"/>
  <c r="F266" i="111"/>
  <c r="F265" i="111"/>
  <c r="F264" i="111"/>
  <c r="F39" i="111" s="1"/>
  <c r="F263" i="111"/>
  <c r="F262" i="111"/>
  <c r="F261" i="111"/>
  <c r="F260" i="111"/>
  <c r="F259" i="111"/>
  <c r="F258" i="111"/>
  <c r="F38" i="111" s="1"/>
  <c r="E37" i="1" s="1"/>
  <c r="F257" i="111"/>
  <c r="F256" i="111"/>
  <c r="F255" i="111"/>
  <c r="F254" i="111"/>
  <c r="F253" i="111"/>
  <c r="F252" i="111"/>
  <c r="F37" i="111" s="1"/>
  <c r="F251" i="111"/>
  <c r="F250" i="111"/>
  <c r="F249" i="111"/>
  <c r="F248" i="111"/>
  <c r="F247" i="111"/>
  <c r="F246" i="111"/>
  <c r="F245" i="111"/>
  <c r="F244" i="111"/>
  <c r="F243" i="111"/>
  <c r="F242" i="111"/>
  <c r="F241" i="111"/>
  <c r="F34" i="111" s="1"/>
  <c r="E33" i="1" s="1"/>
  <c r="F240" i="111"/>
  <c r="F239" i="111"/>
  <c r="F238" i="111"/>
  <c r="F237" i="111"/>
  <c r="F236" i="111"/>
  <c r="F235" i="111"/>
  <c r="F234" i="111"/>
  <c r="F233" i="111"/>
  <c r="F232" i="111"/>
  <c r="F231" i="111"/>
  <c r="F230" i="111"/>
  <c r="F229" i="111"/>
  <c r="F228" i="111"/>
  <c r="F227" i="111"/>
  <c r="F226" i="111"/>
  <c r="F225" i="111"/>
  <c r="F224" i="111"/>
  <c r="F223" i="111"/>
  <c r="F222" i="111"/>
  <c r="F221" i="111"/>
  <c r="F220" i="111"/>
  <c r="F219" i="111"/>
  <c r="F218" i="111"/>
  <c r="F217" i="111"/>
  <c r="F216" i="111"/>
  <c r="F215" i="111"/>
  <c r="F214" i="111"/>
  <c r="F213" i="111"/>
  <c r="F212" i="111"/>
  <c r="F211" i="111"/>
  <c r="F210" i="111"/>
  <c r="F209" i="111"/>
  <c r="F208" i="111"/>
  <c r="F27" i="111" s="1"/>
  <c r="F207" i="111"/>
  <c r="F206" i="111"/>
  <c r="F205" i="111"/>
  <c r="F203" i="111"/>
  <c r="F201" i="111"/>
  <c r="F200" i="111"/>
  <c r="F199" i="111"/>
  <c r="F198" i="111"/>
  <c r="F197" i="111"/>
  <c r="F196" i="111"/>
  <c r="F195" i="111"/>
  <c r="F194" i="111"/>
  <c r="F192" i="111"/>
  <c r="F191" i="111"/>
  <c r="F190" i="111"/>
  <c r="F189" i="111"/>
  <c r="F188" i="111"/>
  <c r="F187" i="111"/>
  <c r="F186" i="111"/>
  <c r="F185" i="111"/>
  <c r="F184" i="111"/>
  <c r="F183" i="111"/>
  <c r="F182" i="111"/>
  <c r="F181" i="111"/>
  <c r="F180" i="111"/>
  <c r="F179" i="111"/>
  <c r="F178" i="111"/>
  <c r="F177" i="111"/>
  <c r="F176" i="111"/>
  <c r="F175" i="111"/>
  <c r="F174" i="111"/>
  <c r="F173" i="111"/>
  <c r="F172" i="111"/>
  <c r="F171" i="111"/>
  <c r="F170" i="111"/>
  <c r="F169" i="111"/>
  <c r="F168" i="111"/>
  <c r="F167" i="111"/>
  <c r="F166" i="111"/>
  <c r="F165" i="111"/>
  <c r="F164" i="111"/>
  <c r="F163" i="111"/>
  <c r="F162" i="111"/>
  <c r="F161" i="111"/>
  <c r="F24" i="111" s="1"/>
  <c r="F160" i="111"/>
  <c r="F159" i="111"/>
  <c r="F158" i="111"/>
  <c r="F157" i="111"/>
  <c r="F156" i="111"/>
  <c r="F155" i="111"/>
  <c r="F154" i="111"/>
  <c r="F153" i="111"/>
  <c r="F152" i="111"/>
  <c r="F151" i="111"/>
  <c r="F150" i="111"/>
  <c r="F149" i="111"/>
  <c r="F148" i="111"/>
  <c r="F147" i="111"/>
  <c r="F146" i="111"/>
  <c r="F145" i="111"/>
  <c r="F144" i="111"/>
  <c r="F143" i="111"/>
  <c r="F142" i="111"/>
  <c r="F141" i="111"/>
  <c r="F140" i="111"/>
  <c r="F139" i="111"/>
  <c r="F138" i="111"/>
  <c r="F137" i="111"/>
  <c r="F136" i="111"/>
  <c r="F135" i="111"/>
  <c r="F134" i="111"/>
  <c r="F133" i="111"/>
  <c r="F132" i="111"/>
  <c r="F131" i="111"/>
  <c r="F130" i="111"/>
  <c r="F129" i="111"/>
  <c r="F128" i="111"/>
  <c r="F127" i="111"/>
  <c r="F126" i="111"/>
  <c r="F125" i="111"/>
  <c r="F124" i="111"/>
  <c r="F123" i="111"/>
  <c r="F122" i="111"/>
  <c r="F121" i="111"/>
  <c r="F116" i="111"/>
  <c r="F115" i="111"/>
  <c r="F114" i="111"/>
  <c r="F113" i="111"/>
  <c r="F112" i="111"/>
  <c r="F111" i="111"/>
  <c r="F110" i="111"/>
  <c r="F109" i="111"/>
  <c r="F108" i="111"/>
  <c r="F107" i="111"/>
  <c r="F106" i="111"/>
  <c r="F105" i="111"/>
  <c r="F104" i="111"/>
  <c r="F103" i="111"/>
  <c r="F102" i="111"/>
  <c r="F101" i="111"/>
  <c r="F100" i="111"/>
  <c r="F99" i="111"/>
  <c r="F98" i="111"/>
  <c r="F97" i="111"/>
  <c r="F96" i="111"/>
  <c r="F95" i="111"/>
  <c r="F94" i="111"/>
  <c r="F16" i="111" s="1"/>
  <c r="F93" i="111"/>
  <c r="F92" i="111"/>
  <c r="F91" i="111"/>
  <c r="F90" i="111"/>
  <c r="F15" i="111" s="1"/>
  <c r="F89" i="111"/>
  <c r="F88" i="111"/>
  <c r="F87" i="111"/>
  <c r="F86" i="111"/>
  <c r="G79" i="111"/>
  <c r="G78" i="111" s="1"/>
  <c r="G76" i="111"/>
  <c r="G72" i="111"/>
  <c r="G71" i="111"/>
  <c r="G70" i="111"/>
  <c r="G69" i="111"/>
  <c r="G68" i="111"/>
  <c r="H67" i="111"/>
  <c r="G65" i="111"/>
  <c r="G64" i="111"/>
  <c r="G63" i="111"/>
  <c r="G62" i="111"/>
  <c r="G61" i="111"/>
  <c r="G55" i="111"/>
  <c r="G54" i="111"/>
  <c r="G52" i="111"/>
  <c r="E45" i="111"/>
  <c r="H45" i="111" s="1"/>
  <c r="G44" i="111"/>
  <c r="G43" i="111"/>
  <c r="G42" i="111"/>
  <c r="G39" i="111"/>
  <c r="G38" i="111"/>
  <c r="G37" i="111"/>
  <c r="G34" i="111"/>
  <c r="G32" i="111"/>
  <c r="G31" i="111"/>
  <c r="G27" i="111"/>
  <c r="G26" i="111"/>
  <c r="G25" i="111"/>
  <c r="G24" i="111"/>
  <c r="G23" i="111"/>
  <c r="G18" i="111"/>
  <c r="G16" i="111"/>
  <c r="G15" i="111"/>
  <c r="G14" i="111"/>
  <c r="F17" i="111" l="1"/>
  <c r="H17" i="111" s="1"/>
  <c r="E26" i="111"/>
  <c r="E18" i="111"/>
  <c r="H18" i="111" s="1"/>
  <c r="F44" i="111"/>
  <c r="AD32" i="1"/>
  <c r="E33" i="113"/>
  <c r="E34" i="117"/>
  <c r="H62" i="99"/>
  <c r="K62" i="99" s="1"/>
  <c r="AZ81" i="113"/>
  <c r="AK74" i="113"/>
  <c r="E77" i="117"/>
  <c r="E46" i="117"/>
  <c r="E64" i="117"/>
  <c r="E56" i="117"/>
  <c r="E54" i="117"/>
  <c r="E35" i="117"/>
  <c r="AD37" i="1"/>
  <c r="E39" i="117"/>
  <c r="E59" i="3"/>
  <c r="E39" i="111"/>
  <c r="E24" i="111"/>
  <c r="H24" i="111" s="1"/>
  <c r="E54" i="111"/>
  <c r="E64" i="111"/>
  <c r="E32" i="111"/>
  <c r="H32" i="111" s="1"/>
  <c r="E27" i="111"/>
  <c r="H27" i="111" s="1"/>
  <c r="F43" i="111"/>
  <c r="E42" i="1" s="1"/>
  <c r="E53" i="1"/>
  <c r="E61" i="111"/>
  <c r="E68" i="1"/>
  <c r="E15" i="111"/>
  <c r="H15" i="111" s="1"/>
  <c r="G17" i="111"/>
  <c r="G19" i="111" s="1"/>
  <c r="AK49" i="113"/>
  <c r="AJ76" i="1"/>
  <c r="AI77" i="113" s="1"/>
  <c r="G28" i="111"/>
  <c r="E42" i="111"/>
  <c r="H42" i="111" s="1"/>
  <c r="E65" i="111"/>
  <c r="AG76" i="1"/>
  <c r="AF74" i="113"/>
  <c r="E37" i="111"/>
  <c r="E36" i="1"/>
  <c r="F66" i="111"/>
  <c r="H66" i="111" s="1"/>
  <c r="E61" i="1"/>
  <c r="E62" i="111"/>
  <c r="E70" i="111"/>
  <c r="E69" i="1"/>
  <c r="E79" i="111"/>
  <c r="E78" i="1"/>
  <c r="G46" i="111"/>
  <c r="E25" i="111"/>
  <c r="H25" i="111" s="1"/>
  <c r="E52" i="111"/>
  <c r="E63" i="111"/>
  <c r="E71" i="111"/>
  <c r="E76" i="111"/>
  <c r="E38" i="1"/>
  <c r="E63" i="1"/>
  <c r="G73" i="111"/>
  <c r="E55" i="111"/>
  <c r="G66" i="111"/>
  <c r="E23" i="111"/>
  <c r="E38" i="111"/>
  <c r="E72" i="111"/>
  <c r="F68" i="111"/>
  <c r="E67" i="1" s="1"/>
  <c r="E41" i="1"/>
  <c r="E51" i="1"/>
  <c r="E60" i="1"/>
  <c r="AD60" i="1" s="1"/>
  <c r="E64" i="1"/>
  <c r="E70" i="1"/>
  <c r="AJ48" i="1"/>
  <c r="AI49" i="113" s="1"/>
  <c r="G35" i="111"/>
  <c r="E34" i="111"/>
  <c r="H34" i="111" s="1"/>
  <c r="E71" i="1"/>
  <c r="AG48" i="1"/>
  <c r="AG51" i="1" s="1"/>
  <c r="AF47" i="113"/>
  <c r="E31" i="111"/>
  <c r="E16" i="111"/>
  <c r="H16" i="111" s="1"/>
  <c r="G34" i="117" l="1"/>
  <c r="F34" i="117" s="1"/>
  <c r="BL32" i="1"/>
  <c r="G74" i="111"/>
  <c r="G77" i="111" s="1"/>
  <c r="G81" i="111" s="1"/>
  <c r="AK77" i="113"/>
  <c r="F58" i="48"/>
  <c r="G58" i="48" s="1"/>
  <c r="E72" i="117"/>
  <c r="E38" i="117"/>
  <c r="E44" i="117"/>
  <c r="E66" i="117"/>
  <c r="E69" i="117"/>
  <c r="E80" i="117"/>
  <c r="E43" i="117"/>
  <c r="E62" i="117"/>
  <c r="E63" i="117"/>
  <c r="E70" i="117"/>
  <c r="E73" i="117"/>
  <c r="E53" i="117"/>
  <c r="E65" i="117"/>
  <c r="E71" i="117"/>
  <c r="E55" i="117"/>
  <c r="G39" i="117"/>
  <c r="F39" i="117" s="1"/>
  <c r="AJ51" i="1"/>
  <c r="AI52" i="113" s="1"/>
  <c r="AD38" i="1"/>
  <c r="E40" i="117"/>
  <c r="H68" i="99"/>
  <c r="K68" i="99" s="1"/>
  <c r="F35" i="111"/>
  <c r="H35" i="111" s="1"/>
  <c r="F19" i="111"/>
  <c r="H19" i="111" s="1"/>
  <c r="E43" i="111"/>
  <c r="H43" i="111" s="1"/>
  <c r="AK52" i="113"/>
  <c r="F46" i="111"/>
  <c r="H46" i="111" s="1"/>
  <c r="E69" i="111"/>
  <c r="AJ80" i="1"/>
  <c r="AI81" i="113" s="1"/>
  <c r="E66" i="111"/>
  <c r="F28" i="111"/>
  <c r="H28" i="111" s="1"/>
  <c r="AG80" i="1"/>
  <c r="H42" i="99" s="1"/>
  <c r="K42" i="99" s="1"/>
  <c r="AF77" i="113"/>
  <c r="G47" i="111"/>
  <c r="G49" i="111" s="1"/>
  <c r="G57" i="111" s="1"/>
  <c r="E65" i="1"/>
  <c r="H14" i="111"/>
  <c r="E68" i="111"/>
  <c r="E44" i="111"/>
  <c r="E43" i="1"/>
  <c r="E78" i="111"/>
  <c r="E77" i="1"/>
  <c r="F73" i="111"/>
  <c r="AF49" i="113"/>
  <c r="H31" i="111"/>
  <c r="E35" i="111"/>
  <c r="H23" i="111"/>
  <c r="E28" i="111"/>
  <c r="F74" i="111" l="1"/>
  <c r="H73" i="111"/>
  <c r="CC32" i="1"/>
  <c r="I34" i="117"/>
  <c r="H47" i="99"/>
  <c r="AK81" i="113"/>
  <c r="E44" i="3"/>
  <c r="F43" i="48" s="1"/>
  <c r="G43" i="48" s="1"/>
  <c r="E67" i="117"/>
  <c r="E74" i="117"/>
  <c r="G40" i="117"/>
  <c r="F40" i="117" s="1"/>
  <c r="E45" i="117"/>
  <c r="E47" i="117" s="1"/>
  <c r="E79" i="117"/>
  <c r="H45" i="99"/>
  <c r="K45" i="99" s="1"/>
  <c r="E46" i="111"/>
  <c r="F47" i="111"/>
  <c r="E65" i="3"/>
  <c r="E73" i="111"/>
  <c r="E74" i="111" s="1"/>
  <c r="E77" i="111" s="1"/>
  <c r="E81" i="111" s="1"/>
  <c r="AF81" i="113"/>
  <c r="E39" i="3"/>
  <c r="E42" i="3"/>
  <c r="AF52" i="113"/>
  <c r="F77" i="111" l="1"/>
  <c r="H74" i="111"/>
  <c r="F49" i="111"/>
  <c r="F57" i="111" s="1"/>
  <c r="H47" i="111"/>
  <c r="K34" i="117"/>
  <c r="H34" i="117"/>
  <c r="E34" i="161"/>
  <c r="G34" i="161"/>
  <c r="J34" i="161" s="1"/>
  <c r="CD32" i="1"/>
  <c r="K47" i="99"/>
  <c r="E75" i="117"/>
  <c r="E78" i="117" s="1"/>
  <c r="E82" i="117" s="1"/>
  <c r="F41" i="48"/>
  <c r="G41" i="48" s="1"/>
  <c r="F64" i="48"/>
  <c r="G64" i="48" s="1"/>
  <c r="F38" i="48"/>
  <c r="G38" i="48" s="1"/>
  <c r="E47" i="111"/>
  <c r="E19" i="111"/>
  <c r="F81" i="111" l="1"/>
  <c r="H81" i="111" s="1"/>
  <c r="H77" i="111"/>
  <c r="H57" i="111"/>
  <c r="H49" i="111"/>
  <c r="F34" i="161"/>
  <c r="E49" i="111"/>
  <c r="E57" i="111" s="1"/>
  <c r="F82" i="111" l="1"/>
  <c r="E82" i="111"/>
  <c r="L7" i="113" l="1"/>
  <c r="L8" i="113"/>
  <c r="L9" i="113"/>
  <c r="L11" i="113"/>
  <c r="L14" i="113"/>
  <c r="L15" i="113"/>
  <c r="L16" i="113"/>
  <c r="L18" i="113"/>
  <c r="L23" i="113"/>
  <c r="L24" i="113"/>
  <c r="L25" i="113"/>
  <c r="L26" i="113"/>
  <c r="L27" i="113"/>
  <c r="L31" i="113"/>
  <c r="L32" i="113"/>
  <c r="L34" i="113"/>
  <c r="L37" i="113"/>
  <c r="L38" i="113"/>
  <c r="L39" i="113"/>
  <c r="L42" i="113"/>
  <c r="L43" i="113"/>
  <c r="L44" i="113"/>
  <c r="L45" i="113"/>
  <c r="L51" i="113"/>
  <c r="L54" i="113"/>
  <c r="L55" i="113"/>
  <c r="L61" i="113"/>
  <c r="L62" i="113"/>
  <c r="L63" i="113"/>
  <c r="L64" i="113"/>
  <c r="L65" i="113"/>
  <c r="L68" i="113"/>
  <c r="L69" i="113"/>
  <c r="L70" i="113"/>
  <c r="L71" i="113"/>
  <c r="L72" i="113"/>
  <c r="L76" i="113"/>
  <c r="L78" i="113"/>
  <c r="L79" i="113"/>
  <c r="L80" i="113"/>
  <c r="AR73" i="113" l="1"/>
  <c r="AR66" i="113"/>
  <c r="AR46" i="113"/>
  <c r="AR35" i="113"/>
  <c r="AR28" i="113"/>
  <c r="AR19" i="113" l="1"/>
  <c r="AR17" i="113"/>
  <c r="AR74" i="113" l="1"/>
  <c r="AR47" i="113"/>
  <c r="K12" i="51"/>
  <c r="M12" i="51" s="1"/>
  <c r="AR52" i="113" l="1"/>
  <c r="AR49" i="113"/>
  <c r="AR77" i="113"/>
  <c r="H54" i="99" l="1"/>
  <c r="AR81" i="113"/>
  <c r="A4" i="3"/>
  <c r="A4" i="48"/>
  <c r="A6" i="113"/>
  <c r="F44" i="113" l="1"/>
  <c r="G44" i="113"/>
  <c r="H44" i="113"/>
  <c r="J44" i="113"/>
  <c r="K44" i="113"/>
  <c r="M44" i="113"/>
  <c r="N44" i="113"/>
  <c r="O44" i="113"/>
  <c r="P44" i="113"/>
  <c r="Q44" i="113"/>
  <c r="R44" i="113"/>
  <c r="S44" i="113"/>
  <c r="T44" i="113"/>
  <c r="U44" i="113"/>
  <c r="Y44" i="113"/>
  <c r="Z44" i="113"/>
  <c r="V44" i="113"/>
  <c r="AA44" i="113"/>
  <c r="W44" i="113"/>
  <c r="AB44" i="113"/>
  <c r="X44" i="113"/>
  <c r="AD44" i="113"/>
  <c r="AG44" i="113"/>
  <c r="A44" i="113"/>
  <c r="C44" i="113"/>
  <c r="X7" i="113" l="1"/>
  <c r="X8" i="113"/>
  <c r="X9" i="113"/>
  <c r="X11" i="113"/>
  <c r="X14" i="113"/>
  <c r="X15" i="113"/>
  <c r="X16" i="113"/>
  <c r="X18" i="113"/>
  <c r="X23" i="113"/>
  <c r="X24" i="113"/>
  <c r="X26" i="113"/>
  <c r="X27" i="113"/>
  <c r="X31" i="113"/>
  <c r="X32" i="113"/>
  <c r="X34" i="113"/>
  <c r="X37" i="113"/>
  <c r="X38" i="113"/>
  <c r="X39" i="113"/>
  <c r="X42" i="113"/>
  <c r="X45" i="113"/>
  <c r="X51" i="113"/>
  <c r="X54" i="113"/>
  <c r="X55" i="113"/>
  <c r="X61" i="113"/>
  <c r="X62" i="113"/>
  <c r="X63" i="113"/>
  <c r="X64" i="113"/>
  <c r="X65" i="113"/>
  <c r="X68" i="113"/>
  <c r="X69" i="113"/>
  <c r="X70" i="113"/>
  <c r="X71" i="113"/>
  <c r="X72" i="113"/>
  <c r="X76" i="113"/>
  <c r="X78" i="113"/>
  <c r="X79" i="113"/>
  <c r="X80" i="113"/>
  <c r="K16" i="51" l="1"/>
  <c r="AE72" i="1" l="1"/>
  <c r="AE65" i="1"/>
  <c r="AE41" i="1"/>
  <c r="AE45" i="1" s="1"/>
  <c r="AE36" i="1"/>
  <c r="AE33" i="1"/>
  <c r="AE34" i="1" s="1"/>
  <c r="AE27" i="1"/>
  <c r="AE16" i="1"/>
  <c r="AE18" i="1" s="1"/>
  <c r="H46" i="99" l="1"/>
  <c r="H66" i="99"/>
  <c r="AE46" i="1"/>
  <c r="AE48" i="1" s="1"/>
  <c r="AE51" i="1" s="1"/>
  <c r="AE73" i="1"/>
  <c r="AE76" i="1" s="1"/>
  <c r="AE80" i="1" s="1"/>
  <c r="H40" i="99" l="1"/>
  <c r="E18" i="52" l="1"/>
  <c r="E20" i="52" s="1"/>
  <c r="A5" i="51"/>
  <c r="A4" i="52" s="1"/>
  <c r="E24" i="52" l="1"/>
  <c r="X25" i="113"/>
  <c r="G71" i="3" l="1"/>
  <c r="A68" i="99"/>
  <c r="A65" i="3"/>
  <c r="A64" i="48" s="1"/>
  <c r="E23" i="51"/>
  <c r="B55" i="3"/>
  <c r="F23" i="51" l="1"/>
  <c r="G23" i="51" s="1"/>
  <c r="X43" i="113"/>
  <c r="AV73" i="113" l="1"/>
  <c r="AV66" i="113"/>
  <c r="AV46" i="113"/>
  <c r="AV35" i="113"/>
  <c r="AV28" i="113"/>
  <c r="AV17" i="113"/>
  <c r="A64" i="3" l="1"/>
  <c r="AV19" i="113"/>
  <c r="AV74" i="113"/>
  <c r="AV47" i="113"/>
  <c r="A63" i="48" l="1"/>
  <c r="AV49" i="113"/>
  <c r="AV77" i="113"/>
  <c r="AV52" i="113" l="1"/>
  <c r="B31" i="99"/>
  <c r="X73" i="113"/>
  <c r="X66" i="113"/>
  <c r="X46" i="113"/>
  <c r="X35" i="113"/>
  <c r="X28" i="113"/>
  <c r="H58" i="99" l="1"/>
  <c r="AV81" i="113"/>
  <c r="X19" i="113"/>
  <c r="X17" i="113"/>
  <c r="E55" i="3"/>
  <c r="K58" i="99" l="1"/>
  <c r="F54" i="48"/>
  <c r="G54" i="48" s="1"/>
  <c r="X74" i="113"/>
  <c r="X47" i="113"/>
  <c r="X77" i="113" l="1"/>
  <c r="X52" i="113"/>
  <c r="X49" i="113"/>
  <c r="H31" i="99" l="1"/>
  <c r="X81" i="113"/>
  <c r="AQ73" i="113"/>
  <c r="AQ66" i="113"/>
  <c r="AQ46" i="113"/>
  <c r="AQ35" i="113"/>
  <c r="AQ28" i="113"/>
  <c r="AO73" i="113"/>
  <c r="AO66" i="113"/>
  <c r="AO46" i="113"/>
  <c r="AO35" i="113"/>
  <c r="AO28" i="113"/>
  <c r="AL46" i="113"/>
  <c r="AL35" i="113"/>
  <c r="AL28" i="113"/>
  <c r="K31" i="99" l="1"/>
  <c r="AQ19" i="113"/>
  <c r="AQ17" i="113"/>
  <c r="AL19" i="113"/>
  <c r="AL17" i="113"/>
  <c r="AO19" i="113"/>
  <c r="AO17" i="113"/>
  <c r="AL47" i="113" l="1"/>
  <c r="AQ74" i="113"/>
  <c r="AO74" i="113"/>
  <c r="H48" i="99"/>
  <c r="AL81" i="113"/>
  <c r="AO47" i="113"/>
  <c r="AQ47" i="113"/>
  <c r="AB72" i="1"/>
  <c r="AB65" i="1"/>
  <c r="AB45" i="1"/>
  <c r="AB34" i="1"/>
  <c r="AB16" i="1"/>
  <c r="AQ52" i="113" l="1"/>
  <c r="AQ49" i="113"/>
  <c r="AQ77" i="113"/>
  <c r="AO52" i="113"/>
  <c r="AO49" i="113"/>
  <c r="AO77" i="113"/>
  <c r="AL52" i="113"/>
  <c r="AL49" i="113"/>
  <c r="AB73" i="1"/>
  <c r="AB76" i="1" s="1"/>
  <c r="AB80" i="1" s="1"/>
  <c r="AB46" i="1"/>
  <c r="AB18" i="1"/>
  <c r="H53" i="99" l="1"/>
  <c r="AQ81" i="113"/>
  <c r="H51" i="99"/>
  <c r="AO81" i="113"/>
  <c r="AB48" i="1"/>
  <c r="AB51" i="1" s="1"/>
  <c r="B69" i="99"/>
  <c r="C66" i="3"/>
  <c r="B65" i="48" s="1"/>
  <c r="B66" i="3"/>
  <c r="H69" i="99" l="1"/>
  <c r="K69" i="99" s="1"/>
  <c r="E66" i="3"/>
  <c r="F65" i="48" l="1"/>
  <c r="G65" i="48" s="1"/>
  <c r="B29" i="99"/>
  <c r="B60" i="99"/>
  <c r="B46" i="99"/>
  <c r="C43" i="3" l="1"/>
  <c r="B43" i="3"/>
  <c r="B42" i="48" l="1"/>
  <c r="C57" i="3"/>
  <c r="B57" i="3"/>
  <c r="C27" i="3"/>
  <c r="B27" i="3"/>
  <c r="V7" i="113"/>
  <c r="V8" i="113"/>
  <c r="V9" i="113"/>
  <c r="V11" i="113"/>
  <c r="V14" i="113"/>
  <c r="V15" i="113"/>
  <c r="V16" i="113"/>
  <c r="V18" i="113"/>
  <c r="V23" i="113"/>
  <c r="V24" i="113"/>
  <c r="V25" i="113"/>
  <c r="V26" i="113"/>
  <c r="V27" i="113"/>
  <c r="V31" i="113"/>
  <c r="V32" i="113"/>
  <c r="V34" i="113"/>
  <c r="V37" i="113"/>
  <c r="V38" i="113"/>
  <c r="V39" i="113"/>
  <c r="V42" i="113"/>
  <c r="V43" i="113"/>
  <c r="V45" i="113"/>
  <c r="V51" i="113"/>
  <c r="V54" i="113"/>
  <c r="V55" i="113"/>
  <c r="V61" i="113"/>
  <c r="V62" i="113"/>
  <c r="V63" i="113"/>
  <c r="V64" i="113"/>
  <c r="V65" i="113"/>
  <c r="V68" i="113"/>
  <c r="V69" i="113"/>
  <c r="V70" i="113"/>
  <c r="V71" i="113"/>
  <c r="V72" i="113"/>
  <c r="V76" i="113"/>
  <c r="V78" i="113"/>
  <c r="V79" i="113"/>
  <c r="V80" i="113"/>
  <c r="V72" i="1"/>
  <c r="V73" i="113" s="1"/>
  <c r="V65" i="1"/>
  <c r="V66" i="113" s="1"/>
  <c r="V45" i="1"/>
  <c r="V46" i="113" s="1"/>
  <c r="V34" i="1"/>
  <c r="V35" i="113" s="1"/>
  <c r="V27" i="1"/>
  <c r="V28" i="113" s="1"/>
  <c r="V16" i="1"/>
  <c r="V17" i="113" s="1"/>
  <c r="B56" i="48" l="1"/>
  <c r="B28" i="48"/>
  <c r="E43" i="3"/>
  <c r="K46" i="99"/>
  <c r="V18" i="1"/>
  <c r="V19" i="113" s="1"/>
  <c r="V73" i="1"/>
  <c r="V46" i="1"/>
  <c r="V47" i="113" s="1"/>
  <c r="F42" i="48" l="1"/>
  <c r="G42" i="48" s="1"/>
  <c r="V76" i="1"/>
  <c r="V74" i="113"/>
  <c r="V48" i="1"/>
  <c r="V49" i="113" l="1"/>
  <c r="V51" i="1"/>
  <c r="V52" i="113" s="1"/>
  <c r="V80" i="1"/>
  <c r="V77" i="113"/>
  <c r="H29" i="99" l="1"/>
  <c r="E27" i="3"/>
  <c r="V81" i="113"/>
  <c r="K29" i="99" l="1"/>
  <c r="F28" i="48"/>
  <c r="G28" i="48" s="1"/>
  <c r="B55" i="99" l="1"/>
  <c r="B35" i="99"/>
  <c r="AB7" i="113" l="1"/>
  <c r="AB8" i="113"/>
  <c r="AB9" i="113"/>
  <c r="AB11" i="113"/>
  <c r="AB14" i="113"/>
  <c r="AB15" i="113"/>
  <c r="AB16" i="113"/>
  <c r="AB18" i="113"/>
  <c r="AB25" i="113"/>
  <c r="AB26" i="113"/>
  <c r="AB27" i="113"/>
  <c r="AB31" i="113"/>
  <c r="AB32" i="113"/>
  <c r="AB34" i="113"/>
  <c r="AB37" i="113"/>
  <c r="AB38" i="113"/>
  <c r="AB39" i="113"/>
  <c r="AB42" i="113"/>
  <c r="AB43" i="113"/>
  <c r="AB45" i="113"/>
  <c r="AB51" i="113"/>
  <c r="AB54" i="113"/>
  <c r="AB55" i="113"/>
  <c r="AB61" i="113"/>
  <c r="AB62" i="113"/>
  <c r="AB63" i="113"/>
  <c r="AB64" i="113"/>
  <c r="AB65" i="113"/>
  <c r="AB68" i="113"/>
  <c r="AB69" i="113"/>
  <c r="AB70" i="113"/>
  <c r="AB71" i="113"/>
  <c r="AB72" i="113"/>
  <c r="AB76" i="113"/>
  <c r="AB78" i="113"/>
  <c r="AB79" i="113"/>
  <c r="AB80" i="113"/>
  <c r="AA7" i="113"/>
  <c r="AA8" i="113"/>
  <c r="AA9" i="113"/>
  <c r="AA11" i="113"/>
  <c r="AA14" i="113"/>
  <c r="AA15" i="113"/>
  <c r="AA16" i="113"/>
  <c r="AA18" i="113"/>
  <c r="AA23" i="113"/>
  <c r="AA24" i="113"/>
  <c r="AA25" i="113"/>
  <c r="AA26" i="113"/>
  <c r="AA27" i="113"/>
  <c r="AA31" i="113"/>
  <c r="AA32" i="113"/>
  <c r="AA34" i="113"/>
  <c r="AA37" i="113"/>
  <c r="AA38" i="113"/>
  <c r="AA39" i="113"/>
  <c r="AA42" i="113"/>
  <c r="AA43" i="113"/>
  <c r="AA45" i="113"/>
  <c r="AA51" i="113"/>
  <c r="AA54" i="113"/>
  <c r="AA55" i="113"/>
  <c r="AA61" i="113"/>
  <c r="AA62" i="113"/>
  <c r="AA63" i="113"/>
  <c r="AA64" i="113"/>
  <c r="AA65" i="113"/>
  <c r="AA68" i="113"/>
  <c r="AA69" i="113"/>
  <c r="AA70" i="113"/>
  <c r="AA71" i="113"/>
  <c r="AA72" i="113"/>
  <c r="AA76" i="113"/>
  <c r="AA78" i="113"/>
  <c r="AA79" i="113"/>
  <c r="AA80" i="113"/>
  <c r="C52" i="3" l="1"/>
  <c r="B52" i="3"/>
  <c r="C33" i="3"/>
  <c r="B33" i="3"/>
  <c r="AB24" i="113"/>
  <c r="AB23" i="113"/>
  <c r="B51" i="48" l="1"/>
  <c r="B34" i="48"/>
  <c r="E44" i="113"/>
  <c r="AD43" i="1"/>
  <c r="BL43" i="1" l="1"/>
  <c r="CC43" i="1" s="1"/>
  <c r="G45" i="117"/>
  <c r="F45" i="117" s="1"/>
  <c r="I45" i="117" l="1"/>
  <c r="AS73" i="113"/>
  <c r="AS66" i="113"/>
  <c r="AS46" i="113"/>
  <c r="AS35" i="113"/>
  <c r="AS28" i="113"/>
  <c r="AS17" i="113"/>
  <c r="AB73" i="113"/>
  <c r="AB66" i="113"/>
  <c r="AB46" i="113"/>
  <c r="AB35" i="113"/>
  <c r="AB28" i="113"/>
  <c r="AB17" i="113"/>
  <c r="H45" i="117" l="1"/>
  <c r="E45" i="161"/>
  <c r="K45" i="117"/>
  <c r="AS19" i="113"/>
  <c r="AS74" i="113"/>
  <c r="AS47" i="113"/>
  <c r="AB19" i="113"/>
  <c r="AB47" i="113"/>
  <c r="AS77" i="113" l="1"/>
  <c r="AB74" i="113"/>
  <c r="AS52" i="113" l="1"/>
  <c r="AS49" i="113"/>
  <c r="AB52" i="113"/>
  <c r="AB49" i="113"/>
  <c r="AS81" i="113"/>
  <c r="H35" i="99"/>
  <c r="AB77" i="113"/>
  <c r="K35" i="99" l="1"/>
  <c r="H55" i="99"/>
  <c r="K55" i="99" s="1"/>
  <c r="E52" i="3"/>
  <c r="AB81" i="113"/>
  <c r="E33" i="3"/>
  <c r="F34" i="48" l="1"/>
  <c r="G34" i="48" s="1"/>
  <c r="F51" i="48"/>
  <c r="G51" i="48" s="1"/>
  <c r="A66" i="3"/>
  <c r="A65" i="48" s="1"/>
  <c r="A69" i="99"/>
  <c r="AX73" i="113" l="1"/>
  <c r="AX66" i="113"/>
  <c r="AX46" i="113"/>
  <c r="AX35" i="113"/>
  <c r="AX28" i="113"/>
  <c r="AX17" i="113"/>
  <c r="AX19" i="113" l="1"/>
  <c r="AX74" i="113"/>
  <c r="AX47" i="113" l="1"/>
  <c r="AX77" i="113"/>
  <c r="AX49" i="113" l="1"/>
  <c r="AX52" i="113"/>
  <c r="AX81" i="113" l="1"/>
  <c r="H60" i="99"/>
  <c r="K60" i="99" s="1"/>
  <c r="E57" i="3"/>
  <c r="B71" i="99"/>
  <c r="F56" i="48" l="1"/>
  <c r="G56" i="48" s="1"/>
  <c r="AD7" i="113"/>
  <c r="AG7" i="113"/>
  <c r="AD8" i="113"/>
  <c r="AG8" i="113"/>
  <c r="AD9" i="113"/>
  <c r="AG9" i="113"/>
  <c r="AD11" i="113"/>
  <c r="AG11" i="113"/>
  <c r="AD14" i="113"/>
  <c r="AG14" i="113"/>
  <c r="AD15" i="113"/>
  <c r="AG15" i="113"/>
  <c r="AD16" i="113"/>
  <c r="AG16" i="113"/>
  <c r="AD18" i="113"/>
  <c r="AG18" i="113"/>
  <c r="AD23" i="113"/>
  <c r="AG23" i="113"/>
  <c r="AD24" i="113"/>
  <c r="AG24" i="113"/>
  <c r="AD25" i="113"/>
  <c r="AG25" i="113"/>
  <c r="AD26" i="113"/>
  <c r="AG26" i="113"/>
  <c r="AD27" i="113"/>
  <c r="AG27" i="113"/>
  <c r="AD31" i="113"/>
  <c r="AG31" i="113"/>
  <c r="AD32" i="113"/>
  <c r="AG32" i="113"/>
  <c r="AD34" i="113"/>
  <c r="AG34" i="113"/>
  <c r="AD37" i="113"/>
  <c r="AG37" i="113"/>
  <c r="AD38" i="113"/>
  <c r="AG38" i="113"/>
  <c r="AD39" i="113"/>
  <c r="AG39" i="113"/>
  <c r="AD42" i="113"/>
  <c r="AG42" i="113"/>
  <c r="AD43" i="113"/>
  <c r="AG43" i="113"/>
  <c r="AD45" i="113"/>
  <c r="AG45" i="113"/>
  <c r="AD51" i="113"/>
  <c r="AG51" i="113"/>
  <c r="AD54" i="113"/>
  <c r="AG54" i="113"/>
  <c r="AD55" i="113"/>
  <c r="AG55" i="113"/>
  <c r="AD61" i="113"/>
  <c r="AG61" i="113"/>
  <c r="AD62" i="113"/>
  <c r="AG62" i="113"/>
  <c r="AD63" i="113"/>
  <c r="AG63" i="113"/>
  <c r="AD64" i="113"/>
  <c r="AG64" i="113"/>
  <c r="AD65" i="113"/>
  <c r="AG65" i="113"/>
  <c r="AD68" i="113"/>
  <c r="AG68" i="113"/>
  <c r="AD69" i="113"/>
  <c r="AG69" i="113"/>
  <c r="AD70" i="113"/>
  <c r="AG70" i="113"/>
  <c r="AD71" i="113"/>
  <c r="AG71" i="113"/>
  <c r="AD72" i="113"/>
  <c r="AG72" i="113"/>
  <c r="AD76" i="113"/>
  <c r="AG76" i="113"/>
  <c r="AD78" i="113"/>
  <c r="AG78" i="113"/>
  <c r="AD79" i="113"/>
  <c r="AG79" i="113"/>
  <c r="AD80" i="113"/>
  <c r="AG80" i="113"/>
  <c r="Y7" i="113"/>
  <c r="Z7" i="113"/>
  <c r="W7" i="113"/>
  <c r="Y8" i="113"/>
  <c r="Z8" i="113"/>
  <c r="W8" i="113"/>
  <c r="Y9" i="113"/>
  <c r="Z9" i="113"/>
  <c r="W9" i="113"/>
  <c r="Y11" i="113"/>
  <c r="Z11" i="113"/>
  <c r="W11" i="113"/>
  <c r="Y14" i="113"/>
  <c r="Z14" i="113"/>
  <c r="W14" i="113"/>
  <c r="Y15" i="113"/>
  <c r="Z15" i="113"/>
  <c r="W15" i="113"/>
  <c r="Y16" i="113"/>
  <c r="Z16" i="113"/>
  <c r="W16" i="113"/>
  <c r="Y18" i="113"/>
  <c r="Z18" i="113"/>
  <c r="W18" i="113"/>
  <c r="Z23" i="113"/>
  <c r="W23" i="113"/>
  <c r="Y24" i="113"/>
  <c r="Z24" i="113"/>
  <c r="W24" i="113"/>
  <c r="Y25" i="113"/>
  <c r="Z25" i="113"/>
  <c r="W25" i="113"/>
  <c r="Y26" i="113"/>
  <c r="Z26" i="113"/>
  <c r="W26" i="113"/>
  <c r="Y27" i="113"/>
  <c r="Z27" i="113"/>
  <c r="W27" i="113"/>
  <c r="Y31" i="113"/>
  <c r="Z31" i="113"/>
  <c r="W31" i="113"/>
  <c r="Y32" i="113"/>
  <c r="Z32" i="113"/>
  <c r="W32" i="113"/>
  <c r="Z34" i="113"/>
  <c r="W34" i="113"/>
  <c r="Z37" i="113"/>
  <c r="W37" i="113"/>
  <c r="Y38" i="113"/>
  <c r="Z38" i="113"/>
  <c r="W38" i="113"/>
  <c r="Y39" i="113"/>
  <c r="Z39" i="113"/>
  <c r="W39" i="113"/>
  <c r="Z42" i="113"/>
  <c r="W42" i="113"/>
  <c r="Y43" i="113"/>
  <c r="Z43" i="113"/>
  <c r="W43" i="113"/>
  <c r="Y45" i="113"/>
  <c r="Z45" i="113"/>
  <c r="W45" i="113"/>
  <c r="Y51" i="113"/>
  <c r="Z51" i="113"/>
  <c r="W51" i="113"/>
  <c r="Y52" i="113"/>
  <c r="W53" i="113"/>
  <c r="Z54" i="113"/>
  <c r="W54" i="113"/>
  <c r="Y55" i="113"/>
  <c r="Z55" i="113"/>
  <c r="W55" i="113"/>
  <c r="Y61" i="113"/>
  <c r="Z61" i="113"/>
  <c r="W61" i="113"/>
  <c r="Y62" i="113"/>
  <c r="Z62" i="113"/>
  <c r="W62" i="113"/>
  <c r="Y63" i="113"/>
  <c r="Z63" i="113"/>
  <c r="W63" i="113"/>
  <c r="Y64" i="113"/>
  <c r="Z64" i="113"/>
  <c r="W64" i="113"/>
  <c r="Y65" i="113"/>
  <c r="Z65" i="113"/>
  <c r="W65" i="113"/>
  <c r="Y68" i="113"/>
  <c r="Z68" i="113"/>
  <c r="W68" i="113"/>
  <c r="Y69" i="113"/>
  <c r="Z69" i="113"/>
  <c r="W69" i="113"/>
  <c r="Y70" i="113"/>
  <c r="Z70" i="113"/>
  <c r="W70" i="113"/>
  <c r="Y71" i="113"/>
  <c r="Z71" i="113"/>
  <c r="W71" i="113"/>
  <c r="Y72" i="113"/>
  <c r="Z72" i="113"/>
  <c r="W72" i="113"/>
  <c r="Y76" i="113"/>
  <c r="Z76" i="113"/>
  <c r="W76" i="113"/>
  <c r="Y78" i="113"/>
  <c r="Z78" i="113"/>
  <c r="W78" i="113"/>
  <c r="Y79" i="113"/>
  <c r="Z79" i="113"/>
  <c r="W79" i="113"/>
  <c r="Y80" i="113"/>
  <c r="Z80" i="113"/>
  <c r="W80" i="113"/>
  <c r="Y23" i="113" l="1"/>
  <c r="BF27" i="1"/>
  <c r="BE28" i="113" s="1"/>
  <c r="M24" i="1" l="1"/>
  <c r="B34" i="99" l="1"/>
  <c r="C32" i="3"/>
  <c r="B32" i="3"/>
  <c r="B33" i="48" l="1"/>
  <c r="AA72" i="1"/>
  <c r="AA73" i="113" s="1"/>
  <c r="AA65" i="1"/>
  <c r="AA66" i="113" s="1"/>
  <c r="AA45" i="1"/>
  <c r="AA46" i="113" s="1"/>
  <c r="AA34" i="1"/>
  <c r="AA35" i="113" s="1"/>
  <c r="AA27" i="1"/>
  <c r="AA28" i="113" s="1"/>
  <c r="AA16" i="1"/>
  <c r="AA17" i="113" s="1"/>
  <c r="H71" i="99" l="1"/>
  <c r="K71" i="99" s="1"/>
  <c r="AA18" i="1"/>
  <c r="AA19" i="113" s="1"/>
  <c r="AA73" i="1"/>
  <c r="AA74" i="113" s="1"/>
  <c r="AA46" i="1"/>
  <c r="AA47" i="113" s="1"/>
  <c r="AA76" i="1" l="1"/>
  <c r="AA77" i="113" s="1"/>
  <c r="AA48" i="1"/>
  <c r="AA49" i="113" l="1"/>
  <c r="AA51" i="1"/>
  <c r="AA52" i="113" s="1"/>
  <c r="AA80" i="1"/>
  <c r="AA81" i="113" s="1"/>
  <c r="H34" i="99" l="1"/>
  <c r="E32" i="3"/>
  <c r="K34" i="99" l="1"/>
  <c r="F33" i="48"/>
  <c r="G33" i="48" s="1"/>
  <c r="Y42" i="113"/>
  <c r="Y37" i="113"/>
  <c r="Y34" i="113"/>
  <c r="T41" i="1"/>
  <c r="S41" i="1"/>
  <c r="S36" i="1"/>
  <c r="AD36" i="1" l="1"/>
  <c r="T33" i="1"/>
  <c r="AD33" i="1" s="1"/>
  <c r="G35" i="117" l="1"/>
  <c r="F35" i="117" s="1"/>
  <c r="G38" i="117"/>
  <c r="F38" i="117" s="1"/>
  <c r="B66" i="99"/>
  <c r="C63" i="3" l="1"/>
  <c r="B63" i="3"/>
  <c r="T7" i="113"/>
  <c r="U7" i="113"/>
  <c r="T8" i="113"/>
  <c r="U8" i="113"/>
  <c r="T9" i="113"/>
  <c r="U9" i="113"/>
  <c r="T11" i="113"/>
  <c r="U11" i="113"/>
  <c r="T14" i="113"/>
  <c r="U14" i="113"/>
  <c r="T15" i="113"/>
  <c r="U15" i="113"/>
  <c r="T16" i="113"/>
  <c r="U16" i="113"/>
  <c r="T18" i="113"/>
  <c r="U18" i="113"/>
  <c r="T23" i="113"/>
  <c r="U23" i="113"/>
  <c r="T24" i="113"/>
  <c r="U24" i="113"/>
  <c r="T25" i="113"/>
  <c r="U25" i="113"/>
  <c r="T26" i="113"/>
  <c r="U26" i="113"/>
  <c r="T27" i="113"/>
  <c r="U27" i="113"/>
  <c r="T31" i="113"/>
  <c r="U31" i="113"/>
  <c r="T32" i="113"/>
  <c r="U32" i="113"/>
  <c r="T34" i="113"/>
  <c r="U34" i="113"/>
  <c r="T37" i="113"/>
  <c r="U37" i="113"/>
  <c r="T38" i="113"/>
  <c r="U38" i="113"/>
  <c r="T39" i="113"/>
  <c r="U39" i="113"/>
  <c r="T42" i="113"/>
  <c r="U42" i="113"/>
  <c r="T43" i="113"/>
  <c r="U43" i="113"/>
  <c r="T45" i="113"/>
  <c r="U45" i="113"/>
  <c r="T51" i="113"/>
  <c r="U51" i="113"/>
  <c r="T54" i="113"/>
  <c r="U54" i="113"/>
  <c r="T55" i="113"/>
  <c r="U55" i="113"/>
  <c r="T61" i="113"/>
  <c r="U61" i="113"/>
  <c r="T62" i="113"/>
  <c r="U62" i="113"/>
  <c r="T63" i="113"/>
  <c r="U63" i="113"/>
  <c r="T64" i="113"/>
  <c r="U64" i="113"/>
  <c r="T65" i="113"/>
  <c r="U65" i="113"/>
  <c r="T68" i="113"/>
  <c r="U68" i="113"/>
  <c r="T69" i="113"/>
  <c r="U69" i="113"/>
  <c r="T70" i="113"/>
  <c r="U70" i="113"/>
  <c r="T71" i="113"/>
  <c r="U71" i="113"/>
  <c r="T72" i="113"/>
  <c r="U72" i="113"/>
  <c r="T76" i="113"/>
  <c r="U76" i="113"/>
  <c r="T78" i="113"/>
  <c r="U78" i="113"/>
  <c r="T79" i="113"/>
  <c r="U79" i="113"/>
  <c r="T80" i="113"/>
  <c r="U80" i="113"/>
  <c r="B62" i="48" l="1"/>
  <c r="B27" i="99"/>
  <c r="C25" i="3" l="1"/>
  <c r="B25" i="3"/>
  <c r="T72" i="1"/>
  <c r="T73" i="113" s="1"/>
  <c r="T65" i="1"/>
  <c r="T66" i="113" s="1"/>
  <c r="T45" i="1"/>
  <c r="T46" i="113" s="1"/>
  <c r="T34" i="1"/>
  <c r="T35" i="113" s="1"/>
  <c r="T27" i="1"/>
  <c r="T16" i="1"/>
  <c r="B26" i="48" l="1"/>
  <c r="K66" i="99"/>
  <c r="E63" i="3"/>
  <c r="T18" i="1"/>
  <c r="T17" i="113"/>
  <c r="T28" i="113"/>
  <c r="T73" i="1"/>
  <c r="T46" i="1"/>
  <c r="S9" i="113"/>
  <c r="T19" i="113" l="1"/>
  <c r="T48" i="1"/>
  <c r="F62" i="48"/>
  <c r="G62" i="48" s="1"/>
  <c r="T47" i="113"/>
  <c r="T76" i="1"/>
  <c r="T74" i="113"/>
  <c r="T51" i="1" l="1"/>
  <c r="T52" i="113"/>
  <c r="T49" i="113"/>
  <c r="T80" i="1"/>
  <c r="T81" i="113" s="1"/>
  <c r="T77" i="113"/>
  <c r="G7" i="113" l="1"/>
  <c r="H7" i="113"/>
  <c r="J7" i="113"/>
  <c r="K7" i="113"/>
  <c r="M7" i="113"/>
  <c r="N7" i="113"/>
  <c r="O7" i="113"/>
  <c r="P7" i="113"/>
  <c r="Q7" i="113"/>
  <c r="R7" i="113"/>
  <c r="S7" i="113"/>
  <c r="G8" i="113"/>
  <c r="H8" i="113"/>
  <c r="J8" i="113"/>
  <c r="K8" i="113"/>
  <c r="M8" i="113"/>
  <c r="N8" i="113"/>
  <c r="O8" i="113"/>
  <c r="P8" i="113"/>
  <c r="Q8" i="113"/>
  <c r="R8" i="113"/>
  <c r="S8" i="113"/>
  <c r="G9" i="113"/>
  <c r="H9" i="113"/>
  <c r="J9" i="113"/>
  <c r="K9" i="113"/>
  <c r="M9" i="113"/>
  <c r="N9" i="113"/>
  <c r="O9" i="113"/>
  <c r="P9" i="113"/>
  <c r="Q9" i="113"/>
  <c r="R9" i="113"/>
  <c r="J10" i="113"/>
  <c r="G11" i="113"/>
  <c r="H11" i="113"/>
  <c r="J11" i="113"/>
  <c r="K11" i="113"/>
  <c r="M11" i="113"/>
  <c r="N11" i="113"/>
  <c r="O11" i="113"/>
  <c r="P11" i="113"/>
  <c r="Q11" i="113"/>
  <c r="R11" i="113"/>
  <c r="S11" i="113"/>
  <c r="G14" i="113"/>
  <c r="H14" i="113"/>
  <c r="J14" i="113"/>
  <c r="K14" i="113"/>
  <c r="M14" i="113"/>
  <c r="N14" i="113"/>
  <c r="O14" i="113"/>
  <c r="P14" i="113"/>
  <c r="Q14" i="113"/>
  <c r="R14" i="113"/>
  <c r="S14" i="113"/>
  <c r="G15" i="113"/>
  <c r="H15" i="113"/>
  <c r="J15" i="113"/>
  <c r="K15" i="113"/>
  <c r="M15" i="113"/>
  <c r="N15" i="113"/>
  <c r="O15" i="113"/>
  <c r="P15" i="113"/>
  <c r="Q15" i="113"/>
  <c r="R15" i="113"/>
  <c r="S15" i="113"/>
  <c r="G16" i="113"/>
  <c r="H16" i="113"/>
  <c r="J16" i="113"/>
  <c r="K16" i="113"/>
  <c r="M16" i="113"/>
  <c r="N16" i="113"/>
  <c r="O16" i="113"/>
  <c r="P16" i="113"/>
  <c r="Q16" i="113"/>
  <c r="R16" i="113"/>
  <c r="S16" i="113"/>
  <c r="G18" i="113"/>
  <c r="H18" i="113"/>
  <c r="J18" i="113"/>
  <c r="K18" i="113"/>
  <c r="M18" i="113"/>
  <c r="N18" i="113"/>
  <c r="O18" i="113"/>
  <c r="P18" i="113"/>
  <c r="Q18" i="113"/>
  <c r="R18" i="113"/>
  <c r="S18" i="113"/>
  <c r="G23" i="113"/>
  <c r="H23" i="113"/>
  <c r="J23" i="113"/>
  <c r="K23" i="113"/>
  <c r="M23" i="113"/>
  <c r="N23" i="113"/>
  <c r="O23" i="113"/>
  <c r="P23" i="113"/>
  <c r="Q23" i="113"/>
  <c r="R23" i="113"/>
  <c r="S23" i="113"/>
  <c r="G24" i="113"/>
  <c r="H24" i="113"/>
  <c r="J24" i="113"/>
  <c r="K24" i="113"/>
  <c r="M24" i="113"/>
  <c r="N24" i="113"/>
  <c r="O24" i="113"/>
  <c r="P24" i="113"/>
  <c r="Q24" i="113"/>
  <c r="R24" i="113"/>
  <c r="S24" i="113"/>
  <c r="G25" i="113"/>
  <c r="H25" i="113"/>
  <c r="J25" i="113"/>
  <c r="K25" i="113"/>
  <c r="M25" i="113"/>
  <c r="N25" i="113"/>
  <c r="O25" i="113"/>
  <c r="P25" i="113"/>
  <c r="Q25" i="113"/>
  <c r="R25" i="113"/>
  <c r="S25" i="113"/>
  <c r="G26" i="113"/>
  <c r="H26" i="113"/>
  <c r="J26" i="113"/>
  <c r="K26" i="113"/>
  <c r="M26" i="113"/>
  <c r="N26" i="113"/>
  <c r="O26" i="113"/>
  <c r="P26" i="113"/>
  <c r="Q26" i="113"/>
  <c r="R26" i="113"/>
  <c r="S26" i="113"/>
  <c r="G27" i="113"/>
  <c r="H27" i="113"/>
  <c r="J27" i="113"/>
  <c r="K27" i="113"/>
  <c r="M27" i="113"/>
  <c r="N27" i="113"/>
  <c r="O27" i="113"/>
  <c r="P27" i="113"/>
  <c r="Q27" i="113"/>
  <c r="R27" i="113"/>
  <c r="S27" i="113"/>
  <c r="G31" i="113"/>
  <c r="H31" i="113"/>
  <c r="J31" i="113"/>
  <c r="K31" i="113"/>
  <c r="M31" i="113"/>
  <c r="N31" i="113"/>
  <c r="O31" i="113"/>
  <c r="P31" i="113"/>
  <c r="Q31" i="113"/>
  <c r="R31" i="113"/>
  <c r="S31" i="113"/>
  <c r="G32" i="113"/>
  <c r="H32" i="113"/>
  <c r="J32" i="113"/>
  <c r="K32" i="113"/>
  <c r="M32" i="113"/>
  <c r="N32" i="113"/>
  <c r="O32" i="113"/>
  <c r="P32" i="113"/>
  <c r="Q32" i="113"/>
  <c r="R32" i="113"/>
  <c r="S32" i="113"/>
  <c r="G34" i="113"/>
  <c r="H34" i="113"/>
  <c r="J34" i="113"/>
  <c r="K34" i="113"/>
  <c r="M34" i="113"/>
  <c r="N34" i="113"/>
  <c r="O34" i="113"/>
  <c r="P34" i="113"/>
  <c r="Q34" i="113"/>
  <c r="R34" i="113"/>
  <c r="S34" i="113"/>
  <c r="G37" i="113"/>
  <c r="H37" i="113"/>
  <c r="J37" i="113"/>
  <c r="K37" i="113"/>
  <c r="M37" i="113"/>
  <c r="N37" i="113"/>
  <c r="O37" i="113"/>
  <c r="P37" i="113"/>
  <c r="Q37" i="113"/>
  <c r="R37" i="113"/>
  <c r="S37" i="113"/>
  <c r="G38" i="113"/>
  <c r="H38" i="113"/>
  <c r="J38" i="113"/>
  <c r="K38" i="113"/>
  <c r="M38" i="113"/>
  <c r="N38" i="113"/>
  <c r="O38" i="113"/>
  <c r="P38" i="113"/>
  <c r="Q38" i="113"/>
  <c r="R38" i="113"/>
  <c r="S38" i="113"/>
  <c r="G39" i="113"/>
  <c r="H39" i="113"/>
  <c r="J39" i="113"/>
  <c r="K39" i="113"/>
  <c r="M39" i="113"/>
  <c r="N39" i="113"/>
  <c r="O39" i="113"/>
  <c r="P39" i="113"/>
  <c r="Q39" i="113"/>
  <c r="R39" i="113"/>
  <c r="S39" i="113"/>
  <c r="G42" i="113"/>
  <c r="H42" i="113"/>
  <c r="J42" i="113"/>
  <c r="K42" i="113"/>
  <c r="M42" i="113"/>
  <c r="N42" i="113"/>
  <c r="O42" i="113"/>
  <c r="P42" i="113"/>
  <c r="Q42" i="113"/>
  <c r="R42" i="113"/>
  <c r="S42" i="113"/>
  <c r="G43" i="113"/>
  <c r="H43" i="113"/>
  <c r="J43" i="113"/>
  <c r="K43" i="113"/>
  <c r="M43" i="113"/>
  <c r="N43" i="113"/>
  <c r="O43" i="113"/>
  <c r="P43" i="113"/>
  <c r="Q43" i="113"/>
  <c r="R43" i="113"/>
  <c r="S43" i="113"/>
  <c r="G45" i="113"/>
  <c r="H45" i="113"/>
  <c r="J45" i="113"/>
  <c r="K45" i="113"/>
  <c r="M45" i="113"/>
  <c r="N45" i="113"/>
  <c r="O45" i="113"/>
  <c r="P45" i="113"/>
  <c r="Q45" i="113"/>
  <c r="R45" i="113"/>
  <c r="S45" i="113"/>
  <c r="G51" i="113"/>
  <c r="H51" i="113"/>
  <c r="J51" i="113"/>
  <c r="K51" i="113"/>
  <c r="M51" i="113"/>
  <c r="N51" i="113"/>
  <c r="O51" i="113"/>
  <c r="P51" i="113"/>
  <c r="Q51" i="113"/>
  <c r="R51" i="113"/>
  <c r="S51" i="113"/>
  <c r="O52" i="113"/>
  <c r="G54" i="113"/>
  <c r="H54" i="113"/>
  <c r="J54" i="113"/>
  <c r="K54" i="113"/>
  <c r="M54" i="113"/>
  <c r="N54" i="113"/>
  <c r="O54" i="113"/>
  <c r="P54" i="113"/>
  <c r="Q54" i="113"/>
  <c r="R54" i="113"/>
  <c r="S54" i="113"/>
  <c r="G55" i="113"/>
  <c r="H55" i="113"/>
  <c r="J55" i="113"/>
  <c r="K55" i="113"/>
  <c r="M55" i="113"/>
  <c r="N55" i="113"/>
  <c r="O55" i="113"/>
  <c r="P55" i="113"/>
  <c r="Q55" i="113"/>
  <c r="R55" i="113"/>
  <c r="S55" i="113"/>
  <c r="G61" i="113"/>
  <c r="H61" i="113"/>
  <c r="J61" i="113"/>
  <c r="K61" i="113"/>
  <c r="M61" i="113"/>
  <c r="N61" i="113"/>
  <c r="O61" i="113"/>
  <c r="P61" i="113"/>
  <c r="Q61" i="113"/>
  <c r="R61" i="113"/>
  <c r="S61" i="113"/>
  <c r="G62" i="113"/>
  <c r="H62" i="113"/>
  <c r="J62" i="113"/>
  <c r="K62" i="113"/>
  <c r="M62" i="113"/>
  <c r="N62" i="113"/>
  <c r="O62" i="113"/>
  <c r="P62" i="113"/>
  <c r="Q62" i="113"/>
  <c r="R62" i="113"/>
  <c r="S62" i="113"/>
  <c r="G63" i="113"/>
  <c r="H63" i="113"/>
  <c r="J63" i="113"/>
  <c r="K63" i="113"/>
  <c r="M63" i="113"/>
  <c r="N63" i="113"/>
  <c r="O63" i="113"/>
  <c r="P63" i="113"/>
  <c r="Q63" i="113"/>
  <c r="R63" i="113"/>
  <c r="S63" i="113"/>
  <c r="G64" i="113"/>
  <c r="H64" i="113"/>
  <c r="J64" i="113"/>
  <c r="K64" i="113"/>
  <c r="M64" i="113"/>
  <c r="N64" i="113"/>
  <c r="O64" i="113"/>
  <c r="P64" i="113"/>
  <c r="Q64" i="113"/>
  <c r="R64" i="113"/>
  <c r="S64" i="113"/>
  <c r="G65" i="113"/>
  <c r="H65" i="113"/>
  <c r="J65" i="113"/>
  <c r="K65" i="113"/>
  <c r="M65" i="113"/>
  <c r="N65" i="113"/>
  <c r="O65" i="113"/>
  <c r="P65" i="113"/>
  <c r="Q65" i="113"/>
  <c r="R65" i="113"/>
  <c r="S65" i="113"/>
  <c r="G68" i="113"/>
  <c r="H68" i="113"/>
  <c r="J68" i="113"/>
  <c r="K68" i="113"/>
  <c r="M68" i="113"/>
  <c r="N68" i="113"/>
  <c r="O68" i="113"/>
  <c r="P68" i="113"/>
  <c r="Q68" i="113"/>
  <c r="R68" i="113"/>
  <c r="S68" i="113"/>
  <c r="G69" i="113"/>
  <c r="H69" i="113"/>
  <c r="J69" i="113"/>
  <c r="K69" i="113"/>
  <c r="M69" i="113"/>
  <c r="N69" i="113"/>
  <c r="O69" i="113"/>
  <c r="P69" i="113"/>
  <c r="Q69" i="113"/>
  <c r="R69" i="113"/>
  <c r="S69" i="113"/>
  <c r="G70" i="113"/>
  <c r="H70" i="113"/>
  <c r="J70" i="113"/>
  <c r="K70" i="113"/>
  <c r="M70" i="113"/>
  <c r="N70" i="113"/>
  <c r="O70" i="113"/>
  <c r="P70" i="113"/>
  <c r="Q70" i="113"/>
  <c r="R70" i="113"/>
  <c r="S70" i="113"/>
  <c r="G71" i="113"/>
  <c r="H71" i="113"/>
  <c r="J71" i="113"/>
  <c r="K71" i="113"/>
  <c r="M71" i="113"/>
  <c r="N71" i="113"/>
  <c r="O71" i="113"/>
  <c r="P71" i="113"/>
  <c r="Q71" i="113"/>
  <c r="R71" i="113"/>
  <c r="S71" i="113"/>
  <c r="G72" i="113"/>
  <c r="H72" i="113"/>
  <c r="J72" i="113"/>
  <c r="K72" i="113"/>
  <c r="M72" i="113"/>
  <c r="N72" i="113"/>
  <c r="O72" i="113"/>
  <c r="P72" i="113"/>
  <c r="Q72" i="113"/>
  <c r="R72" i="113"/>
  <c r="S72" i="113"/>
  <c r="G76" i="113"/>
  <c r="H76" i="113"/>
  <c r="J76" i="113"/>
  <c r="K76" i="113"/>
  <c r="M76" i="113"/>
  <c r="N76" i="113"/>
  <c r="O76" i="113"/>
  <c r="P76" i="113"/>
  <c r="Q76" i="113"/>
  <c r="R76" i="113"/>
  <c r="S76" i="113"/>
  <c r="G78" i="113"/>
  <c r="H78" i="113"/>
  <c r="J78" i="113"/>
  <c r="K78" i="113"/>
  <c r="M78" i="113"/>
  <c r="N78" i="113"/>
  <c r="O78" i="113"/>
  <c r="P78" i="113"/>
  <c r="Q78" i="113"/>
  <c r="R78" i="113"/>
  <c r="S78" i="113"/>
  <c r="G79" i="113"/>
  <c r="H79" i="113"/>
  <c r="J79" i="113"/>
  <c r="K79" i="113"/>
  <c r="M79" i="113"/>
  <c r="N79" i="113"/>
  <c r="O79" i="113"/>
  <c r="P79" i="113"/>
  <c r="Q79" i="113"/>
  <c r="R79" i="113"/>
  <c r="S79" i="113"/>
  <c r="G80" i="113"/>
  <c r="H80" i="113"/>
  <c r="J80" i="113"/>
  <c r="K80" i="113"/>
  <c r="M80" i="113"/>
  <c r="N80" i="113"/>
  <c r="O80" i="113"/>
  <c r="P80" i="113"/>
  <c r="Q80" i="113"/>
  <c r="R80" i="113"/>
  <c r="S80" i="113"/>
  <c r="B18" i="99" l="1"/>
  <c r="K9" i="1"/>
  <c r="C16" i="3"/>
  <c r="B16" i="3"/>
  <c r="K72" i="1"/>
  <c r="K73" i="113" s="1"/>
  <c r="K65" i="1"/>
  <c r="K66" i="113" s="1"/>
  <c r="K45" i="1"/>
  <c r="K46" i="113" s="1"/>
  <c r="K34" i="1"/>
  <c r="K35" i="113" s="1"/>
  <c r="K27" i="1"/>
  <c r="K16" i="1"/>
  <c r="B17" i="48" l="1"/>
  <c r="K28" i="113"/>
  <c r="K18" i="1"/>
  <c r="K19" i="113" s="1"/>
  <c r="K17" i="113"/>
  <c r="A18" i="99"/>
  <c r="K10" i="113"/>
  <c r="K73" i="1"/>
  <c r="K74" i="113" s="1"/>
  <c r="L9" i="1"/>
  <c r="A16" i="3"/>
  <c r="K46" i="1"/>
  <c r="K47" i="113" s="1"/>
  <c r="A17" i="48" l="1"/>
  <c r="L10" i="113"/>
  <c r="M9" i="1"/>
  <c r="K48" i="1"/>
  <c r="K76" i="1"/>
  <c r="K77" i="113" s="1"/>
  <c r="M10" i="113" l="1"/>
  <c r="K49" i="113"/>
  <c r="K51" i="1"/>
  <c r="K52" i="113" s="1"/>
  <c r="N9" i="1"/>
  <c r="K80" i="1"/>
  <c r="K81" i="113" s="1"/>
  <c r="N10" i="113" l="1"/>
  <c r="H18" i="99"/>
  <c r="O9" i="1"/>
  <c r="E16" i="3"/>
  <c r="K18" i="99" l="1"/>
  <c r="F17" i="48"/>
  <c r="G17" i="48" s="1"/>
  <c r="O10" i="113"/>
  <c r="P9" i="1"/>
  <c r="BF72" i="1"/>
  <c r="BE73" i="113" s="1"/>
  <c r="P10" i="113" l="1"/>
  <c r="Q9" i="1"/>
  <c r="Q10" i="113" l="1"/>
  <c r="R9" i="1"/>
  <c r="N13" i="51"/>
  <c r="B67" i="99"/>
  <c r="F11" i="113"/>
  <c r="F9" i="113"/>
  <c r="F8" i="113"/>
  <c r="F7" i="113"/>
  <c r="AZ52" i="1" l="1"/>
  <c r="AN52" i="1"/>
  <c r="BB52" i="1"/>
  <c r="BB56" i="1" s="1"/>
  <c r="BD52" i="1"/>
  <c r="BD56" i="1" s="1"/>
  <c r="BU52" i="1"/>
  <c r="BU56" i="1" s="1"/>
  <c r="BA52" i="1"/>
  <c r="BA56" i="1" s="1"/>
  <c r="BW52" i="1"/>
  <c r="BW56" i="1" s="1"/>
  <c r="BC52" i="1"/>
  <c r="BC56" i="1" s="1"/>
  <c r="BT52" i="1"/>
  <c r="BT56" i="1" s="1"/>
  <c r="BV52" i="1"/>
  <c r="BV56" i="1" s="1"/>
  <c r="AY52" i="1"/>
  <c r="AY56" i="1" s="1"/>
  <c r="AQ52" i="1"/>
  <c r="AQ56" i="1" s="1"/>
  <c r="AT52" i="1"/>
  <c r="AT56" i="1" s="1"/>
  <c r="AR52" i="1"/>
  <c r="AR56" i="1" s="1"/>
  <c r="AV52" i="1"/>
  <c r="AU52" i="1"/>
  <c r="AS52" i="1"/>
  <c r="AS56" i="1" s="1"/>
  <c r="AW52" i="1"/>
  <c r="AW56" i="1" s="1"/>
  <c r="BN52" i="1"/>
  <c r="BN56" i="1" s="1"/>
  <c r="G82" i="99" s="1"/>
  <c r="J82" i="99" s="1"/>
  <c r="BO52" i="1"/>
  <c r="CA52" i="1"/>
  <c r="CA56" i="1" s="1"/>
  <c r="BY52" i="1"/>
  <c r="BY56" i="1" s="1"/>
  <c r="BX52" i="1"/>
  <c r="BX56" i="1" s="1"/>
  <c r="AX52" i="1"/>
  <c r="AX56" i="1" s="1"/>
  <c r="AL52" i="1"/>
  <c r="AL56" i="1" s="1"/>
  <c r="AP52" i="1"/>
  <c r="AP56" i="1" s="1"/>
  <c r="AM52" i="1"/>
  <c r="AM56" i="1" s="1"/>
  <c r="I52" i="1"/>
  <c r="AK52" i="1"/>
  <c r="AK56" i="1" s="1"/>
  <c r="BP52" i="1"/>
  <c r="AC52" i="1"/>
  <c r="BS52" i="1"/>
  <c r="BP53" i="113" s="1"/>
  <c r="BR52" i="1"/>
  <c r="BO53" i="113" s="1"/>
  <c r="BQ52" i="1"/>
  <c r="BN53" i="113" s="1"/>
  <c r="BZ52" i="1"/>
  <c r="BW53" i="113" s="1"/>
  <c r="BE52" i="1"/>
  <c r="AH52" i="1"/>
  <c r="AH56" i="1" s="1"/>
  <c r="BA53" i="113"/>
  <c r="R10" i="113"/>
  <c r="X52" i="1"/>
  <c r="X56" i="1" s="1"/>
  <c r="AI52" i="1"/>
  <c r="AH53" i="113" s="1"/>
  <c r="AF52" i="1"/>
  <c r="AG52" i="1"/>
  <c r="AJ52" i="1"/>
  <c r="AI53" i="113" s="1"/>
  <c r="S9" i="1"/>
  <c r="BF65" i="1"/>
  <c r="BE66" i="113" s="1"/>
  <c r="BF45" i="1"/>
  <c r="BE46" i="113" s="1"/>
  <c r="BF34" i="1"/>
  <c r="BE35" i="113" s="1"/>
  <c r="BF16" i="1"/>
  <c r="BE17" i="113" s="1"/>
  <c r="AV56" i="1" l="1"/>
  <c r="AU57" i="113" s="1"/>
  <c r="AU53" i="113"/>
  <c r="AU56" i="1"/>
  <c r="AT57" i="113" s="1"/>
  <c r="AT53" i="113"/>
  <c r="AN56" i="1"/>
  <c r="AM57" i="113" s="1"/>
  <c r="AM53" i="113"/>
  <c r="AZ56" i="1"/>
  <c r="AY57" i="113" s="1"/>
  <c r="AY53" i="113"/>
  <c r="BB53" i="113"/>
  <c r="AK53" i="113"/>
  <c r="BV53" i="113"/>
  <c r="AZ53" i="113"/>
  <c r="D54" i="3"/>
  <c r="G56" i="99"/>
  <c r="J56" i="99" s="1"/>
  <c r="I56" i="1"/>
  <c r="G14" i="99" s="1"/>
  <c r="I53" i="113"/>
  <c r="BO56" i="1"/>
  <c r="BL53" i="113"/>
  <c r="BR53" i="113"/>
  <c r="BU53" i="113"/>
  <c r="BT53" i="113"/>
  <c r="BX53" i="113"/>
  <c r="G43" i="99"/>
  <c r="D40" i="3"/>
  <c r="AW53" i="113"/>
  <c r="BG57" i="113"/>
  <c r="BG53" i="113"/>
  <c r="BY53" i="113"/>
  <c r="AR53" i="113"/>
  <c r="BH57" i="113"/>
  <c r="BH53" i="113"/>
  <c r="BE56" i="1"/>
  <c r="BD57" i="113" s="1"/>
  <c r="BD53" i="113"/>
  <c r="D80" i="3"/>
  <c r="BQ53" i="113"/>
  <c r="AP53" i="113"/>
  <c r="BK53" i="113"/>
  <c r="G65" i="99"/>
  <c r="J65" i="99" s="1"/>
  <c r="BC53" i="113"/>
  <c r="BF57" i="113"/>
  <c r="BF53" i="113"/>
  <c r="AJ57" i="113"/>
  <c r="AJ53" i="113"/>
  <c r="AC56" i="1"/>
  <c r="AC53" i="113"/>
  <c r="BI57" i="113"/>
  <c r="BI53" i="113"/>
  <c r="BS53" i="113"/>
  <c r="BJ53" i="113"/>
  <c r="BP56" i="1"/>
  <c r="BM53" i="113"/>
  <c r="BR56" i="1"/>
  <c r="BQ56" i="1"/>
  <c r="BS56" i="1"/>
  <c r="BZ56" i="1"/>
  <c r="AZ57" i="113"/>
  <c r="T9" i="1"/>
  <c r="T10" i="113" s="1"/>
  <c r="AJ56" i="1"/>
  <c r="AI57" i="113" s="1"/>
  <c r="G70" i="99"/>
  <c r="D67" i="3"/>
  <c r="AI56" i="1"/>
  <c r="AE53" i="113"/>
  <c r="AF56" i="1"/>
  <c r="G41" i="99" s="1"/>
  <c r="J41" i="99" s="1"/>
  <c r="AF53" i="113"/>
  <c r="AG56" i="1"/>
  <c r="BF46" i="1"/>
  <c r="BE47" i="113" s="1"/>
  <c r="S10" i="113"/>
  <c r="BF18" i="1"/>
  <c r="BE19" i="113" s="1"/>
  <c r="BF73" i="1"/>
  <c r="BE74" i="113" s="1"/>
  <c r="U34" i="1"/>
  <c r="U35" i="113" s="1"/>
  <c r="U27" i="1"/>
  <c r="U28" i="113" s="1"/>
  <c r="U16" i="1"/>
  <c r="U17" i="113" s="1"/>
  <c r="G49" i="99" l="1"/>
  <c r="J49" i="99" s="1"/>
  <c r="D46" i="3"/>
  <c r="D53" i="3"/>
  <c r="G57" i="99"/>
  <c r="J57" i="99" s="1"/>
  <c r="D58" i="3"/>
  <c r="G61" i="99"/>
  <c r="J61" i="99" s="1"/>
  <c r="G42" i="99"/>
  <c r="J42" i="99" s="1"/>
  <c r="BL57" i="113"/>
  <c r="G83" i="99"/>
  <c r="J83" i="99" s="1"/>
  <c r="D75" i="3"/>
  <c r="D81" i="3"/>
  <c r="BR57" i="113"/>
  <c r="G89" i="99"/>
  <c r="J89" i="99" s="1"/>
  <c r="D14" i="3"/>
  <c r="J14" i="99"/>
  <c r="I57" i="113"/>
  <c r="D86" i="3"/>
  <c r="G94" i="99"/>
  <c r="BW57" i="113"/>
  <c r="D85" i="3"/>
  <c r="G93" i="99"/>
  <c r="BV57" i="113"/>
  <c r="D87" i="3"/>
  <c r="G95" i="99"/>
  <c r="BX57" i="113"/>
  <c r="D60" i="3"/>
  <c r="G63" i="99"/>
  <c r="BA57" i="113"/>
  <c r="D79" i="3"/>
  <c r="G87" i="99"/>
  <c r="BP57" i="113"/>
  <c r="D78" i="3"/>
  <c r="G86" i="99"/>
  <c r="BO57" i="113"/>
  <c r="D69" i="3"/>
  <c r="G72" i="99"/>
  <c r="J72" i="99" s="1"/>
  <c r="BJ57" i="113"/>
  <c r="D62" i="3"/>
  <c r="BC57" i="113"/>
  <c r="D49" i="3"/>
  <c r="G52" i="99"/>
  <c r="AP57" i="113"/>
  <c r="G54" i="99"/>
  <c r="AR57" i="113"/>
  <c r="D84" i="3"/>
  <c r="G92" i="99"/>
  <c r="BU57" i="113"/>
  <c r="D61" i="3"/>
  <c r="G64" i="99"/>
  <c r="BB57" i="113"/>
  <c r="G59" i="99"/>
  <c r="AW57" i="113"/>
  <c r="D44" i="3"/>
  <c r="G47" i="99"/>
  <c r="AK57" i="113"/>
  <c r="D83" i="3"/>
  <c r="G91" i="99"/>
  <c r="BT57" i="113"/>
  <c r="D77" i="3"/>
  <c r="G85" i="99"/>
  <c r="BN57" i="113"/>
  <c r="D76" i="3"/>
  <c r="G84" i="99"/>
  <c r="BM57" i="113"/>
  <c r="D82" i="3"/>
  <c r="G90" i="99"/>
  <c r="BS57" i="113"/>
  <c r="D34" i="3"/>
  <c r="G36" i="99"/>
  <c r="J36" i="99" s="1"/>
  <c r="AC57" i="113"/>
  <c r="D74" i="3"/>
  <c r="BK57" i="113"/>
  <c r="G88" i="99"/>
  <c r="BQ57" i="113"/>
  <c r="D88" i="3"/>
  <c r="G96" i="99"/>
  <c r="BY57" i="113"/>
  <c r="U9" i="1"/>
  <c r="V9" i="1" s="1"/>
  <c r="J70" i="99"/>
  <c r="AH57" i="113"/>
  <c r="G44" i="99"/>
  <c r="J44" i="99" s="1"/>
  <c r="G68" i="99"/>
  <c r="J68" i="99" s="1"/>
  <c r="G62" i="99"/>
  <c r="J62" i="99" s="1"/>
  <c r="G45" i="99"/>
  <c r="J45" i="99" s="1"/>
  <c r="D41" i="3"/>
  <c r="D59" i="3"/>
  <c r="AE57" i="113"/>
  <c r="D38" i="3"/>
  <c r="D42" i="3"/>
  <c r="D65" i="3"/>
  <c r="D39" i="3"/>
  <c r="AF57" i="113"/>
  <c r="A27" i="99"/>
  <c r="A25" i="3"/>
  <c r="BF76" i="1"/>
  <c r="BE77" i="113" s="1"/>
  <c r="BF48" i="1"/>
  <c r="BE49" i="113" s="1"/>
  <c r="U18" i="1"/>
  <c r="U19" i="113" s="1"/>
  <c r="A26" i="48" l="1"/>
  <c r="J84" i="99"/>
  <c r="J59" i="99"/>
  <c r="J63" i="99"/>
  <c r="J88" i="99"/>
  <c r="J90" i="99"/>
  <c r="J47" i="99"/>
  <c r="J92" i="99"/>
  <c r="J87" i="99"/>
  <c r="J94" i="99"/>
  <c r="J85" i="99"/>
  <c r="J95" i="99"/>
  <c r="J96" i="99"/>
  <c r="J91" i="99"/>
  <c r="J64" i="99"/>
  <c r="J52" i="99"/>
  <c r="J86" i="99"/>
  <c r="J93" i="99"/>
  <c r="A29" i="99"/>
  <c r="V10" i="113"/>
  <c r="A27" i="3"/>
  <c r="W9" i="1"/>
  <c r="X9" i="1" s="1"/>
  <c r="BF51" i="1"/>
  <c r="BE52" i="113" s="1"/>
  <c r="U10" i="113"/>
  <c r="BF80" i="1"/>
  <c r="A10" i="99"/>
  <c r="B10" i="99"/>
  <c r="E11" i="113"/>
  <c r="J97" i="99" l="1"/>
  <c r="A28" i="48"/>
  <c r="E64" i="3"/>
  <c r="F63" i="48" s="1"/>
  <c r="G63" i="48" s="1"/>
  <c r="BE81" i="113"/>
  <c r="Y9" i="1"/>
  <c r="A31" i="99"/>
  <c r="H67" i="99"/>
  <c r="K67" i="99" s="1"/>
  <c r="C10" i="3"/>
  <c r="B10" i="3"/>
  <c r="A10" i="3"/>
  <c r="A81" i="113"/>
  <c r="A79" i="113"/>
  <c r="A78" i="113"/>
  <c r="A77" i="113"/>
  <c r="A76" i="113"/>
  <c r="A74" i="113"/>
  <c r="A73" i="113"/>
  <c r="A72" i="113"/>
  <c r="A71" i="113"/>
  <c r="A70" i="113"/>
  <c r="A69" i="113"/>
  <c r="A68" i="113"/>
  <c r="A66" i="113"/>
  <c r="A65" i="113"/>
  <c r="A64" i="113"/>
  <c r="A63" i="113"/>
  <c r="A62" i="113"/>
  <c r="A61" i="113"/>
  <c r="A57" i="113"/>
  <c r="A55" i="113"/>
  <c r="A54" i="113"/>
  <c r="A53" i="113"/>
  <c r="A52" i="113"/>
  <c r="A49" i="113"/>
  <c r="A47" i="113"/>
  <c r="A46" i="113"/>
  <c r="A45" i="113"/>
  <c r="A43" i="113"/>
  <c r="A42" i="113"/>
  <c r="A39" i="113"/>
  <c r="A38" i="113"/>
  <c r="A37" i="113"/>
  <c r="A35" i="113"/>
  <c r="A32" i="113"/>
  <c r="A31" i="113"/>
  <c r="A28" i="113"/>
  <c r="A27" i="113"/>
  <c r="A26" i="113"/>
  <c r="A25" i="113"/>
  <c r="A24" i="113"/>
  <c r="A23" i="113"/>
  <c r="A19" i="113"/>
  <c r="A18" i="113"/>
  <c r="A17" i="113"/>
  <c r="A16" i="113"/>
  <c r="A15" i="113"/>
  <c r="A14" i="113"/>
  <c r="C24" i="113"/>
  <c r="C25" i="113"/>
  <c r="C26" i="113"/>
  <c r="C27" i="113"/>
  <c r="C31" i="113"/>
  <c r="C32" i="113"/>
  <c r="C34" i="113"/>
  <c r="C42" i="113"/>
  <c r="C43" i="113"/>
  <c r="C45" i="113"/>
  <c r="C61" i="113"/>
  <c r="C62" i="113"/>
  <c r="C63" i="113"/>
  <c r="C64" i="113"/>
  <c r="C65" i="113"/>
  <c r="C68" i="113"/>
  <c r="C69" i="113"/>
  <c r="C70" i="113"/>
  <c r="C71" i="113"/>
  <c r="C72" i="113"/>
  <c r="C77" i="113"/>
  <c r="C23" i="113"/>
  <c r="B14" i="113"/>
  <c r="B15" i="113"/>
  <c r="B16" i="113"/>
  <c r="B17" i="113"/>
  <c r="B18" i="113"/>
  <c r="B19" i="113"/>
  <c r="B21" i="113"/>
  <c r="B22" i="113"/>
  <c r="B28" i="113"/>
  <c r="B30" i="113"/>
  <c r="B35" i="113"/>
  <c r="B37" i="113"/>
  <c r="B38" i="113"/>
  <c r="B39" i="113"/>
  <c r="B41" i="113"/>
  <c r="B46" i="113"/>
  <c r="B47" i="113"/>
  <c r="B49" i="113"/>
  <c r="B51" i="113"/>
  <c r="B52" i="113"/>
  <c r="B53" i="113"/>
  <c r="B54" i="113"/>
  <c r="B55" i="113"/>
  <c r="B57" i="113"/>
  <c r="B59" i="113"/>
  <c r="B60" i="113"/>
  <c r="B66" i="113"/>
  <c r="B67" i="113"/>
  <c r="B73" i="113"/>
  <c r="B74" i="113"/>
  <c r="B76" i="113"/>
  <c r="B78" i="113"/>
  <c r="B79" i="113"/>
  <c r="B81" i="113"/>
  <c r="B13" i="113"/>
  <c r="F15" i="113"/>
  <c r="F16" i="113"/>
  <c r="F18" i="113"/>
  <c r="F23" i="113"/>
  <c r="F24" i="113"/>
  <c r="F25" i="113"/>
  <c r="F26" i="113"/>
  <c r="F27" i="113"/>
  <c r="F31" i="113"/>
  <c r="F32" i="113"/>
  <c r="F34" i="113"/>
  <c r="F37" i="113"/>
  <c r="F38" i="113"/>
  <c r="F39" i="113"/>
  <c r="F42" i="113"/>
  <c r="F43" i="113"/>
  <c r="F45" i="113"/>
  <c r="F51" i="113"/>
  <c r="F54" i="113"/>
  <c r="F55" i="113"/>
  <c r="F61" i="113"/>
  <c r="F62" i="113"/>
  <c r="F63" i="113"/>
  <c r="F64" i="113"/>
  <c r="F65" i="113"/>
  <c r="F68" i="113"/>
  <c r="F69" i="113"/>
  <c r="F70" i="113"/>
  <c r="F71" i="113"/>
  <c r="F72" i="113"/>
  <c r="F76" i="113"/>
  <c r="F78" i="113"/>
  <c r="F79" i="113"/>
  <c r="F80" i="113"/>
  <c r="F14" i="113"/>
  <c r="E51" i="113"/>
  <c r="E80" i="113"/>
  <c r="A9" i="113"/>
  <c r="A8" i="113"/>
  <c r="A4" i="113"/>
  <c r="A5" i="113"/>
  <c r="A3" i="113"/>
  <c r="F9" i="1"/>
  <c r="F16" i="1"/>
  <c r="F17" i="113" s="1"/>
  <c r="G16" i="1"/>
  <c r="G17" i="113" s="1"/>
  <c r="H16" i="1"/>
  <c r="H17" i="113" s="1"/>
  <c r="J16" i="1"/>
  <c r="J17" i="113" s="1"/>
  <c r="L16" i="1"/>
  <c r="L17" i="113" s="1"/>
  <c r="M16" i="1"/>
  <c r="M17" i="113" s="1"/>
  <c r="N16" i="1"/>
  <c r="N17" i="113" s="1"/>
  <c r="O16" i="1"/>
  <c r="O17" i="113" s="1"/>
  <c r="Y16" i="1"/>
  <c r="Y17" i="113" s="1"/>
  <c r="Z16" i="1"/>
  <c r="Z17" i="113" s="1"/>
  <c r="P16" i="1"/>
  <c r="P17" i="113" s="1"/>
  <c r="Q16" i="1"/>
  <c r="Q17" i="113" s="1"/>
  <c r="R16" i="1"/>
  <c r="R17" i="113" s="1"/>
  <c r="S16" i="1"/>
  <c r="S17" i="113" s="1"/>
  <c r="W16" i="1"/>
  <c r="W17" i="113" s="1"/>
  <c r="AD17" i="113"/>
  <c r="AO16" i="1"/>
  <c r="AN17" i="113" s="1"/>
  <c r="AG17" i="113"/>
  <c r="BL21" i="1"/>
  <c r="CC21" i="1" s="1"/>
  <c r="F27" i="1"/>
  <c r="G27" i="1"/>
  <c r="G28" i="113" s="1"/>
  <c r="H27" i="1"/>
  <c r="H28" i="113" s="1"/>
  <c r="J27" i="1"/>
  <c r="J28" i="113" s="1"/>
  <c r="L27" i="1"/>
  <c r="L28" i="113" s="1"/>
  <c r="M27" i="1"/>
  <c r="M28" i="113" s="1"/>
  <c r="N27" i="1"/>
  <c r="N28" i="113" s="1"/>
  <c r="O27" i="1"/>
  <c r="O28" i="113" s="1"/>
  <c r="Y27" i="1"/>
  <c r="Y28" i="113" s="1"/>
  <c r="Z27" i="1"/>
  <c r="P27" i="1"/>
  <c r="P28" i="113" s="1"/>
  <c r="Q27" i="1"/>
  <c r="Q28" i="113" s="1"/>
  <c r="R27" i="1"/>
  <c r="R28" i="113" s="1"/>
  <c r="S27" i="1"/>
  <c r="S28" i="113" s="1"/>
  <c r="W27" i="1"/>
  <c r="AO27" i="1"/>
  <c r="AN28" i="113" s="1"/>
  <c r="AG28" i="113"/>
  <c r="F34" i="1"/>
  <c r="F35" i="113" s="1"/>
  <c r="G34" i="1"/>
  <c r="G35" i="113" s="1"/>
  <c r="H35" i="113"/>
  <c r="J35" i="113"/>
  <c r="L34" i="1"/>
  <c r="L35" i="113" s="1"/>
  <c r="M34" i="1"/>
  <c r="M35" i="113" s="1"/>
  <c r="N34" i="1"/>
  <c r="N35" i="113" s="1"/>
  <c r="O34" i="1"/>
  <c r="O35" i="113" s="1"/>
  <c r="Y34" i="1"/>
  <c r="Y35" i="113" s="1"/>
  <c r="Z34" i="1"/>
  <c r="Z35" i="113" s="1"/>
  <c r="P34" i="1"/>
  <c r="P35" i="113" s="1"/>
  <c r="Q34" i="1"/>
  <c r="Q35" i="113" s="1"/>
  <c r="R34" i="1"/>
  <c r="R35" i="113" s="1"/>
  <c r="S34" i="1"/>
  <c r="S35" i="113" s="1"/>
  <c r="W34" i="1"/>
  <c r="W35" i="113" s="1"/>
  <c r="AD35" i="113"/>
  <c r="AN35" i="113"/>
  <c r="AG35" i="113"/>
  <c r="AD44" i="1"/>
  <c r="F45" i="1"/>
  <c r="G45" i="1"/>
  <c r="G46" i="113" s="1"/>
  <c r="H45" i="1"/>
  <c r="H46" i="113" s="1"/>
  <c r="J45" i="1"/>
  <c r="J46" i="113" s="1"/>
  <c r="L45" i="1"/>
  <c r="L46" i="113" s="1"/>
  <c r="M45" i="1"/>
  <c r="M46" i="113" s="1"/>
  <c r="N45" i="1"/>
  <c r="N46" i="113" s="1"/>
  <c r="O45" i="1"/>
  <c r="O46" i="113" s="1"/>
  <c r="Y45" i="1"/>
  <c r="Y46" i="113" s="1"/>
  <c r="Z45" i="1"/>
  <c r="Z46" i="113" s="1"/>
  <c r="P45" i="1"/>
  <c r="P46" i="113" s="1"/>
  <c r="Q45" i="1"/>
  <c r="Q46" i="113" s="1"/>
  <c r="R45" i="1"/>
  <c r="R46" i="113" s="1"/>
  <c r="S45" i="1"/>
  <c r="U45" i="1"/>
  <c r="U46" i="113" s="1"/>
  <c r="W45" i="1"/>
  <c r="W46" i="113" s="1"/>
  <c r="AD46" i="113"/>
  <c r="AO45" i="1"/>
  <c r="AN46" i="113" s="1"/>
  <c r="AG46" i="113"/>
  <c r="E53" i="113"/>
  <c r="F65" i="1"/>
  <c r="G65" i="1"/>
  <c r="G66" i="113" s="1"/>
  <c r="H65" i="1"/>
  <c r="H66" i="113" s="1"/>
  <c r="J65" i="1"/>
  <c r="J66" i="113" s="1"/>
  <c r="L65" i="1"/>
  <c r="L66" i="113" s="1"/>
  <c r="M65" i="1"/>
  <c r="M66" i="113" s="1"/>
  <c r="N65" i="1"/>
  <c r="N66" i="113" s="1"/>
  <c r="O65" i="1"/>
  <c r="O66" i="113" s="1"/>
  <c r="Y65" i="1"/>
  <c r="Y66" i="113" s="1"/>
  <c r="Z65" i="1"/>
  <c r="Z66" i="113" s="1"/>
  <c r="P65" i="1"/>
  <c r="P66" i="113" s="1"/>
  <c r="Q65" i="1"/>
  <c r="Q66" i="113" s="1"/>
  <c r="R65" i="1"/>
  <c r="R66" i="113" s="1"/>
  <c r="S65" i="1"/>
  <c r="S66" i="113" s="1"/>
  <c r="U65" i="1"/>
  <c r="U66" i="113" s="1"/>
  <c r="W65" i="1"/>
  <c r="W66" i="113" s="1"/>
  <c r="AD66" i="113"/>
  <c r="AO65" i="1"/>
  <c r="AN66" i="113" s="1"/>
  <c r="AG66" i="113"/>
  <c r="F72" i="1"/>
  <c r="F73" i="113" s="1"/>
  <c r="G72" i="1"/>
  <c r="G73" i="113" s="1"/>
  <c r="H72" i="1"/>
  <c r="H73" i="113" s="1"/>
  <c r="J72" i="1"/>
  <c r="J73" i="113" s="1"/>
  <c r="L72" i="1"/>
  <c r="L73" i="113" s="1"/>
  <c r="M72" i="1"/>
  <c r="M73" i="113" s="1"/>
  <c r="N72" i="1"/>
  <c r="N73" i="113" s="1"/>
  <c r="O72" i="1"/>
  <c r="O73" i="113" s="1"/>
  <c r="Y72" i="1"/>
  <c r="Y73" i="113" s="1"/>
  <c r="Z72" i="1"/>
  <c r="Z73" i="113" s="1"/>
  <c r="P72" i="1"/>
  <c r="P73" i="113" s="1"/>
  <c r="Q72" i="1"/>
  <c r="Q73" i="113" s="1"/>
  <c r="R72" i="1"/>
  <c r="R73" i="113" s="1"/>
  <c r="S72" i="1"/>
  <c r="S73" i="113" s="1"/>
  <c r="U72" i="1"/>
  <c r="U73" i="113" s="1"/>
  <c r="W72" i="1"/>
  <c r="W73" i="113" s="1"/>
  <c r="AD73" i="113"/>
  <c r="AO72" i="1"/>
  <c r="AN73" i="113" s="1"/>
  <c r="AG73" i="113"/>
  <c r="B68" i="3"/>
  <c r="B48" i="3"/>
  <c r="B47" i="3"/>
  <c r="B45" i="3"/>
  <c r="B37" i="3"/>
  <c r="B28" i="3"/>
  <c r="B51" i="3"/>
  <c r="B26" i="3"/>
  <c r="B24" i="3"/>
  <c r="B23" i="3"/>
  <c r="B22" i="3"/>
  <c r="B21" i="3"/>
  <c r="B29" i="3"/>
  <c r="B31" i="3"/>
  <c r="B30" i="3"/>
  <c r="B20" i="3"/>
  <c r="B19" i="3"/>
  <c r="B18" i="3"/>
  <c r="B17" i="3"/>
  <c r="B50" i="3"/>
  <c r="B15" i="3"/>
  <c r="B12" i="3"/>
  <c r="B11" i="3"/>
  <c r="A11" i="48" l="1"/>
  <c r="G46" i="117"/>
  <c r="F46" i="117" s="1"/>
  <c r="S46" i="113"/>
  <c r="S46" i="1"/>
  <c r="S47" i="113" s="1"/>
  <c r="Z9" i="1"/>
  <c r="Y10" i="113"/>
  <c r="AD28" i="113"/>
  <c r="Z28" i="113"/>
  <c r="W28" i="113"/>
  <c r="AG74" i="113"/>
  <c r="AO73" i="1"/>
  <c r="AN74" i="113" s="1"/>
  <c r="AD74" i="113"/>
  <c r="Q73" i="1"/>
  <c r="Q74" i="113" s="1"/>
  <c r="L73" i="1"/>
  <c r="L74" i="113" s="1"/>
  <c r="R73" i="1"/>
  <c r="R74" i="113" s="1"/>
  <c r="M73" i="1"/>
  <c r="M74" i="113" s="1"/>
  <c r="H73" i="1"/>
  <c r="H74" i="113" s="1"/>
  <c r="W73" i="1"/>
  <c r="W74" i="113" s="1"/>
  <c r="U73" i="1"/>
  <c r="U74" i="113" s="1"/>
  <c r="P73" i="1"/>
  <c r="P74" i="113" s="1"/>
  <c r="O73" i="1"/>
  <c r="O74" i="113" s="1"/>
  <c r="G73" i="1"/>
  <c r="G74" i="113" s="1"/>
  <c r="Y73" i="1"/>
  <c r="Y74" i="113" s="1"/>
  <c r="Z73" i="1"/>
  <c r="Z74" i="113" s="1"/>
  <c r="S73" i="1"/>
  <c r="S74" i="113" s="1"/>
  <c r="N73" i="1"/>
  <c r="N74" i="113" s="1"/>
  <c r="J73" i="1"/>
  <c r="J74" i="113" s="1"/>
  <c r="F66" i="113"/>
  <c r="F73" i="1"/>
  <c r="O18" i="1"/>
  <c r="O19" i="113" s="1"/>
  <c r="P18" i="1"/>
  <c r="P19" i="113" s="1"/>
  <c r="F28" i="113"/>
  <c r="W18" i="1"/>
  <c r="W19" i="113" s="1"/>
  <c r="G9" i="1"/>
  <c r="F10" i="113"/>
  <c r="Q18" i="1"/>
  <c r="Q19" i="113" s="1"/>
  <c r="G18" i="1"/>
  <c r="G19" i="113" s="1"/>
  <c r="Y46" i="1"/>
  <c r="Y18" i="1"/>
  <c r="Y19" i="113" s="1"/>
  <c r="N46" i="1"/>
  <c r="N47" i="113" s="1"/>
  <c r="J46" i="1"/>
  <c r="J47" i="113" s="1"/>
  <c r="F46" i="1"/>
  <c r="F47" i="113" s="1"/>
  <c r="L18" i="1"/>
  <c r="L19" i="113" s="1"/>
  <c r="J18" i="1"/>
  <c r="J19" i="113" s="1"/>
  <c r="S18" i="1"/>
  <c r="F18" i="1"/>
  <c r="F19" i="113" s="1"/>
  <c r="N18" i="1"/>
  <c r="N19" i="113" s="1"/>
  <c r="AG47" i="113"/>
  <c r="R46" i="1"/>
  <c r="R47" i="113" s="1"/>
  <c r="M46" i="1"/>
  <c r="M47" i="113" s="1"/>
  <c r="AO46" i="1"/>
  <c r="AN47" i="113" s="1"/>
  <c r="AO18" i="1"/>
  <c r="AN19" i="113" s="1"/>
  <c r="R18" i="1"/>
  <c r="R19" i="113" s="1"/>
  <c r="Z18" i="1"/>
  <c r="Z19" i="113" s="1"/>
  <c r="M18" i="1"/>
  <c r="M19" i="113" s="1"/>
  <c r="H18" i="1"/>
  <c r="H19" i="113" s="1"/>
  <c r="Z46" i="1"/>
  <c r="Z47" i="113" s="1"/>
  <c r="H46" i="1"/>
  <c r="H47" i="113" s="1"/>
  <c r="AD47" i="113"/>
  <c r="Q46" i="1"/>
  <c r="Q47" i="113" s="1"/>
  <c r="L46" i="1"/>
  <c r="L47" i="113" s="1"/>
  <c r="BL44" i="1"/>
  <c r="W46" i="1"/>
  <c r="W47" i="113" s="1"/>
  <c r="U46" i="1"/>
  <c r="U47" i="113" s="1"/>
  <c r="P46" i="1"/>
  <c r="P47" i="113" s="1"/>
  <c r="O46" i="1"/>
  <c r="O47" i="113" s="1"/>
  <c r="G46" i="1"/>
  <c r="G47" i="113" s="1"/>
  <c r="AG19" i="113"/>
  <c r="AD19" i="113"/>
  <c r="A11" i="3"/>
  <c r="E45" i="113"/>
  <c r="F46" i="113"/>
  <c r="I10" i="48"/>
  <c r="G75" i="48"/>
  <c r="E23" i="1"/>
  <c r="E26" i="1"/>
  <c r="E38" i="113"/>
  <c r="E39" i="113"/>
  <c r="AD41" i="1"/>
  <c r="AD42" i="1"/>
  <c r="BL42" i="1" s="1"/>
  <c r="CC42" i="1" s="1"/>
  <c r="AD54" i="1"/>
  <c r="A12" i="48" l="1"/>
  <c r="G56" i="117"/>
  <c r="F56" i="117" s="1"/>
  <c r="S19" i="113"/>
  <c r="S48" i="1"/>
  <c r="S51" i="1" s="1"/>
  <c r="G44" i="117"/>
  <c r="F44" i="117" s="1"/>
  <c r="G43" i="117"/>
  <c r="G47" i="117" s="1"/>
  <c r="E25" i="117"/>
  <c r="Y47" i="113"/>
  <c r="Y48" i="1"/>
  <c r="G10" i="113"/>
  <c r="AA9" i="1"/>
  <c r="Z10" i="113"/>
  <c r="AD26" i="1"/>
  <c r="E28" i="117"/>
  <c r="I46" i="117"/>
  <c r="CC44" i="1"/>
  <c r="G46" i="161" s="1"/>
  <c r="J46" i="161" s="1"/>
  <c r="E17" i="1"/>
  <c r="E52" i="113"/>
  <c r="W10" i="113"/>
  <c r="E25" i="1"/>
  <c r="E14" i="1"/>
  <c r="E13" i="1"/>
  <c r="AO76" i="1"/>
  <c r="AN77" i="113" s="1"/>
  <c r="AD77" i="113"/>
  <c r="H76" i="1"/>
  <c r="H77" i="113" s="1"/>
  <c r="AG77" i="113"/>
  <c r="O76" i="1"/>
  <c r="O77" i="113" s="1"/>
  <c r="Z76" i="1"/>
  <c r="Z77" i="113" s="1"/>
  <c r="R76" i="1"/>
  <c r="R77" i="113" s="1"/>
  <c r="M76" i="1"/>
  <c r="M77" i="113" s="1"/>
  <c r="AD23" i="1"/>
  <c r="E24" i="113"/>
  <c r="E54" i="113"/>
  <c r="E45" i="1"/>
  <c r="E46" i="113" s="1"/>
  <c r="E42" i="113"/>
  <c r="E43" i="113"/>
  <c r="N48" i="1"/>
  <c r="AD45" i="1"/>
  <c r="BL45" i="1" s="1"/>
  <c r="E37" i="113"/>
  <c r="U76" i="1"/>
  <c r="U77" i="113" s="1"/>
  <c r="BL36" i="1"/>
  <c r="BL41" i="1"/>
  <c r="E55" i="113"/>
  <c r="J48" i="1"/>
  <c r="BL33" i="1"/>
  <c r="Q48" i="1"/>
  <c r="E34" i="113"/>
  <c r="E27" i="113"/>
  <c r="L76" i="1"/>
  <c r="L77" i="113" s="1"/>
  <c r="L48" i="1"/>
  <c r="L49" i="113" s="1"/>
  <c r="Y76" i="1"/>
  <c r="Y77" i="113" s="1"/>
  <c r="H9" i="1"/>
  <c r="AO48" i="1"/>
  <c r="Q76" i="1"/>
  <c r="Q77" i="113" s="1"/>
  <c r="F48" i="1"/>
  <c r="F51" i="1" s="1"/>
  <c r="W76" i="1"/>
  <c r="W77" i="113" s="1"/>
  <c r="P76" i="1"/>
  <c r="P77" i="113" s="1"/>
  <c r="G76" i="1"/>
  <c r="G77" i="113" s="1"/>
  <c r="Z48" i="1"/>
  <c r="F74" i="113"/>
  <c r="F76" i="1"/>
  <c r="S76" i="1"/>
  <c r="S77" i="113" s="1"/>
  <c r="M48" i="1"/>
  <c r="H48" i="1"/>
  <c r="N76" i="1"/>
  <c r="N77" i="113" s="1"/>
  <c r="R48" i="1"/>
  <c r="J76" i="1"/>
  <c r="J77" i="113" s="1"/>
  <c r="AG49" i="113"/>
  <c r="O48" i="1"/>
  <c r="O49" i="113" s="1"/>
  <c r="AD49" i="113"/>
  <c r="W48" i="1"/>
  <c r="W49" i="113" s="1"/>
  <c r="G48" i="1"/>
  <c r="G51" i="1" s="1"/>
  <c r="U48" i="1"/>
  <c r="P48" i="1"/>
  <c r="E22" i="1"/>
  <c r="A1" i="3"/>
  <c r="A13" i="3" l="1"/>
  <c r="I9" i="1"/>
  <c r="A13" i="99"/>
  <c r="AO51" i="1"/>
  <c r="AN52" i="113" s="1"/>
  <c r="AN49" i="113"/>
  <c r="F43" i="117"/>
  <c r="F47" i="117" s="1"/>
  <c r="E19" i="117"/>
  <c r="G28" i="117"/>
  <c r="F28" i="117" s="1"/>
  <c r="E27" i="117"/>
  <c r="E24" i="117"/>
  <c r="CC33" i="1"/>
  <c r="CD33" i="1" s="1"/>
  <c r="G25" i="117"/>
  <c r="F25" i="117" s="1"/>
  <c r="E15" i="117"/>
  <c r="CD44" i="1"/>
  <c r="H46" i="117"/>
  <c r="E46" i="161"/>
  <c r="AB9" i="1"/>
  <c r="AA10" i="113"/>
  <c r="BL26" i="1"/>
  <c r="Y49" i="113"/>
  <c r="I35" i="117"/>
  <c r="K46" i="117"/>
  <c r="I44" i="117"/>
  <c r="E15" i="113"/>
  <c r="E16" i="117"/>
  <c r="I43" i="117"/>
  <c r="I38" i="117"/>
  <c r="CC41" i="1"/>
  <c r="G43" i="161" s="1"/>
  <c r="CC36" i="1"/>
  <c r="G38" i="161" s="1"/>
  <c r="G44" i="161"/>
  <c r="J44" i="161" s="1"/>
  <c r="Z49" i="113"/>
  <c r="Z51" i="1"/>
  <c r="Z52" i="113" s="1"/>
  <c r="Q49" i="113"/>
  <c r="Q51" i="1"/>
  <c r="Q52" i="113" s="1"/>
  <c r="L51" i="1"/>
  <c r="L52" i="113" s="1"/>
  <c r="N49" i="113"/>
  <c r="N51" i="1"/>
  <c r="N52" i="113" s="1"/>
  <c r="M49" i="113"/>
  <c r="M51" i="1"/>
  <c r="P49" i="113"/>
  <c r="P51" i="1"/>
  <c r="P52" i="113" s="1"/>
  <c r="S49" i="113"/>
  <c r="S52" i="113"/>
  <c r="R49" i="113"/>
  <c r="R51" i="1"/>
  <c r="R52" i="113" s="1"/>
  <c r="U49" i="113"/>
  <c r="U51" i="1"/>
  <c r="U52" i="113" s="1"/>
  <c r="H49" i="113"/>
  <c r="H51" i="1"/>
  <c r="H52" i="113" s="1"/>
  <c r="J49" i="113"/>
  <c r="J51" i="1"/>
  <c r="J52" i="113" s="1"/>
  <c r="H10" i="113"/>
  <c r="Y54" i="113"/>
  <c r="AD14" i="1"/>
  <c r="G49" i="113"/>
  <c r="G52" i="113"/>
  <c r="AO80" i="1"/>
  <c r="AN81" i="113" s="1"/>
  <c r="AD81" i="113"/>
  <c r="R80" i="1"/>
  <c r="R81" i="113" s="1"/>
  <c r="BL37" i="1"/>
  <c r="M80" i="1"/>
  <c r="M81" i="113" s="1"/>
  <c r="Z80" i="1"/>
  <c r="Z81" i="113" s="1"/>
  <c r="O80" i="1"/>
  <c r="H80" i="1"/>
  <c r="H13" i="99" s="1"/>
  <c r="AG81" i="113"/>
  <c r="BL38" i="1"/>
  <c r="AD13" i="1"/>
  <c r="E14" i="113"/>
  <c r="BL23" i="1"/>
  <c r="AD25" i="1"/>
  <c r="E26" i="113"/>
  <c r="AD17" i="1"/>
  <c r="E18" i="113"/>
  <c r="AD22" i="1"/>
  <c r="E23" i="113"/>
  <c r="F49" i="113"/>
  <c r="E24" i="1"/>
  <c r="U80" i="1"/>
  <c r="U81" i="113" s="1"/>
  <c r="G80" i="1"/>
  <c r="Y80" i="1"/>
  <c r="Y81" i="113" s="1"/>
  <c r="Q80" i="1"/>
  <c r="L80" i="1"/>
  <c r="L81" i="113" s="1"/>
  <c r="P80" i="1"/>
  <c r="P81" i="113" s="1"/>
  <c r="W80" i="1"/>
  <c r="N80" i="1"/>
  <c r="N81" i="113" s="1"/>
  <c r="S80" i="1"/>
  <c r="S81" i="113" s="1"/>
  <c r="J80" i="1"/>
  <c r="J81" i="113" s="1"/>
  <c r="F77" i="113"/>
  <c r="F80" i="1"/>
  <c r="F52" i="113"/>
  <c r="AD52" i="113"/>
  <c r="AG52" i="113"/>
  <c r="G81" i="113" l="1"/>
  <c r="H12" i="99"/>
  <c r="F52" i="1"/>
  <c r="H11" i="99"/>
  <c r="K11" i="99" s="1"/>
  <c r="W81" i="113"/>
  <c r="A14" i="3"/>
  <c r="A15" i="48" s="1"/>
  <c r="A14" i="99"/>
  <c r="I10" i="113"/>
  <c r="E13" i="3"/>
  <c r="A36" i="99"/>
  <c r="AC10" i="113"/>
  <c r="A34" i="3"/>
  <c r="G35" i="161"/>
  <c r="BL13" i="1"/>
  <c r="CC26" i="1"/>
  <c r="G27" i="117"/>
  <c r="F27" i="117" s="1"/>
  <c r="G19" i="117"/>
  <c r="F19" i="117" s="1"/>
  <c r="CD42" i="1"/>
  <c r="H38" i="117"/>
  <c r="E38" i="161"/>
  <c r="F38" i="161" s="1"/>
  <c r="H35" i="117"/>
  <c r="E35" i="161"/>
  <c r="H43" i="117"/>
  <c r="E43" i="161"/>
  <c r="H44" i="117"/>
  <c r="E44" i="161"/>
  <c r="F44" i="161" s="1"/>
  <c r="CD36" i="1"/>
  <c r="CD41" i="1"/>
  <c r="I28" i="117"/>
  <c r="AB10" i="113"/>
  <c r="A33" i="3"/>
  <c r="A35" i="99"/>
  <c r="BL22" i="1"/>
  <c r="G24" i="117"/>
  <c r="G15" i="117"/>
  <c r="BL14" i="1"/>
  <c r="G16" i="117"/>
  <c r="F16" i="117" s="1"/>
  <c r="K44" i="117"/>
  <c r="I25" i="117"/>
  <c r="I39" i="117"/>
  <c r="E27" i="1"/>
  <c r="E28" i="113" s="1"/>
  <c r="E26" i="117"/>
  <c r="I47" i="117"/>
  <c r="I40" i="117"/>
  <c r="H50" i="99"/>
  <c r="K50" i="99" s="1"/>
  <c r="CC23" i="1"/>
  <c r="CC37" i="1"/>
  <c r="G39" i="161" s="1"/>
  <c r="J39" i="161" s="1"/>
  <c r="CC38" i="1"/>
  <c r="G40" i="161" s="1"/>
  <c r="J40" i="161" s="1"/>
  <c r="H81" i="113"/>
  <c r="O81" i="113"/>
  <c r="M52" i="113"/>
  <c r="AD53" i="1"/>
  <c r="Q81" i="113"/>
  <c r="E22" i="3"/>
  <c r="H27" i="99"/>
  <c r="E25" i="3"/>
  <c r="K48" i="99"/>
  <c r="K51" i="99"/>
  <c r="K40" i="99"/>
  <c r="K43" i="99"/>
  <c r="H25" i="99"/>
  <c r="H33" i="99"/>
  <c r="E12" i="3"/>
  <c r="K54" i="99"/>
  <c r="H20" i="99"/>
  <c r="H22" i="99"/>
  <c r="K12" i="99"/>
  <c r="H28" i="99"/>
  <c r="E25" i="113"/>
  <c r="AD24" i="1"/>
  <c r="BL17" i="1"/>
  <c r="BL25" i="1"/>
  <c r="H19" i="99"/>
  <c r="H24" i="99"/>
  <c r="H32" i="99"/>
  <c r="K53" i="99"/>
  <c r="H30" i="99"/>
  <c r="H23" i="99"/>
  <c r="H17" i="99"/>
  <c r="H26" i="99"/>
  <c r="H21" i="99"/>
  <c r="F81" i="113"/>
  <c r="K26" i="99" l="1"/>
  <c r="K17" i="99"/>
  <c r="K27" i="99"/>
  <c r="K23" i="99"/>
  <c r="K24" i="99"/>
  <c r="K22" i="99"/>
  <c r="K33" i="99"/>
  <c r="K28" i="99"/>
  <c r="K32" i="99"/>
  <c r="K21" i="99"/>
  <c r="K30" i="99"/>
  <c r="K19" i="99"/>
  <c r="K20" i="99"/>
  <c r="K25" i="99"/>
  <c r="A35" i="48"/>
  <c r="A34" i="48"/>
  <c r="F26" i="48"/>
  <c r="G26" i="48" s="1"/>
  <c r="F23" i="48"/>
  <c r="G23" i="48" s="1"/>
  <c r="F13" i="48"/>
  <c r="G13" i="48" s="1"/>
  <c r="F14" i="48"/>
  <c r="G14" i="48" s="1"/>
  <c r="F35" i="161"/>
  <c r="I15" i="117"/>
  <c r="E15" i="161" s="1"/>
  <c r="G28" i="161"/>
  <c r="CD26" i="1"/>
  <c r="G26" i="117"/>
  <c r="G29" i="117" s="1"/>
  <c r="I16" i="117"/>
  <c r="E16" i="161" s="1"/>
  <c r="I24" i="117"/>
  <c r="CC13" i="1"/>
  <c r="CD13" i="1" s="1"/>
  <c r="H47" i="117"/>
  <c r="H39" i="117"/>
  <c r="E39" i="161"/>
  <c r="F39" i="161" s="1"/>
  <c r="CD38" i="1"/>
  <c r="CD23" i="1"/>
  <c r="G25" i="161"/>
  <c r="J25" i="161" s="1"/>
  <c r="H28" i="117"/>
  <c r="E28" i="161"/>
  <c r="H40" i="117"/>
  <c r="E40" i="161"/>
  <c r="H25" i="117"/>
  <c r="E25" i="161"/>
  <c r="E27" i="51"/>
  <c r="CD37" i="1"/>
  <c r="E47" i="161"/>
  <c r="F43" i="161"/>
  <c r="K28" i="117"/>
  <c r="X10" i="113"/>
  <c r="CC22" i="1"/>
  <c r="G24" i="161" s="1"/>
  <c r="CC14" i="1"/>
  <c r="F24" i="117"/>
  <c r="BL53" i="1"/>
  <c r="G55" i="117"/>
  <c r="F55" i="117" s="1"/>
  <c r="F15" i="117"/>
  <c r="E29" i="117"/>
  <c r="I19" i="117"/>
  <c r="K40" i="117"/>
  <c r="K25" i="117"/>
  <c r="I27" i="117"/>
  <c r="K39" i="117"/>
  <c r="CC17" i="1"/>
  <c r="CC25" i="1"/>
  <c r="K13" i="99"/>
  <c r="BL24" i="1"/>
  <c r="AD27" i="1"/>
  <c r="J28" i="161" l="1"/>
  <c r="H15" i="117"/>
  <c r="E24" i="161"/>
  <c r="F24" i="161" s="1"/>
  <c r="F28" i="161"/>
  <c r="F26" i="117"/>
  <c r="F29" i="117" s="1"/>
  <c r="H24" i="117"/>
  <c r="K24" i="117"/>
  <c r="H16" i="117"/>
  <c r="K16" i="117"/>
  <c r="G15" i="161"/>
  <c r="F15" i="161" s="1"/>
  <c r="CD14" i="1"/>
  <c r="G16" i="161"/>
  <c r="J24" i="161"/>
  <c r="G27" i="161"/>
  <c r="CD25" i="1"/>
  <c r="F40" i="161"/>
  <c r="G19" i="161"/>
  <c r="CD17" i="1"/>
  <c r="H27" i="117"/>
  <c r="E27" i="161"/>
  <c r="H19" i="117"/>
  <c r="E19" i="161"/>
  <c r="F25" i="161"/>
  <c r="CD22" i="1"/>
  <c r="I55" i="117"/>
  <c r="CC53" i="1"/>
  <c r="G55" i="161" s="1"/>
  <c r="I26" i="117"/>
  <c r="K19" i="117"/>
  <c r="K27" i="117"/>
  <c r="CC24" i="1"/>
  <c r="AD10" i="113"/>
  <c r="C68" i="3"/>
  <c r="B67" i="48" s="1"/>
  <c r="B39" i="48"/>
  <c r="C48" i="3"/>
  <c r="C47" i="3"/>
  <c r="C45" i="3"/>
  <c r="C37" i="3"/>
  <c r="B36" i="48" l="1"/>
  <c r="B47" i="48"/>
  <c r="B46" i="48"/>
  <c r="B44" i="48"/>
  <c r="J27" i="161"/>
  <c r="F27" i="161"/>
  <c r="K55" i="117"/>
  <c r="E55" i="161"/>
  <c r="J19" i="161"/>
  <c r="F19" i="161"/>
  <c r="G26" i="161"/>
  <c r="CD24" i="1"/>
  <c r="CD27" i="1" s="1"/>
  <c r="H26" i="117"/>
  <c r="H29" i="117" s="1"/>
  <c r="E26" i="161"/>
  <c r="E29" i="161" s="1"/>
  <c r="CD53" i="1"/>
  <c r="J16" i="161"/>
  <c r="F16" i="161"/>
  <c r="H55" i="117"/>
  <c r="K26" i="117"/>
  <c r="I29" i="117"/>
  <c r="A37" i="3"/>
  <c r="A36" i="48" l="1"/>
  <c r="K29" i="117"/>
  <c r="J26" i="161"/>
  <c r="J29" i="161" s="1"/>
  <c r="F26" i="161"/>
  <c r="F29" i="161" s="1"/>
  <c r="G29" i="161"/>
  <c r="A66" i="99"/>
  <c r="A63" i="3"/>
  <c r="A62" i="48" l="1"/>
  <c r="A71" i="99" l="1"/>
  <c r="A68" i="3"/>
  <c r="A67" i="48" s="1"/>
  <c r="A67" i="99" l="1"/>
  <c r="E8" i="48" l="1"/>
  <c r="E81" i="48" s="1"/>
  <c r="A34" i="99" l="1"/>
  <c r="A32" i="3"/>
  <c r="A33" i="48" l="1"/>
  <c r="B54" i="99"/>
  <c r="C51" i="3"/>
  <c r="B30" i="99"/>
  <c r="D38" i="99"/>
  <c r="D74" i="99" s="1"/>
  <c r="D97" i="99" s="1"/>
  <c r="A106" i="48"/>
  <c r="C87" i="48"/>
  <c r="E94" i="48" s="1"/>
  <c r="A103" i="48"/>
  <c r="A104" i="48"/>
  <c r="A147" i="48"/>
  <c r="B147" i="48"/>
  <c r="F147" i="48"/>
  <c r="B150" i="48"/>
  <c r="F150" i="48"/>
  <c r="C163" i="48"/>
  <c r="C164" i="48"/>
  <c r="B11" i="48"/>
  <c r="C11" i="3"/>
  <c r="A12" i="3"/>
  <c r="C12" i="3"/>
  <c r="A15" i="3"/>
  <c r="C15" i="3"/>
  <c r="C50" i="3"/>
  <c r="A17" i="3"/>
  <c r="C17" i="3"/>
  <c r="A18" i="3"/>
  <c r="C18" i="3"/>
  <c r="A19" i="3"/>
  <c r="C19" i="3"/>
  <c r="A20" i="3"/>
  <c r="C20" i="3"/>
  <c r="A30" i="3"/>
  <c r="C30" i="3"/>
  <c r="A31" i="3"/>
  <c r="C31" i="3"/>
  <c r="C29" i="3"/>
  <c r="C21" i="3"/>
  <c r="C22" i="3"/>
  <c r="C23" i="3"/>
  <c r="C24" i="3"/>
  <c r="C26" i="3"/>
  <c r="C28" i="3"/>
  <c r="A110" i="48"/>
  <c r="B110" i="48"/>
  <c r="A111" i="48"/>
  <c r="B111" i="48"/>
  <c r="A112" i="48"/>
  <c r="B112" i="48"/>
  <c r="A113" i="48"/>
  <c r="B113" i="48"/>
  <c r="A114" i="48"/>
  <c r="B114" i="48"/>
  <c r="A115" i="48"/>
  <c r="B115" i="48"/>
  <c r="A116" i="48"/>
  <c r="B116" i="48"/>
  <c r="A117" i="48"/>
  <c r="B117" i="48"/>
  <c r="A118" i="48"/>
  <c r="B118" i="48"/>
  <c r="A119" i="48"/>
  <c r="B119" i="48"/>
  <c r="A120" i="48"/>
  <c r="B120" i="48"/>
  <c r="A121" i="48"/>
  <c r="B121" i="48"/>
  <c r="A122" i="48"/>
  <c r="B122" i="48"/>
  <c r="A123" i="48"/>
  <c r="B123" i="48"/>
  <c r="A124" i="48"/>
  <c r="B124" i="48"/>
  <c r="A125" i="48"/>
  <c r="B125" i="48"/>
  <c r="A126" i="48"/>
  <c r="B126" i="48"/>
  <c r="A127" i="48"/>
  <c r="B127" i="48"/>
  <c r="A128" i="48"/>
  <c r="B128" i="48"/>
  <c r="A129" i="48"/>
  <c r="B129" i="48"/>
  <c r="A130" i="48"/>
  <c r="B130" i="48"/>
  <c r="A132" i="48"/>
  <c r="B132" i="48"/>
  <c r="A133" i="48"/>
  <c r="B133" i="48"/>
  <c r="A134" i="48"/>
  <c r="B134" i="48"/>
  <c r="A135" i="48"/>
  <c r="B135" i="48"/>
  <c r="A136" i="48"/>
  <c r="B136" i="48"/>
  <c r="A137" i="48"/>
  <c r="B137" i="48"/>
  <c r="A138" i="48"/>
  <c r="B138" i="48"/>
  <c r="A139" i="48"/>
  <c r="B139" i="48"/>
  <c r="A140" i="48"/>
  <c r="B140" i="48"/>
  <c r="A141" i="48"/>
  <c r="B141" i="48"/>
  <c r="A142" i="48"/>
  <c r="B142" i="48"/>
  <c r="A143" i="48"/>
  <c r="B143" i="48"/>
  <c r="A144" i="48"/>
  <c r="B144" i="48"/>
  <c r="A145" i="48"/>
  <c r="B145" i="48"/>
  <c r="A146" i="48"/>
  <c r="B146" i="48"/>
  <c r="M9" i="99"/>
  <c r="A11" i="99"/>
  <c r="B11" i="99"/>
  <c r="A12" i="99"/>
  <c r="B12" i="99"/>
  <c r="A17" i="99"/>
  <c r="B17" i="99"/>
  <c r="B53" i="99"/>
  <c r="A19" i="99"/>
  <c r="B19" i="99"/>
  <c r="A20" i="99"/>
  <c r="B20" i="99"/>
  <c r="A21" i="99"/>
  <c r="B21" i="99"/>
  <c r="A22" i="99"/>
  <c r="B22" i="99"/>
  <c r="A32" i="99"/>
  <c r="B32" i="99"/>
  <c r="A33" i="99"/>
  <c r="B33" i="99"/>
  <c r="B23" i="99"/>
  <c r="B24" i="99"/>
  <c r="B25" i="99"/>
  <c r="B26" i="99"/>
  <c r="B28" i="99"/>
  <c r="B48" i="99"/>
  <c r="B50" i="99"/>
  <c r="A40" i="99"/>
  <c r="B40" i="99"/>
  <c r="B51" i="99"/>
  <c r="F146" i="48"/>
  <c r="F145" i="48"/>
  <c r="C101" i="48"/>
  <c r="C179" i="48" s="1"/>
  <c r="C93" i="48"/>
  <c r="C171" i="48" s="1"/>
  <c r="C97" i="48"/>
  <c r="C175" i="48" s="1"/>
  <c r="C96" i="48"/>
  <c r="C174" i="48" s="1"/>
  <c r="C92" i="48"/>
  <c r="C170" i="48" s="1"/>
  <c r="C100" i="48"/>
  <c r="C178" i="48" s="1"/>
  <c r="C91" i="48"/>
  <c r="C169" i="48" s="1"/>
  <c r="F128" i="48"/>
  <c r="F142" i="48"/>
  <c r="F144" i="48"/>
  <c r="F134" i="48"/>
  <c r="F118" i="48"/>
  <c r="F126" i="48"/>
  <c r="F140" i="48"/>
  <c r="F138" i="48"/>
  <c r="F141" i="48"/>
  <c r="F113" i="48"/>
  <c r="F122" i="48"/>
  <c r="F120" i="48"/>
  <c r="F124" i="48"/>
  <c r="F135" i="48"/>
  <c r="F143" i="48"/>
  <c r="F123" i="48"/>
  <c r="F139" i="48"/>
  <c r="F114" i="48"/>
  <c r="F117" i="48"/>
  <c r="F121" i="48"/>
  <c r="F119" i="48"/>
  <c r="F125" i="48"/>
  <c r="F136" i="48"/>
  <c r="F116" i="48"/>
  <c r="F129" i="48"/>
  <c r="F137" i="48"/>
  <c r="F130" i="48"/>
  <c r="F110" i="48"/>
  <c r="F148" i="48" s="1"/>
  <c r="F111" i="48"/>
  <c r="F115" i="48"/>
  <c r="F132" i="48"/>
  <c r="F112" i="48"/>
  <c r="F127" i="48"/>
  <c r="F133" i="48"/>
  <c r="E97" i="99"/>
  <c r="M49" i="99" l="1"/>
  <c r="M61" i="99"/>
  <c r="M89" i="99"/>
  <c r="M57" i="99"/>
  <c r="M56" i="99"/>
  <c r="M14" i="99"/>
  <c r="M82" i="99"/>
  <c r="M83" i="99"/>
  <c r="M52" i="99"/>
  <c r="M59" i="99"/>
  <c r="M90" i="99"/>
  <c r="M96" i="99"/>
  <c r="M63" i="99"/>
  <c r="M84" i="99"/>
  <c r="M92" i="99"/>
  <c r="M47" i="99"/>
  <c r="M94" i="99"/>
  <c r="M86" i="99"/>
  <c r="M95" i="99"/>
  <c r="M93" i="99"/>
  <c r="M64" i="99"/>
  <c r="M87" i="99"/>
  <c r="M91" i="99"/>
  <c r="M88" i="99"/>
  <c r="M85" i="99"/>
  <c r="B49" i="48"/>
  <c r="B50" i="48"/>
  <c r="A13" i="48"/>
  <c r="B29" i="48"/>
  <c r="B23" i="48"/>
  <c r="A32" i="48"/>
  <c r="A21" i="48"/>
  <c r="A19" i="48"/>
  <c r="B16" i="48"/>
  <c r="B12" i="48"/>
  <c r="B32" i="48"/>
  <c r="B19" i="48"/>
  <c r="B14" i="48"/>
  <c r="B27" i="48"/>
  <c r="B22" i="48"/>
  <c r="B31" i="48"/>
  <c r="B20" i="48"/>
  <c r="B18" i="48"/>
  <c r="A16" i="48"/>
  <c r="B24" i="48"/>
  <c r="B21" i="48"/>
  <c r="B25" i="48"/>
  <c r="B30" i="48"/>
  <c r="A31" i="48"/>
  <c r="A20" i="48"/>
  <c r="A18" i="48"/>
  <c r="B13" i="48"/>
  <c r="A14" i="48"/>
  <c r="M36" i="99"/>
  <c r="M72" i="99"/>
  <c r="M65" i="99"/>
  <c r="M70" i="99"/>
  <c r="M41" i="99"/>
  <c r="M44" i="99"/>
  <c r="M45" i="99"/>
  <c r="M62" i="99"/>
  <c r="M68" i="99"/>
  <c r="M42" i="99"/>
  <c r="C98" i="48"/>
  <c r="D97" i="48" s="1"/>
  <c r="C172" i="48"/>
  <c r="D169" i="48" s="1"/>
  <c r="C102" i="48"/>
  <c r="D100" i="48" s="1"/>
  <c r="D102" i="48" s="1"/>
  <c r="C176" i="48"/>
  <c r="D174" i="48" s="1"/>
  <c r="C165" i="48"/>
  <c r="E172" i="48" s="1"/>
  <c r="C180" i="48"/>
  <c r="D178" i="48" s="1"/>
  <c r="C94" i="48"/>
  <c r="D91" i="48" s="1"/>
  <c r="F152" i="48"/>
  <c r="F156" i="48" s="1"/>
  <c r="F159" i="48" s="1"/>
  <c r="M97" i="99" l="1"/>
  <c r="D96" i="48"/>
  <c r="D98" i="48" s="1"/>
  <c r="D175" i="48"/>
  <c r="D176" i="48" s="1"/>
  <c r="A29" i="3"/>
  <c r="D170" i="48"/>
  <c r="E170" i="48" s="1"/>
  <c r="E180" i="48" s="1"/>
  <c r="E178" i="48" s="1"/>
  <c r="D171" i="48"/>
  <c r="E171" i="48" s="1"/>
  <c r="D101" i="48"/>
  <c r="D180" i="48"/>
  <c r="E91" i="48"/>
  <c r="E98" i="48" s="1"/>
  <c r="D179" i="48"/>
  <c r="D93" i="48"/>
  <c r="E93" i="48" s="1"/>
  <c r="D92" i="48"/>
  <c r="E92" i="48" s="1"/>
  <c r="E102" i="48" s="1"/>
  <c r="E169" i="48"/>
  <c r="E176" i="48" s="1"/>
  <c r="A30" i="48" l="1"/>
  <c r="E86" i="1"/>
  <c r="A21" i="3"/>
  <c r="A23" i="99"/>
  <c r="D172" i="48"/>
  <c r="E179" i="48"/>
  <c r="E100" i="48"/>
  <c r="E101" i="48"/>
  <c r="E97" i="48"/>
  <c r="E96" i="48"/>
  <c r="D94" i="48"/>
  <c r="E174" i="48"/>
  <c r="E175" i="48"/>
  <c r="A22" i="48" l="1"/>
  <c r="E19" i="3"/>
  <c r="A24" i="99"/>
  <c r="A22" i="3"/>
  <c r="E18" i="3"/>
  <c r="E48" i="3"/>
  <c r="E45" i="3"/>
  <c r="E29" i="3"/>
  <c r="E28" i="3"/>
  <c r="F29" i="48" s="1"/>
  <c r="G29" i="48" s="1"/>
  <c r="E15" i="3"/>
  <c r="E51" i="3"/>
  <c r="A23" i="48" l="1"/>
  <c r="F50" i="48"/>
  <c r="G50" i="48" s="1"/>
  <c r="F30" i="48"/>
  <c r="G30" i="48" s="1"/>
  <c r="F44" i="48"/>
  <c r="G44" i="48" s="1"/>
  <c r="F16" i="48"/>
  <c r="G16" i="48" s="1"/>
  <c r="F47" i="48"/>
  <c r="G47" i="48" s="1"/>
  <c r="F20" i="48"/>
  <c r="G20" i="48" s="1"/>
  <c r="F19" i="48"/>
  <c r="G19" i="48" s="1"/>
  <c r="E47" i="3"/>
  <c r="E24" i="3"/>
  <c r="E17" i="3"/>
  <c r="E37" i="3"/>
  <c r="E21" i="3"/>
  <c r="E68" i="3"/>
  <c r="E30" i="3"/>
  <c r="E20" i="3"/>
  <c r="E26" i="3"/>
  <c r="E31" i="3"/>
  <c r="A23" i="3"/>
  <c r="A25" i="99"/>
  <c r="E23" i="3"/>
  <c r="E11" i="3"/>
  <c r="E50" i="3"/>
  <c r="A24" i="48" l="1"/>
  <c r="F27" i="48"/>
  <c r="G27" i="48" s="1"/>
  <c r="F67" i="48"/>
  <c r="G67" i="48" s="1"/>
  <c r="F25" i="48"/>
  <c r="G25" i="48" s="1"/>
  <c r="F49" i="48"/>
  <c r="G49" i="48" s="1"/>
  <c r="F22" i="48"/>
  <c r="G22" i="48" s="1"/>
  <c r="F46" i="48"/>
  <c r="G46" i="48" s="1"/>
  <c r="F21" i="48"/>
  <c r="G21" i="48" s="1"/>
  <c r="F12" i="48"/>
  <c r="G12" i="48" s="1"/>
  <c r="F32" i="48"/>
  <c r="G32" i="48" s="1"/>
  <c r="F31" i="48"/>
  <c r="G31" i="48" s="1"/>
  <c r="F36" i="48"/>
  <c r="G36" i="48" s="1"/>
  <c r="F24" i="48"/>
  <c r="G24" i="48" s="1"/>
  <c r="F39" i="48"/>
  <c r="G39" i="48" s="1"/>
  <c r="F18" i="48"/>
  <c r="G18" i="48" s="1"/>
  <c r="A26" i="99"/>
  <c r="A24" i="3"/>
  <c r="A25" i="48" l="1"/>
  <c r="F69" i="48"/>
  <c r="A26" i="3"/>
  <c r="A28" i="99"/>
  <c r="A27" i="48" l="1"/>
  <c r="A28" i="3"/>
  <c r="A29" i="48" l="1"/>
  <c r="A30" i="99"/>
  <c r="M16" i="51" l="1"/>
  <c r="G7" i="3" l="1"/>
  <c r="F15" i="51"/>
  <c r="E15" i="51"/>
  <c r="AA52" i="1"/>
  <c r="AA53" i="113" s="1"/>
  <c r="U52" i="1"/>
  <c r="U53" i="113" s="1"/>
  <c r="Q52" i="1"/>
  <c r="Q53" i="113" s="1"/>
  <c r="H52" i="1"/>
  <c r="H53" i="113" s="1"/>
  <c r="L52" i="1"/>
  <c r="L53" i="113" s="1"/>
  <c r="AV53" i="113"/>
  <c r="AE52" i="1"/>
  <c r="AE56" i="1" s="1"/>
  <c r="G40" i="99" s="1"/>
  <c r="V52" i="1"/>
  <c r="T52" i="1"/>
  <c r="T56" i="1" s="1"/>
  <c r="P52" i="1"/>
  <c r="P53" i="113" s="1"/>
  <c r="M52" i="1"/>
  <c r="M53" i="113" s="1"/>
  <c r="Z52" i="1"/>
  <c r="Z53" i="113" s="1"/>
  <c r="S52" i="1"/>
  <c r="S53" i="113" s="1"/>
  <c r="O52" i="1"/>
  <c r="O53" i="113" s="1"/>
  <c r="J52" i="1"/>
  <c r="J53" i="113" s="1"/>
  <c r="N52" i="1"/>
  <c r="N53" i="113" s="1"/>
  <c r="AS53" i="113"/>
  <c r="AO52" i="1"/>
  <c r="AN53" i="113" s="1"/>
  <c r="AB52" i="1"/>
  <c r="AB56" i="1" s="1"/>
  <c r="Y52" i="1"/>
  <c r="R52" i="1"/>
  <c r="R53" i="113" s="1"/>
  <c r="G52" i="1"/>
  <c r="G53" i="113" s="1"/>
  <c r="K52" i="1"/>
  <c r="K53" i="113" s="1"/>
  <c r="F53" i="113"/>
  <c r="BF52" i="1"/>
  <c r="BE53" i="113" s="1"/>
  <c r="G46" i="99"/>
  <c r="E71" i="48"/>
  <c r="N9" i="99"/>
  <c r="O36" i="99" l="1"/>
  <c r="I45" i="48"/>
  <c r="I57" i="48"/>
  <c r="N61" i="99"/>
  <c r="O61" i="99"/>
  <c r="F46" i="3"/>
  <c r="F58" i="3"/>
  <c r="O49" i="99"/>
  <c r="N49" i="99"/>
  <c r="I15" i="48"/>
  <c r="I53" i="48"/>
  <c r="I52" i="48"/>
  <c r="F75" i="3"/>
  <c r="F53" i="3"/>
  <c r="F54" i="3"/>
  <c r="N56" i="99"/>
  <c r="O56" i="99"/>
  <c r="O57" i="99"/>
  <c r="N57" i="99"/>
  <c r="O89" i="99"/>
  <c r="N89" i="99"/>
  <c r="N83" i="99"/>
  <c r="O83" i="99"/>
  <c r="O82" i="99"/>
  <c r="N82" i="99"/>
  <c r="N14" i="99"/>
  <c r="O14" i="99"/>
  <c r="F14" i="3"/>
  <c r="F81" i="3"/>
  <c r="F67" i="3"/>
  <c r="F80" i="3"/>
  <c r="F76" i="3"/>
  <c r="F79" i="3"/>
  <c r="F60" i="3"/>
  <c r="F34" i="3"/>
  <c r="F78" i="3"/>
  <c r="F59" i="3"/>
  <c r="F87" i="3"/>
  <c r="F62" i="3"/>
  <c r="F69" i="3"/>
  <c r="F82" i="3"/>
  <c r="F86" i="3"/>
  <c r="F38" i="3"/>
  <c r="F83" i="3"/>
  <c r="F85" i="3"/>
  <c r="F74" i="3"/>
  <c r="F88" i="3"/>
  <c r="F44" i="3"/>
  <c r="F41" i="3"/>
  <c r="F39" i="3"/>
  <c r="F61" i="3"/>
  <c r="F42" i="3"/>
  <c r="F77" i="3"/>
  <c r="F84" i="3"/>
  <c r="F49" i="3"/>
  <c r="F65" i="3"/>
  <c r="N96" i="99"/>
  <c r="N90" i="99"/>
  <c r="N84" i="99"/>
  <c r="N88" i="99"/>
  <c r="N87" i="99"/>
  <c r="N85" i="99"/>
  <c r="N86" i="99"/>
  <c r="N91" i="99"/>
  <c r="N95" i="99"/>
  <c r="N93" i="99"/>
  <c r="N94" i="99"/>
  <c r="N92" i="99"/>
  <c r="N64" i="99"/>
  <c r="N63" i="99"/>
  <c r="N59" i="99"/>
  <c r="N52" i="99"/>
  <c r="N47" i="99"/>
  <c r="N58" i="99"/>
  <c r="O84" i="99"/>
  <c r="O63" i="99"/>
  <c r="O90" i="99"/>
  <c r="O92" i="99"/>
  <c r="O94" i="99"/>
  <c r="O95" i="99"/>
  <c r="O91" i="99"/>
  <c r="O52" i="99"/>
  <c r="O93" i="99"/>
  <c r="O59" i="99"/>
  <c r="O88" i="99"/>
  <c r="O47" i="99"/>
  <c r="O87" i="99"/>
  <c r="O85" i="99"/>
  <c r="O96" i="99"/>
  <c r="O64" i="99"/>
  <c r="O86" i="99"/>
  <c r="AO53" i="113"/>
  <c r="AX53" i="113"/>
  <c r="AX57" i="113"/>
  <c r="AL53" i="113"/>
  <c r="AQ53" i="113"/>
  <c r="O72" i="99"/>
  <c r="N72" i="99"/>
  <c r="N36" i="99"/>
  <c r="I65" i="48"/>
  <c r="I68" i="48"/>
  <c r="I67" i="48"/>
  <c r="I66" i="48"/>
  <c r="I38" i="48"/>
  <c r="I58" i="48"/>
  <c r="I62" i="48"/>
  <c r="I46" i="48"/>
  <c r="I42" i="48"/>
  <c r="I56" i="48"/>
  <c r="I61" i="48"/>
  <c r="I47" i="48"/>
  <c r="I64" i="48"/>
  <c r="I44" i="48"/>
  <c r="I54" i="48"/>
  <c r="I41" i="48"/>
  <c r="I60" i="48"/>
  <c r="I40" i="48"/>
  <c r="I48" i="48"/>
  <c r="I51" i="48"/>
  <c r="I55" i="48"/>
  <c r="I63" i="48"/>
  <c r="I43" i="48"/>
  <c r="I50" i="48"/>
  <c r="I49" i="48"/>
  <c r="I59" i="48"/>
  <c r="I39" i="48"/>
  <c r="I12" i="48"/>
  <c r="I35" i="48"/>
  <c r="I31" i="48"/>
  <c r="I32" i="48"/>
  <c r="I18" i="48"/>
  <c r="I21" i="48"/>
  <c r="I30" i="48"/>
  <c r="I20" i="48"/>
  <c r="I13" i="48"/>
  <c r="I27" i="48"/>
  <c r="I19" i="48"/>
  <c r="I37" i="48"/>
  <c r="I33" i="48"/>
  <c r="I16" i="48"/>
  <c r="I28" i="48"/>
  <c r="I26" i="48"/>
  <c r="I25" i="48"/>
  <c r="I17" i="48"/>
  <c r="I36" i="48"/>
  <c r="I29" i="48"/>
  <c r="I22" i="48"/>
  <c r="I23" i="48"/>
  <c r="I14" i="48"/>
  <c r="I34" i="48"/>
  <c r="I24" i="48"/>
  <c r="E84" i="1"/>
  <c r="AZ87" i="1" s="1"/>
  <c r="AZ88" i="1" s="1"/>
  <c r="AZ82" i="1" s="1"/>
  <c r="BF56" i="1"/>
  <c r="Y53" i="113"/>
  <c r="Y56" i="1"/>
  <c r="Y57" i="113" s="1"/>
  <c r="O65" i="99"/>
  <c r="N65" i="99"/>
  <c r="N70" i="99"/>
  <c r="O70" i="99"/>
  <c r="N62" i="99"/>
  <c r="N42" i="99"/>
  <c r="O62" i="99"/>
  <c r="O68" i="99"/>
  <c r="O44" i="99"/>
  <c r="N45" i="99"/>
  <c r="O45" i="99"/>
  <c r="O42" i="99"/>
  <c r="N44" i="99"/>
  <c r="N68" i="99"/>
  <c r="O41" i="99"/>
  <c r="N41" i="99"/>
  <c r="AD53" i="113"/>
  <c r="X53" i="113"/>
  <c r="N31" i="99"/>
  <c r="G69" i="99"/>
  <c r="D43" i="3"/>
  <c r="F43" i="3" s="1"/>
  <c r="N29" i="99"/>
  <c r="N69" i="99"/>
  <c r="N60" i="99"/>
  <c r="N46" i="99"/>
  <c r="O56" i="1"/>
  <c r="O57" i="113" s="1"/>
  <c r="V53" i="113"/>
  <c r="V56" i="1"/>
  <c r="G29" i="99" s="1"/>
  <c r="O29" i="99" s="1"/>
  <c r="AS57" i="113"/>
  <c r="N55" i="99"/>
  <c r="AB53" i="113"/>
  <c r="N35" i="99"/>
  <c r="N25" i="99"/>
  <c r="N34" i="99"/>
  <c r="N48" i="99"/>
  <c r="N17" i="99"/>
  <c r="N67" i="99"/>
  <c r="N53" i="99"/>
  <c r="N13" i="99"/>
  <c r="N22" i="99"/>
  <c r="N30" i="99"/>
  <c r="N71" i="99"/>
  <c r="N51" i="99"/>
  <c r="N32" i="99"/>
  <c r="N11" i="99"/>
  <c r="N27" i="99"/>
  <c r="N26" i="99"/>
  <c r="N66" i="99"/>
  <c r="N50" i="99"/>
  <c r="N24" i="99"/>
  <c r="N40" i="99"/>
  <c r="N19" i="99"/>
  <c r="N28" i="99"/>
  <c r="N43" i="99"/>
  <c r="N21" i="99"/>
  <c r="N18" i="99"/>
  <c r="N33" i="99"/>
  <c r="N12" i="99"/>
  <c r="N23" i="99"/>
  <c r="N20" i="99"/>
  <c r="N54" i="99"/>
  <c r="AG53" i="113"/>
  <c r="AA56" i="1"/>
  <c r="AA57" i="113" s="1"/>
  <c r="T57" i="113"/>
  <c r="T53" i="113"/>
  <c r="J56" i="1"/>
  <c r="J57" i="113" s="1"/>
  <c r="AO56" i="1"/>
  <c r="S56" i="1"/>
  <c r="S57" i="113" s="1"/>
  <c r="L56" i="1"/>
  <c r="L57" i="113" s="1"/>
  <c r="P56" i="1"/>
  <c r="P57" i="113" s="1"/>
  <c r="Z56" i="1"/>
  <c r="Z57" i="113" s="1"/>
  <c r="K56" i="1"/>
  <c r="M56" i="1"/>
  <c r="M57" i="113" s="1"/>
  <c r="Q56" i="1"/>
  <c r="Q57" i="113" s="1"/>
  <c r="U56" i="1"/>
  <c r="U57" i="113" s="1"/>
  <c r="N56" i="1"/>
  <c r="N57" i="113" s="1"/>
  <c r="AG57" i="113"/>
  <c r="R56" i="1"/>
  <c r="R57" i="113" s="1"/>
  <c r="H56" i="1"/>
  <c r="G13" i="99" s="1"/>
  <c r="AD52" i="1"/>
  <c r="F56" i="1"/>
  <c r="G11" i="99" s="1"/>
  <c r="AD57" i="113"/>
  <c r="G56" i="1"/>
  <c r="F71" i="48"/>
  <c r="O97" i="99" l="1"/>
  <c r="N97" i="99"/>
  <c r="P61" i="99"/>
  <c r="P49" i="99"/>
  <c r="G57" i="113"/>
  <c r="G12" i="99"/>
  <c r="AG87" i="1"/>
  <c r="AG88" i="1" s="1"/>
  <c r="AG82" i="1" s="1"/>
  <c r="AN87" i="1"/>
  <c r="AN88" i="1" s="1"/>
  <c r="AN82" i="1" s="1"/>
  <c r="BA87" i="1"/>
  <c r="BA88" i="1" s="1"/>
  <c r="BA82" i="1" s="1"/>
  <c r="BV87" i="1"/>
  <c r="BV88" i="1" s="1"/>
  <c r="BV82" i="1" s="1"/>
  <c r="BW87" i="1"/>
  <c r="BW88" i="1" s="1"/>
  <c r="BW82" i="1" s="1"/>
  <c r="BB87" i="1"/>
  <c r="BB88" i="1" s="1"/>
  <c r="BB82" i="1" s="1"/>
  <c r="BD87" i="1"/>
  <c r="BD88" i="1" s="1"/>
  <c r="BD82" i="1" s="1"/>
  <c r="BT87" i="1"/>
  <c r="BT88" i="1" s="1"/>
  <c r="BT82" i="1" s="1"/>
  <c r="BC87" i="1"/>
  <c r="BC88" i="1" s="1"/>
  <c r="BC82" i="1" s="1"/>
  <c r="BU87" i="1"/>
  <c r="BU88" i="1" s="1"/>
  <c r="BU82" i="1" s="1"/>
  <c r="P57" i="99"/>
  <c r="P56" i="99"/>
  <c r="AS87" i="1"/>
  <c r="AS88" i="1" s="1"/>
  <c r="AS82" i="1" s="1"/>
  <c r="AV87" i="1"/>
  <c r="AV88" i="1" s="1"/>
  <c r="AV82" i="1" s="1"/>
  <c r="AU87" i="1"/>
  <c r="AU88" i="1" s="1"/>
  <c r="AU82" i="1" s="1"/>
  <c r="AT87" i="1"/>
  <c r="AT88" i="1" s="1"/>
  <c r="AT82" i="1" s="1"/>
  <c r="AW87" i="1"/>
  <c r="AW88" i="1" s="1"/>
  <c r="AW82" i="1" s="1"/>
  <c r="AR87" i="1"/>
  <c r="AR88" i="1" s="1"/>
  <c r="AR82" i="1" s="1"/>
  <c r="AY87" i="1"/>
  <c r="AY88" i="1" s="1"/>
  <c r="AY82" i="1" s="1"/>
  <c r="AQ87" i="1"/>
  <c r="AQ88" i="1" s="1"/>
  <c r="AQ82" i="1" s="1"/>
  <c r="P89" i="99"/>
  <c r="P82" i="99"/>
  <c r="P83" i="99"/>
  <c r="P14" i="99"/>
  <c r="BN87" i="1"/>
  <c r="BN88" i="1" s="1"/>
  <c r="BN82" i="1" s="1"/>
  <c r="BO87" i="1"/>
  <c r="BO88" i="1" s="1"/>
  <c r="BO82" i="1" s="1"/>
  <c r="CA87" i="1"/>
  <c r="CA88" i="1" s="1"/>
  <c r="CA82" i="1" s="1"/>
  <c r="BX87" i="1"/>
  <c r="BX88" i="1" s="1"/>
  <c r="BX82" i="1" s="1"/>
  <c r="BY87" i="1"/>
  <c r="BY88" i="1" s="1"/>
  <c r="BY82" i="1" s="1"/>
  <c r="D13" i="3"/>
  <c r="F13" i="3" s="1"/>
  <c r="AL87" i="1"/>
  <c r="AL88" i="1" s="1"/>
  <c r="AL82" i="1" s="1"/>
  <c r="AP87" i="1"/>
  <c r="AP88" i="1" s="1"/>
  <c r="AX87" i="1"/>
  <c r="AX88" i="1" s="1"/>
  <c r="AX82" i="1" s="1"/>
  <c r="AM87" i="1"/>
  <c r="AM88" i="1" s="1"/>
  <c r="AM82" i="1" s="1"/>
  <c r="AK87" i="1"/>
  <c r="AK88" i="1" s="1"/>
  <c r="AK82" i="1" s="1"/>
  <c r="I87" i="1"/>
  <c r="I88" i="1" s="1"/>
  <c r="I82" i="1" s="1"/>
  <c r="P92" i="99"/>
  <c r="P88" i="99"/>
  <c r="P59" i="99"/>
  <c r="P94" i="99"/>
  <c r="P86" i="99"/>
  <c r="P84" i="99"/>
  <c r="P52" i="99"/>
  <c r="P91" i="99"/>
  <c r="AF87" i="1"/>
  <c r="AF88" i="1" s="1"/>
  <c r="P63" i="99"/>
  <c r="P93" i="99"/>
  <c r="P85" i="99"/>
  <c r="P90" i="99"/>
  <c r="P47" i="99"/>
  <c r="P64" i="99"/>
  <c r="P95" i="99"/>
  <c r="P87" i="99"/>
  <c r="P96" i="99"/>
  <c r="AE87" i="1"/>
  <c r="AE88" i="1" s="1"/>
  <c r="BS87" i="1"/>
  <c r="BS88" i="1" s="1"/>
  <c r="BS82" i="1" s="1"/>
  <c r="G51" i="99"/>
  <c r="AO57" i="113"/>
  <c r="BE87" i="1"/>
  <c r="BE88" i="1" s="1"/>
  <c r="BE82" i="1" s="1"/>
  <c r="D64" i="3"/>
  <c r="F64" i="3" s="1"/>
  <c r="BE57" i="113"/>
  <c r="G53" i="99"/>
  <c r="AQ57" i="113"/>
  <c r="G58" i="99"/>
  <c r="AV57" i="113"/>
  <c r="AH87" i="1"/>
  <c r="AH88" i="1" s="1"/>
  <c r="AH82" i="1" s="1"/>
  <c r="G48" i="99"/>
  <c r="AL57" i="113"/>
  <c r="AJ87" i="1"/>
  <c r="AJ88" i="1" s="1"/>
  <c r="BZ87" i="1"/>
  <c r="BZ88" i="1" s="1"/>
  <c r="BZ82" i="1" s="1"/>
  <c r="G50" i="99"/>
  <c r="AN57" i="113"/>
  <c r="AI87" i="1"/>
  <c r="AI88" i="1" s="1"/>
  <c r="AI82" i="1" s="1"/>
  <c r="BR87" i="1"/>
  <c r="BR88" i="1" s="1"/>
  <c r="BR82" i="1" s="1"/>
  <c r="P72" i="99"/>
  <c r="P36" i="99"/>
  <c r="X87" i="1"/>
  <c r="X88" i="1" s="1"/>
  <c r="X82" i="1" s="1"/>
  <c r="BQ87" i="1"/>
  <c r="BQ88" i="1" s="1"/>
  <c r="BQ82" i="1" s="1"/>
  <c r="BP87" i="1"/>
  <c r="BP88" i="1" s="1"/>
  <c r="BP82" i="1" s="1"/>
  <c r="AC87" i="1"/>
  <c r="AC88" i="1" s="1"/>
  <c r="AC82" i="1" s="1"/>
  <c r="G55" i="99"/>
  <c r="P65" i="99"/>
  <c r="P70" i="99"/>
  <c r="BL52" i="1"/>
  <c r="G54" i="117"/>
  <c r="F54" i="117" s="1"/>
  <c r="G67" i="99"/>
  <c r="G60" i="99"/>
  <c r="G71" i="99"/>
  <c r="J71" i="99" s="1"/>
  <c r="M71" i="99" s="1"/>
  <c r="P71" i="99" s="1"/>
  <c r="P68" i="99"/>
  <c r="P45" i="99"/>
  <c r="P44" i="99"/>
  <c r="P42" i="99"/>
  <c r="P62" i="99"/>
  <c r="P41" i="99"/>
  <c r="H57" i="113"/>
  <c r="H87" i="1"/>
  <c r="H88" i="1" s="1"/>
  <c r="F73" i="48"/>
  <c r="D55" i="3"/>
  <c r="F55" i="3" s="1"/>
  <c r="G31" i="99"/>
  <c r="O31" i="99" s="1"/>
  <c r="X57" i="113"/>
  <c r="D66" i="3"/>
  <c r="F66" i="3" s="1"/>
  <c r="AB87" i="1"/>
  <c r="J29" i="99"/>
  <c r="M29" i="99" s="1"/>
  <c r="D20" i="3"/>
  <c r="F20" i="3" s="1"/>
  <c r="G22" i="99"/>
  <c r="V57" i="113"/>
  <c r="D27" i="3"/>
  <c r="F27" i="3" s="1"/>
  <c r="D57" i="3"/>
  <c r="F57" i="3" s="1"/>
  <c r="V87" i="1"/>
  <c r="G35" i="99"/>
  <c r="O35" i="99" s="1"/>
  <c r="AB57" i="113"/>
  <c r="D33" i="3"/>
  <c r="F33" i="3" s="1"/>
  <c r="D52" i="3"/>
  <c r="F52" i="3" s="1"/>
  <c r="G34" i="99"/>
  <c r="D32" i="3"/>
  <c r="F32" i="3" s="1"/>
  <c r="AA87" i="1"/>
  <c r="G27" i="99"/>
  <c r="O27" i="99" s="1"/>
  <c r="D25" i="3"/>
  <c r="F25" i="3" s="1"/>
  <c r="D15" i="3"/>
  <c r="F15" i="3" s="1"/>
  <c r="G17" i="99"/>
  <c r="O17" i="99" s="1"/>
  <c r="T87" i="1"/>
  <c r="O87" i="1"/>
  <c r="J87" i="1"/>
  <c r="K87" i="1"/>
  <c r="K57" i="113"/>
  <c r="D17" i="3"/>
  <c r="F17" i="3" s="1"/>
  <c r="D45" i="3"/>
  <c r="F45" i="3" s="1"/>
  <c r="L87" i="1"/>
  <c r="G19" i="99"/>
  <c r="O19" i="99" s="1"/>
  <c r="D31" i="3"/>
  <c r="F31" i="3" s="1"/>
  <c r="G21" i="99"/>
  <c r="O21" i="99" s="1"/>
  <c r="P87" i="1"/>
  <c r="AO87" i="1"/>
  <c r="G26" i="99"/>
  <c r="O26" i="99" s="1"/>
  <c r="D47" i="3"/>
  <c r="F47" i="3" s="1"/>
  <c r="D24" i="3"/>
  <c r="F24" i="3" s="1"/>
  <c r="S87" i="1"/>
  <c r="N87" i="1"/>
  <c r="D12" i="3"/>
  <c r="F12" i="3" s="1"/>
  <c r="D21" i="3"/>
  <c r="F21" i="3" s="1"/>
  <c r="Z87" i="1"/>
  <c r="D19" i="3"/>
  <c r="F19" i="3" s="1"/>
  <c r="G23" i="99"/>
  <c r="O23" i="99" s="1"/>
  <c r="G33" i="99"/>
  <c r="O33" i="99" s="1"/>
  <c r="G25" i="99"/>
  <c r="O25" i="99" s="1"/>
  <c r="D51" i="3"/>
  <c r="F51" i="3" s="1"/>
  <c r="D48" i="3"/>
  <c r="F48" i="3" s="1"/>
  <c r="G24" i="99"/>
  <c r="O24" i="99" s="1"/>
  <c r="G32" i="99"/>
  <c r="O32" i="99" s="1"/>
  <c r="Q87" i="1"/>
  <c r="D11" i="3"/>
  <c r="F11" i="3" s="1"/>
  <c r="R87" i="1"/>
  <c r="U87" i="1"/>
  <c r="G28" i="99"/>
  <c r="O28" i="99" s="1"/>
  <c r="D29" i="3"/>
  <c r="F29" i="3" s="1"/>
  <c r="D50" i="3"/>
  <c r="F50" i="3" s="1"/>
  <c r="D23" i="3"/>
  <c r="F23" i="3" s="1"/>
  <c r="D22" i="3"/>
  <c r="F22" i="3" s="1"/>
  <c r="G20" i="99"/>
  <c r="F87" i="1"/>
  <c r="F57" i="113"/>
  <c r="D16" i="3"/>
  <c r="F16" i="3" s="1"/>
  <c r="G18" i="99"/>
  <c r="G87" i="1"/>
  <c r="Y87" i="1"/>
  <c r="D26" i="3"/>
  <c r="F26" i="3" s="1"/>
  <c r="D68" i="3"/>
  <c r="F68" i="3" s="1"/>
  <c r="D18" i="3"/>
  <c r="F18" i="3" s="1"/>
  <c r="M87" i="1"/>
  <c r="F40" i="3"/>
  <c r="D37" i="3"/>
  <c r="F37" i="3" s="1"/>
  <c r="D30" i="3"/>
  <c r="F30" i="3" s="1"/>
  <c r="BF87" i="1"/>
  <c r="P97" i="99" l="1"/>
  <c r="J18" i="99"/>
  <c r="M18" i="99" s="1"/>
  <c r="P18" i="99" s="1"/>
  <c r="O18" i="99"/>
  <c r="J20" i="99"/>
  <c r="M20" i="99" s="1"/>
  <c r="P20" i="99" s="1"/>
  <c r="O20" i="99"/>
  <c r="J34" i="99"/>
  <c r="M34" i="99" s="1"/>
  <c r="P34" i="99" s="1"/>
  <c r="O34" i="99"/>
  <c r="J22" i="99"/>
  <c r="M22" i="99" s="1"/>
  <c r="O22" i="99"/>
  <c r="AP82" i="1"/>
  <c r="AJ82" i="1"/>
  <c r="AF82" i="1"/>
  <c r="J58" i="99"/>
  <c r="M58" i="99" s="1"/>
  <c r="O58" i="99"/>
  <c r="AE82" i="1"/>
  <c r="CC52" i="1"/>
  <c r="G54" i="161" s="1"/>
  <c r="I54" i="117"/>
  <c r="F77" i="48"/>
  <c r="F80" i="48" s="1"/>
  <c r="J31" i="99"/>
  <c r="M31" i="99" s="1"/>
  <c r="R88" i="1"/>
  <c r="R82" i="1" s="1"/>
  <c r="Z88" i="1"/>
  <c r="Z82" i="1" s="1"/>
  <c r="H82" i="1"/>
  <c r="P88" i="1"/>
  <c r="P82" i="1" s="1"/>
  <c r="L88" i="1"/>
  <c r="L82" i="1" s="1"/>
  <c r="O88" i="1"/>
  <c r="O82" i="1" s="1"/>
  <c r="M88" i="1"/>
  <c r="M82" i="1" s="1"/>
  <c r="N88" i="1"/>
  <c r="N82" i="1" s="1"/>
  <c r="K88" i="1"/>
  <c r="K82" i="1" s="1"/>
  <c r="T88" i="1"/>
  <c r="T82" i="1" s="1"/>
  <c r="V88" i="1"/>
  <c r="V82" i="1" s="1"/>
  <c r="Y88" i="1"/>
  <c r="Y82" i="1" s="1"/>
  <c r="Q88" i="1"/>
  <c r="Q82" i="1" s="1"/>
  <c r="S88" i="1"/>
  <c r="S82" i="1" s="1"/>
  <c r="AO88" i="1"/>
  <c r="AO82" i="1" s="1"/>
  <c r="AA88" i="1"/>
  <c r="AA82" i="1" s="1"/>
  <c r="BF88" i="1"/>
  <c r="BF82" i="1" s="1"/>
  <c r="G88" i="1"/>
  <c r="G82" i="1" s="1"/>
  <c r="F88" i="1"/>
  <c r="F82" i="1" s="1"/>
  <c r="U88" i="1"/>
  <c r="U82" i="1" s="1"/>
  <c r="J88" i="1"/>
  <c r="J82" i="1" s="1"/>
  <c r="AB88" i="1"/>
  <c r="AB82" i="1" s="1"/>
  <c r="P29" i="99"/>
  <c r="J69" i="99"/>
  <c r="O69" i="99"/>
  <c r="J46" i="99"/>
  <c r="M46" i="99" s="1"/>
  <c r="O46" i="99"/>
  <c r="J60" i="99"/>
  <c r="M60" i="99" s="1"/>
  <c r="O60" i="99"/>
  <c r="J35" i="99"/>
  <c r="M35" i="99" s="1"/>
  <c r="J55" i="99"/>
  <c r="M55" i="99" s="1"/>
  <c r="O55" i="99"/>
  <c r="J53" i="99"/>
  <c r="M53" i="99" s="1"/>
  <c r="J23" i="99"/>
  <c r="M23" i="99" s="1"/>
  <c r="J26" i="99"/>
  <c r="M26" i="99" s="1"/>
  <c r="J40" i="99"/>
  <c r="M40" i="99" s="1"/>
  <c r="J28" i="99"/>
  <c r="M28" i="99" s="1"/>
  <c r="J24" i="99"/>
  <c r="M24" i="99" s="1"/>
  <c r="J25" i="99"/>
  <c r="M25" i="99" s="1"/>
  <c r="J54" i="99"/>
  <c r="M54" i="99" s="1"/>
  <c r="J51" i="99"/>
  <c r="M51" i="99" s="1"/>
  <c r="J48" i="99"/>
  <c r="M48" i="99" s="1"/>
  <c r="J17" i="99"/>
  <c r="M17" i="99" s="1"/>
  <c r="J12" i="99"/>
  <c r="M12" i="99" s="1"/>
  <c r="J32" i="99"/>
  <c r="M32" i="99" s="1"/>
  <c r="J33" i="99"/>
  <c r="M33" i="99" s="1"/>
  <c r="J21" i="99"/>
  <c r="M21" i="99" s="1"/>
  <c r="J43" i="99"/>
  <c r="M43" i="99" s="1"/>
  <c r="J27" i="99"/>
  <c r="M27" i="99" s="1"/>
  <c r="J67" i="99"/>
  <c r="M67" i="99" s="1"/>
  <c r="O11" i="99"/>
  <c r="J11" i="99"/>
  <c r="M11" i="99" s="1"/>
  <c r="P11" i="99" s="1"/>
  <c r="J13" i="99"/>
  <c r="J19" i="99"/>
  <c r="M19" i="99" s="1"/>
  <c r="J50" i="99"/>
  <c r="M50" i="99" s="1"/>
  <c r="O71" i="99"/>
  <c r="O48" i="99"/>
  <c r="O50" i="99"/>
  <c r="O13" i="99"/>
  <c r="O53" i="99"/>
  <c r="O54" i="99"/>
  <c r="O51" i="99"/>
  <c r="O67" i="99"/>
  <c r="O43" i="99"/>
  <c r="O40" i="99"/>
  <c r="O12" i="99"/>
  <c r="P22" i="99" l="1"/>
  <c r="M69" i="99"/>
  <c r="P58" i="99"/>
  <c r="H54" i="117"/>
  <c r="E54" i="161"/>
  <c r="F55" i="161"/>
  <c r="J55" i="161"/>
  <c r="CD52" i="1"/>
  <c r="K54" i="117"/>
  <c r="M13" i="99"/>
  <c r="P31" i="99"/>
  <c r="P19" i="99"/>
  <c r="P33" i="99"/>
  <c r="P25" i="99"/>
  <c r="P26" i="99"/>
  <c r="P27" i="99"/>
  <c r="P32" i="99"/>
  <c r="P51" i="99"/>
  <c r="P24" i="99"/>
  <c r="P23" i="99"/>
  <c r="P55" i="99"/>
  <c r="P60" i="99"/>
  <c r="P69" i="99"/>
  <c r="P43" i="99"/>
  <c r="P12" i="99"/>
  <c r="P54" i="99"/>
  <c r="P28" i="99"/>
  <c r="P53" i="99"/>
  <c r="P67" i="99"/>
  <c r="P48" i="99"/>
  <c r="P50" i="99"/>
  <c r="P21" i="99"/>
  <c r="P17" i="99"/>
  <c r="P40" i="99"/>
  <c r="P35" i="99"/>
  <c r="P46" i="99"/>
  <c r="P13" i="99" l="1"/>
  <c r="BL27" i="1" l="1"/>
  <c r="CC27" i="1" s="1"/>
  <c r="E78" i="113" l="1"/>
  <c r="E63" i="113"/>
  <c r="E76" i="113"/>
  <c r="E70" i="113"/>
  <c r="E64" i="113"/>
  <c r="E65" i="113"/>
  <c r="AD70" i="1"/>
  <c r="BL70" i="1" l="1"/>
  <c r="G72" i="117"/>
  <c r="F72" i="117" s="1"/>
  <c r="E15" i="1"/>
  <c r="AD63" i="1"/>
  <c r="E71" i="113"/>
  <c r="AD62" i="1"/>
  <c r="AD69" i="1"/>
  <c r="AD75" i="1"/>
  <c r="E69" i="113"/>
  <c r="E68" i="113"/>
  <c r="AD67" i="1"/>
  <c r="AD64" i="1"/>
  <c r="AD61" i="1"/>
  <c r="E62" i="113"/>
  <c r="AD78" i="1"/>
  <c r="E79" i="113"/>
  <c r="E61" i="113"/>
  <c r="E72" i="113"/>
  <c r="AD71" i="1"/>
  <c r="AD68" i="1"/>
  <c r="E72" i="1"/>
  <c r="E73" i="113" s="1"/>
  <c r="AD77" i="1"/>
  <c r="BL69" i="1" l="1"/>
  <c r="G65" i="117"/>
  <c r="F65" i="117" s="1"/>
  <c r="G63" i="117"/>
  <c r="F63" i="117" s="1"/>
  <c r="CC70" i="1"/>
  <c r="I72" i="117"/>
  <c r="BL78" i="1"/>
  <c r="G80" i="117"/>
  <c r="F80" i="117" s="1"/>
  <c r="BL62" i="1"/>
  <c r="G64" i="117"/>
  <c r="F64" i="117" s="1"/>
  <c r="BL71" i="1"/>
  <c r="G73" i="117"/>
  <c r="F73" i="117" s="1"/>
  <c r="BL64" i="1"/>
  <c r="G66" i="117"/>
  <c r="F66" i="117" s="1"/>
  <c r="BL68" i="1"/>
  <c r="G70" i="117"/>
  <c r="F70" i="117" s="1"/>
  <c r="BL77" i="1"/>
  <c r="G79" i="117"/>
  <c r="F79" i="117" s="1"/>
  <c r="BL60" i="1"/>
  <c r="CC60" i="1" s="1"/>
  <c r="G62" i="117"/>
  <c r="BL75" i="1"/>
  <c r="G77" i="117"/>
  <c r="F77" i="117" s="1"/>
  <c r="BL67" i="1"/>
  <c r="G69" i="117"/>
  <c r="G71" i="117"/>
  <c r="F71" i="117" s="1"/>
  <c r="E16" i="113"/>
  <c r="E17" i="117"/>
  <c r="BL63" i="1"/>
  <c r="BL61" i="1"/>
  <c r="AD15" i="1"/>
  <c r="E16" i="1"/>
  <c r="E18" i="1" s="1"/>
  <c r="AD72" i="1"/>
  <c r="BL72" i="1" s="1"/>
  <c r="CC72" i="1" s="1"/>
  <c r="E66" i="113"/>
  <c r="E73" i="1"/>
  <c r="AD65" i="1"/>
  <c r="I79" i="117" l="1"/>
  <c r="E79" i="161" s="1"/>
  <c r="I69" i="117"/>
  <c r="E69" i="161" s="1"/>
  <c r="I80" i="117"/>
  <c r="E80" i="161" s="1"/>
  <c r="H72" i="117"/>
  <c r="E72" i="161"/>
  <c r="G72" i="161"/>
  <c r="CD70" i="1"/>
  <c r="CC78" i="1"/>
  <c r="CC67" i="1"/>
  <c r="I71" i="117"/>
  <c r="K72" i="117"/>
  <c r="CC64" i="1"/>
  <c r="I66" i="117"/>
  <c r="CC75" i="1"/>
  <c r="CC71" i="1"/>
  <c r="I73" i="117"/>
  <c r="E73" i="161" s="1"/>
  <c r="CC68" i="1"/>
  <c r="I70" i="117"/>
  <c r="I62" i="117"/>
  <c r="I64" i="117"/>
  <c r="I77" i="117"/>
  <c r="CC69" i="1"/>
  <c r="CC77" i="1"/>
  <c r="CC62" i="1"/>
  <c r="AD16" i="1"/>
  <c r="AD18" i="1" s="1"/>
  <c r="G17" i="117"/>
  <c r="G18" i="117" s="1"/>
  <c r="G20" i="117" s="1"/>
  <c r="G74" i="117"/>
  <c r="F69" i="117"/>
  <c r="F74" i="117" s="1"/>
  <c r="G67" i="117"/>
  <c r="F62" i="117"/>
  <c r="F67" i="117" s="1"/>
  <c r="E18" i="117"/>
  <c r="E20" i="117" s="1"/>
  <c r="I63" i="117"/>
  <c r="I65" i="117"/>
  <c r="CC61" i="1"/>
  <c r="CC63" i="1"/>
  <c r="BL15" i="1"/>
  <c r="E17" i="113"/>
  <c r="E74" i="113"/>
  <c r="E76" i="1"/>
  <c r="AD73" i="1"/>
  <c r="AD76" i="1" s="1"/>
  <c r="AD80" i="1" s="1"/>
  <c r="BL65" i="1"/>
  <c r="CC65" i="1" s="1"/>
  <c r="CC73" i="1" s="1"/>
  <c r="E19" i="113"/>
  <c r="K69" i="117" l="1"/>
  <c r="K80" i="117"/>
  <c r="H80" i="117"/>
  <c r="H79" i="117"/>
  <c r="H69" i="117"/>
  <c r="K79" i="117"/>
  <c r="G66" i="161"/>
  <c r="CD64" i="1"/>
  <c r="CD67" i="1"/>
  <c r="G69" i="161"/>
  <c r="G71" i="161"/>
  <c r="CD69" i="1"/>
  <c r="G62" i="161"/>
  <c r="CD60" i="1"/>
  <c r="CD75" i="1"/>
  <c r="G77" i="161"/>
  <c r="G80" i="161"/>
  <c r="CD78" i="1"/>
  <c r="CD61" i="1"/>
  <c r="G63" i="161"/>
  <c r="H77" i="117"/>
  <c r="E77" i="161"/>
  <c r="H70" i="117"/>
  <c r="E70" i="161"/>
  <c r="G65" i="161"/>
  <c r="CD63" i="1"/>
  <c r="G79" i="161"/>
  <c r="CD77" i="1"/>
  <c r="H65" i="117"/>
  <c r="E65" i="161"/>
  <c r="H63" i="117"/>
  <c r="E63" i="161"/>
  <c r="G64" i="161"/>
  <c r="CD62" i="1"/>
  <c r="H64" i="117"/>
  <c r="E64" i="161"/>
  <c r="H62" i="117"/>
  <c r="E62" i="161"/>
  <c r="G70" i="161"/>
  <c r="CD68" i="1"/>
  <c r="CD71" i="1"/>
  <c r="G73" i="161"/>
  <c r="H66" i="117"/>
  <c r="E66" i="161"/>
  <c r="H71" i="117"/>
  <c r="E71" i="161"/>
  <c r="F72" i="161"/>
  <c r="J72" i="161"/>
  <c r="K71" i="117"/>
  <c r="K70" i="117"/>
  <c r="K66" i="117"/>
  <c r="K77" i="117"/>
  <c r="F17" i="117"/>
  <c r="F18" i="117" s="1"/>
  <c r="K62" i="117"/>
  <c r="G75" i="117"/>
  <c r="G78" i="117" s="1"/>
  <c r="G82" i="117" s="1"/>
  <c r="I74" i="117"/>
  <c r="K73" i="117"/>
  <c r="H73" i="117"/>
  <c r="K64" i="117"/>
  <c r="F75" i="117"/>
  <c r="F78" i="117" s="1"/>
  <c r="F82" i="117" s="1"/>
  <c r="I67" i="117"/>
  <c r="I17" i="117"/>
  <c r="K65" i="117"/>
  <c r="K63" i="117"/>
  <c r="CC15" i="1"/>
  <c r="BL73" i="1"/>
  <c r="E77" i="113"/>
  <c r="E80" i="1"/>
  <c r="H10" i="99" s="1"/>
  <c r="H15" i="99" s="1"/>
  <c r="H38" i="99" s="1"/>
  <c r="H74" i="99" s="1"/>
  <c r="H67" i="117" l="1"/>
  <c r="CD65" i="1"/>
  <c r="F71" i="161"/>
  <c r="J71" i="161"/>
  <c r="G17" i="161"/>
  <c r="CD15" i="1"/>
  <c r="CD16" i="1" s="1"/>
  <c r="CD18" i="1" s="1"/>
  <c r="E67" i="161"/>
  <c r="F65" i="161"/>
  <c r="J65" i="161"/>
  <c r="F77" i="161"/>
  <c r="J77" i="161"/>
  <c r="J62" i="161"/>
  <c r="F62" i="161"/>
  <c r="G67" i="161"/>
  <c r="F73" i="161"/>
  <c r="J73" i="161"/>
  <c r="J79" i="161"/>
  <c r="F79" i="161"/>
  <c r="G74" i="161"/>
  <c r="F69" i="161"/>
  <c r="J69" i="161"/>
  <c r="J66" i="161"/>
  <c r="F66" i="161"/>
  <c r="J70" i="161"/>
  <c r="F70" i="161"/>
  <c r="H17" i="117"/>
  <c r="H18" i="117" s="1"/>
  <c r="H20" i="117" s="1"/>
  <c r="E17" i="161"/>
  <c r="CD72" i="1"/>
  <c r="J64" i="161"/>
  <c r="F64" i="161"/>
  <c r="E74" i="161"/>
  <c r="J63" i="161"/>
  <c r="F63" i="161"/>
  <c r="J80" i="161"/>
  <c r="F80" i="161"/>
  <c r="K74" i="117"/>
  <c r="H74" i="117"/>
  <c r="I75" i="117"/>
  <c r="I78" i="117" s="1"/>
  <c r="K78" i="117" s="1"/>
  <c r="K82" i="117" s="1"/>
  <c r="F20" i="117"/>
  <c r="K67" i="117"/>
  <c r="K17" i="117"/>
  <c r="I18" i="117"/>
  <c r="I20" i="117" s="1"/>
  <c r="BL76" i="1"/>
  <c r="E81" i="113"/>
  <c r="E10" i="3"/>
  <c r="E35" i="3" l="1"/>
  <c r="E70" i="3" s="1"/>
  <c r="E89" i="3" s="1"/>
  <c r="CD73" i="1"/>
  <c r="CD76" i="1" s="1"/>
  <c r="CD80" i="1" s="1"/>
  <c r="F74" i="161"/>
  <c r="J67" i="161"/>
  <c r="F17" i="161"/>
  <c r="F18" i="161" s="1"/>
  <c r="F20" i="161" s="1"/>
  <c r="E18" i="161"/>
  <c r="E20" i="161" s="1"/>
  <c r="E75" i="161"/>
  <c r="E78" i="161" s="1"/>
  <c r="E82" i="161" s="1"/>
  <c r="G75" i="161"/>
  <c r="G78" i="161" s="1"/>
  <c r="G82" i="161" s="1"/>
  <c r="F67" i="161"/>
  <c r="J74" i="161"/>
  <c r="J17" i="161"/>
  <c r="G18" i="161"/>
  <c r="G20" i="161" s="1"/>
  <c r="K75" i="117"/>
  <c r="I82" i="117"/>
  <c r="H75" i="117"/>
  <c r="H78" i="117" s="1"/>
  <c r="BL80" i="1"/>
  <c r="CC76" i="1"/>
  <c r="K10" i="99"/>
  <c r="K15" i="99" s="1"/>
  <c r="K38" i="99" s="1"/>
  <c r="K74" i="99" s="1"/>
  <c r="E11" i="48"/>
  <c r="E69" i="48" s="1"/>
  <c r="F75" i="161" l="1"/>
  <c r="F78" i="161" s="1"/>
  <c r="F82" i="161" s="1"/>
  <c r="J75" i="161"/>
  <c r="J78" i="161" s="1"/>
  <c r="J82" i="161" s="1"/>
  <c r="H82" i="117"/>
  <c r="CC80" i="1"/>
  <c r="E13" i="51"/>
  <c r="I11" i="48"/>
  <c r="I73" i="48" s="1"/>
  <c r="E73" i="48"/>
  <c r="G73" i="48" s="1"/>
  <c r="N10" i="99"/>
  <c r="N15" i="99" s="1"/>
  <c r="N38" i="99" s="1"/>
  <c r="N74" i="99" s="1"/>
  <c r="H97" i="99"/>
  <c r="G11" i="48"/>
  <c r="G69" i="48" s="1"/>
  <c r="F13" i="51" l="1"/>
  <c r="F17" i="51" s="1"/>
  <c r="K69" i="48"/>
  <c r="E77" i="48"/>
  <c r="E80" i="48" l="1"/>
  <c r="E17" i="51"/>
  <c r="G77" i="48"/>
  <c r="I80" i="48" l="1"/>
  <c r="W51" i="1"/>
  <c r="G80" i="48"/>
  <c r="K80" i="48" l="1"/>
  <c r="W52" i="113"/>
  <c r="AD51" i="1"/>
  <c r="W56" i="1"/>
  <c r="W57" i="113" l="1"/>
  <c r="BL51" i="1"/>
  <c r="CC51" i="1" s="1"/>
  <c r="G53" i="117"/>
  <c r="G30" i="99"/>
  <c r="D28" i="3"/>
  <c r="F28" i="3" s="1"/>
  <c r="W87" i="1"/>
  <c r="J30" i="99" l="1"/>
  <c r="M30" i="99" s="1"/>
  <c r="P30" i="99" s="1"/>
  <c r="O30" i="99"/>
  <c r="I53" i="117"/>
  <c r="E53" i="161" s="1"/>
  <c r="F53" i="117"/>
  <c r="W88" i="1"/>
  <c r="W82" i="1" s="1"/>
  <c r="H53" i="117" l="1"/>
  <c r="BL16" i="1" l="1"/>
  <c r="CC16" i="1" l="1"/>
  <c r="BL18" i="1"/>
  <c r="CC18" i="1" l="1"/>
  <c r="E30" i="1" l="1"/>
  <c r="E32" i="117" l="1"/>
  <c r="E31" i="1"/>
  <c r="AD30" i="1"/>
  <c r="E31" i="113"/>
  <c r="G32" i="117" l="1"/>
  <c r="F32" i="117" s="1"/>
  <c r="AD31" i="1"/>
  <c r="E33" i="117"/>
  <c r="E34" i="1"/>
  <c r="E46" i="1" s="1"/>
  <c r="E32" i="113"/>
  <c r="BL30" i="1"/>
  <c r="G33" i="117" l="1"/>
  <c r="G36" i="117" s="1"/>
  <c r="G48" i="117" s="1"/>
  <c r="G50" i="117" s="1"/>
  <c r="AD34" i="1"/>
  <c r="BL34" i="1" s="1"/>
  <c r="BL31" i="1"/>
  <c r="E36" i="117"/>
  <c r="E48" i="117" s="1"/>
  <c r="E50" i="117" s="1"/>
  <c r="I32" i="117"/>
  <c r="CC30" i="1"/>
  <c r="G32" i="161" s="1"/>
  <c r="E35" i="113"/>
  <c r="E47" i="113"/>
  <c r="E48" i="1"/>
  <c r="E56" i="1" s="1"/>
  <c r="G10" i="99" l="1"/>
  <c r="G15" i="99" s="1"/>
  <c r="G38" i="99" s="1"/>
  <c r="I7" i="164"/>
  <c r="G58" i="117"/>
  <c r="G83" i="117" s="1"/>
  <c r="E58" i="117"/>
  <c r="E83" i="117" s="1"/>
  <c r="F33" i="117"/>
  <c r="F36" i="117" s="1"/>
  <c r="J32" i="161"/>
  <c r="H32" i="117"/>
  <c r="E32" i="161"/>
  <c r="F32" i="161" s="1"/>
  <c r="CD30" i="1"/>
  <c r="AD46" i="1"/>
  <c r="BL46" i="1" s="1"/>
  <c r="CC31" i="1"/>
  <c r="I33" i="117"/>
  <c r="K32" i="117"/>
  <c r="CC34" i="1"/>
  <c r="E49" i="113"/>
  <c r="P7" i="164" l="1"/>
  <c r="I80" i="164"/>
  <c r="I83" i="164" s="1"/>
  <c r="M7" i="164"/>
  <c r="E81" i="1"/>
  <c r="E87" i="1"/>
  <c r="E88" i="1" s="1"/>
  <c r="E82" i="1" s="1"/>
  <c r="H33" i="117"/>
  <c r="H36" i="117" s="1"/>
  <c r="H48" i="117" s="1"/>
  <c r="H50" i="117" s="1"/>
  <c r="E33" i="161"/>
  <c r="E36" i="161" s="1"/>
  <c r="E48" i="161" s="1"/>
  <c r="E50" i="161" s="1"/>
  <c r="G33" i="161"/>
  <c r="CD31" i="1"/>
  <c r="CD34" i="1" s="1"/>
  <c r="AD48" i="1"/>
  <c r="AD56" i="1" s="1"/>
  <c r="I36" i="117"/>
  <c r="I48" i="117" s="1"/>
  <c r="I50" i="117" s="1"/>
  <c r="K33" i="117"/>
  <c r="F48" i="117"/>
  <c r="D10" i="3"/>
  <c r="E57" i="113"/>
  <c r="M80" i="164" l="1"/>
  <c r="K111" i="164" s="1"/>
  <c r="M111" i="164" s="1"/>
  <c r="T7" i="164"/>
  <c r="T80" i="164" s="1"/>
  <c r="P80" i="164"/>
  <c r="D35" i="3"/>
  <c r="F10" i="3"/>
  <c r="F35" i="3" s="1"/>
  <c r="BL56" i="1"/>
  <c r="CC56" i="1" s="1"/>
  <c r="F33" i="161"/>
  <c r="F36" i="161" s="1"/>
  <c r="J33" i="161"/>
  <c r="G36" i="161"/>
  <c r="BL48" i="1"/>
  <c r="F50" i="117"/>
  <c r="F58" i="117" s="1"/>
  <c r="G10" i="3"/>
  <c r="AD87" i="1"/>
  <c r="O10" i="99"/>
  <c r="J10" i="99"/>
  <c r="J15" i="99" s="1"/>
  <c r="J38" i="99" s="1"/>
  <c r="F10" i="162" l="1"/>
  <c r="P83" i="164"/>
  <c r="T83" i="164" s="1"/>
  <c r="T32" i="167" s="1" a="1"/>
  <c r="T32" i="167" s="1"/>
  <c r="M83" i="164"/>
  <c r="M106" i="164" s="1"/>
  <c r="K112" i="164" s="1"/>
  <c r="M112" i="164" s="1"/>
  <c r="I106" i="164"/>
  <c r="AD88" i="1"/>
  <c r="G35" i="3"/>
  <c r="O15" i="99"/>
  <c r="M10" i="99"/>
  <c r="M15" i="99" s="1"/>
  <c r="M38" i="99" s="1"/>
  <c r="T75" i="167" l="1" a="1"/>
  <c r="T75" i="167" s="1"/>
  <c r="T19" i="167" a="1"/>
  <c r="T19" i="167" s="1"/>
  <c r="T51" i="167" a="1"/>
  <c r="T51" i="167" s="1"/>
  <c r="T58" i="167" a="1"/>
  <c r="T58" i="167" s="1"/>
  <c r="W58" i="167" s="1"/>
  <c r="P47" i="167" a="1"/>
  <c r="P47" i="167" s="1"/>
  <c r="T47" i="167" a="1"/>
  <c r="T47" i="167" s="1"/>
  <c r="W47" i="167" s="1"/>
  <c r="P87" i="167" a="1"/>
  <c r="P87" i="167" s="1"/>
  <c r="T43" i="167" a="1"/>
  <c r="T43" i="167" s="1"/>
  <c r="W43" i="167" s="1"/>
  <c r="P11" i="167" a="1"/>
  <c r="P11" i="167" s="1"/>
  <c r="T56" i="167" a="1"/>
  <c r="T56" i="167" s="1"/>
  <c r="AA56" i="167" s="1"/>
  <c r="P77" i="167" a="1"/>
  <c r="P77" i="167" s="1"/>
  <c r="T53" i="167" a="1"/>
  <c r="T53" i="167" s="1"/>
  <c r="AA53" i="167" s="1"/>
  <c r="P21" i="167" a="1"/>
  <c r="P21" i="167" s="1"/>
  <c r="T20" i="167" a="1"/>
  <c r="T20" i="167" s="1"/>
  <c r="AA20" i="167" s="1"/>
  <c r="P17" i="167" a="1"/>
  <c r="P17" i="167" s="1"/>
  <c r="AA32" i="167"/>
  <c r="W32" i="167"/>
  <c r="P85" i="167" a="1"/>
  <c r="P85" i="167" s="1"/>
  <c r="T62" i="167" a="1"/>
  <c r="T62" i="167" s="1"/>
  <c r="T11" i="167" a="1"/>
  <c r="T11" i="167" s="1"/>
  <c r="T24" i="167" a="1"/>
  <c r="T24" i="167" s="1"/>
  <c r="T39" i="167" a="1"/>
  <c r="T39" i="167" s="1"/>
  <c r="T52" i="167" a="1"/>
  <c r="T52" i="167" s="1"/>
  <c r="T74" i="167" a="1"/>
  <c r="T74" i="167" s="1"/>
  <c r="T30" i="167" a="1"/>
  <c r="T30" i="167" s="1"/>
  <c r="T87" i="167" a="1"/>
  <c r="T87" i="167" s="1"/>
  <c r="T61" i="167" a="1"/>
  <c r="T61" i="167" s="1"/>
  <c r="P82" i="167" a="1"/>
  <c r="P82" i="167" s="1"/>
  <c r="P84" i="167" a="1"/>
  <c r="P84" i="167" s="1"/>
  <c r="P52" i="167" a="1"/>
  <c r="P52" i="167" s="1"/>
  <c r="P10" i="167" a="1"/>
  <c r="P10" i="167" s="1"/>
  <c r="P44" i="167" a="1"/>
  <c r="P44" i="167" s="1"/>
  <c r="P38" i="167" a="1"/>
  <c r="P38" i="167" s="1"/>
  <c r="P62" i="167" a="1"/>
  <c r="P62" i="167" s="1"/>
  <c r="P73" i="167" a="1"/>
  <c r="P73" i="167" s="1"/>
  <c r="W51" i="167"/>
  <c r="AA51" i="167"/>
  <c r="T80" i="167" a="1"/>
  <c r="T80" i="167" s="1"/>
  <c r="T82" i="167" a="1"/>
  <c r="T82" i="167" s="1"/>
  <c r="T31" i="167" a="1"/>
  <c r="T31" i="167" s="1"/>
  <c r="T12" i="167" a="1"/>
  <c r="T12" i="167" s="1"/>
  <c r="T55" i="167" a="1"/>
  <c r="T55" i="167" s="1"/>
  <c r="T28" i="167" a="1"/>
  <c r="T28" i="167" s="1"/>
  <c r="T81" i="167" a="1"/>
  <c r="T81" i="167" s="1"/>
  <c r="T85" i="167" a="1"/>
  <c r="T85" i="167" s="1"/>
  <c r="P45" i="167" a="1"/>
  <c r="P45" i="167" s="1"/>
  <c r="P49" i="167" a="1"/>
  <c r="P49" i="167" s="1"/>
  <c r="P53" i="167" a="1"/>
  <c r="P53" i="167" s="1"/>
  <c r="P32" i="167" a="1"/>
  <c r="P32" i="167" s="1"/>
  <c r="P25" i="167" a="1"/>
  <c r="P25" i="167" s="1"/>
  <c r="P81" i="167" a="1"/>
  <c r="P81" i="167" s="1"/>
  <c r="P28" i="167" a="1"/>
  <c r="P28" i="167" s="1"/>
  <c r="P31" i="167" a="1"/>
  <c r="P31" i="167" s="1"/>
  <c r="AA19" i="167"/>
  <c r="W19" i="167"/>
  <c r="P24" i="167" a="1"/>
  <c r="P24" i="167" s="1"/>
  <c r="T18" i="167" a="1"/>
  <c r="T18" i="167" s="1"/>
  <c r="T76" i="167" a="1"/>
  <c r="T76" i="167" s="1"/>
  <c r="T86" i="167" a="1"/>
  <c r="T86" i="167" s="1"/>
  <c r="T83" i="167" a="1"/>
  <c r="T83" i="167" s="1"/>
  <c r="T25" i="167" a="1"/>
  <c r="T25" i="167" s="1"/>
  <c r="T78" i="167" a="1"/>
  <c r="T78" i="167" s="1"/>
  <c r="T48" i="167" a="1"/>
  <c r="T48" i="167" s="1"/>
  <c r="T29" i="167" a="1"/>
  <c r="T29" i="167" s="1"/>
  <c r="P86" i="167" a="1"/>
  <c r="P86" i="167" s="1"/>
  <c r="P26" i="167" a="1"/>
  <c r="P26" i="167" s="1"/>
  <c r="P42" i="167" a="1"/>
  <c r="P42" i="167" s="1"/>
  <c r="P54" i="167" a="1"/>
  <c r="P54" i="167" s="1"/>
  <c r="P78" i="167" a="1"/>
  <c r="P78" i="167" s="1"/>
  <c r="P63" i="167" a="1"/>
  <c r="P63" i="167" s="1"/>
  <c r="P43" i="167" a="1"/>
  <c r="P43" i="167" s="1"/>
  <c r="P56" i="167" a="1"/>
  <c r="P56" i="167" s="1"/>
  <c r="W20" i="167"/>
  <c r="T84" i="167" a="1"/>
  <c r="T84" i="167" s="1"/>
  <c r="T13" i="167" a="1"/>
  <c r="T13" i="167" s="1"/>
  <c r="T14" i="167" a="1"/>
  <c r="T14" i="167" s="1"/>
  <c r="T72" i="167" a="1"/>
  <c r="T72" i="167" s="1"/>
  <c r="T63" i="167" a="1"/>
  <c r="T63" i="167" s="1"/>
  <c r="T22" i="167" a="1"/>
  <c r="T22" i="167" s="1"/>
  <c r="T49" i="167" a="1"/>
  <c r="T49" i="167" s="1"/>
  <c r="T44" i="167" a="1"/>
  <c r="T44" i="167" s="1"/>
  <c r="T26" i="167" a="1"/>
  <c r="T26" i="167" s="1"/>
  <c r="T59" i="167" a="1"/>
  <c r="T59" i="167" s="1"/>
  <c r="P41" i="167" a="1"/>
  <c r="P41" i="167" s="1"/>
  <c r="P79" i="167" a="1"/>
  <c r="P79" i="167" s="1"/>
  <c r="P13" i="167" a="1"/>
  <c r="P13" i="167" s="1"/>
  <c r="P57" i="167" a="1"/>
  <c r="P57" i="167" s="1"/>
  <c r="P27" i="167" a="1"/>
  <c r="P27" i="167" s="1"/>
  <c r="P29" i="167" a="1"/>
  <c r="P29" i="167" s="1"/>
  <c r="P14" i="167" a="1"/>
  <c r="P14" i="167" s="1"/>
  <c r="P50" i="167" a="1"/>
  <c r="P50" i="167" s="1"/>
  <c r="P51" i="167" a="1"/>
  <c r="P51" i="167" s="1"/>
  <c r="T10" i="167" a="1"/>
  <c r="T10" i="167" s="1"/>
  <c r="T27" i="167" a="1"/>
  <c r="T27" i="167" s="1"/>
  <c r="T79" i="167" a="1"/>
  <c r="T79" i="167" s="1"/>
  <c r="T17" i="167" a="1"/>
  <c r="T17" i="167" s="1"/>
  <c r="T45" i="167" a="1"/>
  <c r="T45" i="167" s="1"/>
  <c r="T50" i="167" a="1"/>
  <c r="T50" i="167" s="1"/>
  <c r="T16" i="167" a="1"/>
  <c r="T16" i="167" s="1"/>
  <c r="T38" i="167" a="1"/>
  <c r="T38" i="167" s="1"/>
  <c r="P16" i="167" a="1"/>
  <c r="P16" i="167" s="1"/>
  <c r="P40" i="167" a="1"/>
  <c r="P40" i="167" s="1"/>
  <c r="P39" i="167" a="1"/>
  <c r="P39" i="167" s="1"/>
  <c r="P58" i="167" a="1"/>
  <c r="P58" i="167" s="1"/>
  <c r="P30" i="167" a="1"/>
  <c r="P30" i="167" s="1"/>
  <c r="P19" i="167" a="1"/>
  <c r="P19" i="167" s="1"/>
  <c r="P65" i="167" a="1"/>
  <c r="P65" i="167" s="1"/>
  <c r="P22" i="167" a="1"/>
  <c r="P22" i="167" s="1"/>
  <c r="P60" i="167" a="1"/>
  <c r="P60" i="167" s="1"/>
  <c r="T40" i="167" a="1"/>
  <c r="T40" i="167" s="1"/>
  <c r="T42" i="167" a="1"/>
  <c r="T42" i="167" s="1"/>
  <c r="T54" i="167" a="1"/>
  <c r="T54" i="167" s="1"/>
  <c r="T64" i="167" a="1"/>
  <c r="T64" i="167" s="1"/>
  <c r="T41" i="167" a="1"/>
  <c r="T41" i="167" s="1"/>
  <c r="T15" i="167" a="1"/>
  <c r="T15" i="167" s="1"/>
  <c r="T23" i="167" a="1"/>
  <c r="T23" i="167" s="1"/>
  <c r="T77" i="167" a="1"/>
  <c r="T77" i="167" s="1"/>
  <c r="P18" i="167" a="1"/>
  <c r="P18" i="167" s="1"/>
  <c r="P83" i="167" a="1"/>
  <c r="P83" i="167" s="1"/>
  <c r="P12" i="167" a="1"/>
  <c r="P12" i="167" s="1"/>
  <c r="P61" i="167" a="1"/>
  <c r="P61" i="167" s="1"/>
  <c r="P80" i="167" a="1"/>
  <c r="P80" i="167" s="1"/>
  <c r="P23" i="167" a="1"/>
  <c r="P23" i="167" s="1"/>
  <c r="P20" i="167" a="1"/>
  <c r="P20" i="167" s="1"/>
  <c r="P15" i="167" a="1"/>
  <c r="P15" i="167" s="1"/>
  <c r="P55" i="167" a="1"/>
  <c r="P55" i="167" s="1"/>
  <c r="AA75" i="167"/>
  <c r="W75" i="167"/>
  <c r="T46" i="167" a="1"/>
  <c r="T46" i="167" s="1"/>
  <c r="T21" i="167" a="1"/>
  <c r="T21" i="167" s="1"/>
  <c r="T73" i="167" a="1"/>
  <c r="T73" i="167" s="1"/>
  <c r="T60" i="167" a="1"/>
  <c r="T60" i="167" s="1"/>
  <c r="T37" i="167" a="1"/>
  <c r="T37" i="167" s="1"/>
  <c r="T57" i="167" a="1"/>
  <c r="T57" i="167" s="1"/>
  <c r="T65" i="167" a="1"/>
  <c r="T65" i="167" s="1"/>
  <c r="P76" i="167" a="1"/>
  <c r="P76" i="167" s="1"/>
  <c r="P74" i="167" a="1"/>
  <c r="P74" i="167" s="1"/>
  <c r="P48" i="167" a="1"/>
  <c r="P48" i="167" s="1"/>
  <c r="P75" i="167" a="1"/>
  <c r="P75" i="167" s="1"/>
  <c r="P59" i="167" a="1"/>
  <c r="P59" i="167" s="1"/>
  <c r="P37" i="167" a="1"/>
  <c r="P37" i="167" s="1"/>
  <c r="P46" i="167" a="1"/>
  <c r="P46" i="167" s="1"/>
  <c r="P72" i="167" a="1"/>
  <c r="P72" i="167" s="1"/>
  <c r="P64" i="167" a="1"/>
  <c r="P64" i="167" s="1"/>
  <c r="AC83" i="164"/>
  <c r="AC106" i="164" s="1"/>
  <c r="H10" i="162"/>
  <c r="P106" i="164"/>
  <c r="T106" i="164" s="1"/>
  <c r="F30" i="162"/>
  <c r="F32" i="162" s="1"/>
  <c r="AD82" i="1"/>
  <c r="P10" i="99"/>
  <c r="O38" i="99"/>
  <c r="AA43" i="167" l="1"/>
  <c r="AA58" i="167"/>
  <c r="W53" i="167"/>
  <c r="AA47" i="167"/>
  <c r="W56" i="167"/>
  <c r="AA23" i="167"/>
  <c r="W23" i="167"/>
  <c r="AA27" i="167"/>
  <c r="W27" i="167"/>
  <c r="W49" i="167"/>
  <c r="AA49" i="167"/>
  <c r="AA18" i="167"/>
  <c r="W18" i="167"/>
  <c r="W28" i="167"/>
  <c r="AA28" i="167"/>
  <c r="W61" i="167"/>
  <c r="AA61" i="167"/>
  <c r="AA62" i="167"/>
  <c r="W62" i="167"/>
  <c r="AA73" i="167"/>
  <c r="W73" i="167"/>
  <c r="W15" i="167"/>
  <c r="AA15" i="167"/>
  <c r="W10" i="167"/>
  <c r="AA10" i="167"/>
  <c r="T34" i="167"/>
  <c r="W22" i="167"/>
  <c r="AA22" i="167"/>
  <c r="W29" i="167"/>
  <c r="AA29" i="167"/>
  <c r="W55" i="167"/>
  <c r="AA55" i="167"/>
  <c r="AA87" i="167"/>
  <c r="W87" i="167"/>
  <c r="W60" i="167"/>
  <c r="AA60" i="167"/>
  <c r="AA21" i="167"/>
  <c r="W21" i="167"/>
  <c r="W41" i="167"/>
  <c r="AA41" i="167"/>
  <c r="AA38" i="167"/>
  <c r="W38" i="167"/>
  <c r="AA63" i="167"/>
  <c r="W63" i="167"/>
  <c r="AA48" i="167"/>
  <c r="W48" i="167"/>
  <c r="AA12" i="167"/>
  <c r="W12" i="167"/>
  <c r="AA30" i="167"/>
  <c r="W30" i="167"/>
  <c r="AA16" i="167"/>
  <c r="W16" i="167"/>
  <c r="AA72" i="167"/>
  <c r="W72" i="167"/>
  <c r="W78" i="167"/>
  <c r="AA78" i="167"/>
  <c r="W31" i="167"/>
  <c r="AA31" i="167"/>
  <c r="W74" i="167"/>
  <c r="AA74" i="167"/>
  <c r="AA54" i="167"/>
  <c r="W54" i="167"/>
  <c r="AA50" i="167"/>
  <c r="W50" i="167"/>
  <c r="AA14" i="167"/>
  <c r="W14" i="167"/>
  <c r="W25" i="167"/>
  <c r="AA25" i="167"/>
  <c r="AA82" i="167"/>
  <c r="W82" i="167"/>
  <c r="P34" i="167"/>
  <c r="AA52" i="167"/>
  <c r="W52" i="167"/>
  <c r="AA46" i="167"/>
  <c r="W46" i="167"/>
  <c r="AA42" i="167"/>
  <c r="W42" i="167"/>
  <c r="AA45" i="167"/>
  <c r="W45" i="167"/>
  <c r="AA59" i="167"/>
  <c r="W59" i="167"/>
  <c r="AA13" i="167"/>
  <c r="W13" i="167"/>
  <c r="W83" i="167"/>
  <c r="AA83" i="167"/>
  <c r="AA80" i="167"/>
  <c r="W80" i="167"/>
  <c r="AA39" i="167"/>
  <c r="W39" i="167"/>
  <c r="AA64" i="167"/>
  <c r="W64" i="167"/>
  <c r="AA40" i="167"/>
  <c r="W40" i="167"/>
  <c r="W17" i="167"/>
  <c r="AA17" i="167"/>
  <c r="W26" i="167"/>
  <c r="AA26" i="167"/>
  <c r="AA84" i="167"/>
  <c r="W84" i="167"/>
  <c r="W86" i="167"/>
  <c r="AA86" i="167"/>
  <c r="W85" i="167"/>
  <c r="AA85" i="167"/>
  <c r="W24" i="167"/>
  <c r="AA24" i="167"/>
  <c r="AA65" i="167"/>
  <c r="W65" i="167"/>
  <c r="W57" i="167"/>
  <c r="AA57" i="167"/>
  <c r="P67" i="167"/>
  <c r="AA37" i="167"/>
  <c r="W37" i="167"/>
  <c r="T67" i="167"/>
  <c r="AA77" i="167"/>
  <c r="W77" i="167"/>
  <c r="AA79" i="167"/>
  <c r="W79" i="167"/>
  <c r="W44" i="167"/>
  <c r="AA44" i="167"/>
  <c r="W76" i="167"/>
  <c r="AA76" i="167"/>
  <c r="W81" i="167"/>
  <c r="AA81" i="167"/>
  <c r="W11" i="167"/>
  <c r="AA11" i="167"/>
  <c r="F36" i="162"/>
  <c r="F42" i="162"/>
  <c r="H30" i="162"/>
  <c r="H32" i="162" s="1"/>
  <c r="BL54" i="1"/>
  <c r="P69" i="167" l="1"/>
  <c r="T69" i="167"/>
  <c r="AA67" i="167"/>
  <c r="W67" i="167"/>
  <c r="P90" i="167"/>
  <c r="T90" i="167" s="1"/>
  <c r="AA34" i="167"/>
  <c r="AA69" i="167" s="1"/>
  <c r="AA90" i="167" s="1"/>
  <c r="W34" i="167"/>
  <c r="W69" i="167" s="1"/>
  <c r="H36" i="162"/>
  <c r="H42" i="162"/>
  <c r="I56" i="117"/>
  <c r="I58" i="117" s="1"/>
  <c r="G66" i="99"/>
  <c r="G74" i="99" s="1"/>
  <c r="O74" i="99" s="1"/>
  <c r="CC54" i="1"/>
  <c r="G56" i="161" s="1"/>
  <c r="J56" i="161" s="1"/>
  <c r="D63" i="3"/>
  <c r="F63" i="3" s="1"/>
  <c r="W90" i="167" l="1"/>
  <c r="H56" i="117"/>
  <c r="H58" i="117" s="1"/>
  <c r="E56" i="161"/>
  <c r="E58" i="161" s="1"/>
  <c r="CD54" i="1"/>
  <c r="K56" i="117"/>
  <c r="I83" i="117"/>
  <c r="O66" i="99"/>
  <c r="J66" i="99"/>
  <c r="J74" i="99" s="1"/>
  <c r="G97" i="99"/>
  <c r="F56" i="161" l="1"/>
  <c r="E83" i="161"/>
  <c r="M66" i="99"/>
  <c r="M74" i="99" s="1"/>
  <c r="N98" i="99" s="1"/>
  <c r="N100" i="99" s="1"/>
  <c r="N102" i="99" s="1"/>
  <c r="N75" i="99" l="1"/>
  <c r="P66" i="99"/>
  <c r="P74" i="99" s="1"/>
  <c r="N77" i="99" l="1"/>
  <c r="N79" i="99" s="1"/>
  <c r="G45" i="161"/>
  <c r="J45" i="161" l="1"/>
  <c r="F45" i="161"/>
  <c r="CD43" i="1"/>
  <c r="CD45" i="1" s="1"/>
  <c r="CD46" i="1" s="1"/>
  <c r="CD48" i="1" s="1"/>
  <c r="CC45" i="1"/>
  <c r="F46" i="161" l="1"/>
  <c r="F47" i="161" s="1"/>
  <c r="F48" i="161" s="1"/>
  <c r="F50" i="161" s="1"/>
  <c r="G47" i="161"/>
  <c r="G48" i="161" s="1"/>
  <c r="G50" i="161" s="1"/>
  <c r="CC46" i="1"/>
  <c r="CC48" i="1" l="1"/>
  <c r="G53" i="161" l="1"/>
  <c r="G58" i="161" l="1"/>
  <c r="G83" i="161" s="1"/>
  <c r="F53" i="161"/>
  <c r="J54" i="161"/>
  <c r="F54" i="161"/>
  <c r="CD51" i="1"/>
  <c r="CD56" i="1" s="1"/>
  <c r="F58" i="161" l="1"/>
  <c r="CD87" i="1"/>
  <c r="CD88" i="1" s="1"/>
  <c r="CD82" i="1" s="1"/>
  <c r="A60" i="3" l="1"/>
  <c r="A59" i="48" s="1"/>
  <c r="AG10" i="113"/>
  <c r="A41" i="3"/>
  <c r="A39" i="48"/>
  <c r="A40" i="48" l="1"/>
  <c r="A44" i="99"/>
  <c r="A61" i="3"/>
  <c r="A60" i="48" s="1"/>
  <c r="AH10" i="113"/>
  <c r="A45" i="99" l="1"/>
  <c r="A42" i="3"/>
  <c r="A41" i="48" l="1"/>
  <c r="A43" i="3"/>
  <c r="A46" i="99"/>
  <c r="A42" i="48" l="1"/>
  <c r="A45" i="3"/>
  <c r="A48" i="99"/>
  <c r="A44" i="48" l="1"/>
  <c r="A47" i="3"/>
  <c r="A50" i="99"/>
  <c r="A46" i="48" l="1"/>
  <c r="A48" i="3"/>
  <c r="A51" i="99"/>
  <c r="A47" i="48" l="1"/>
  <c r="A49" i="3"/>
  <c r="A48" i="48" l="1"/>
  <c r="A50" i="3"/>
  <c r="A53" i="99"/>
  <c r="A49" i="48" l="1"/>
  <c r="A51" i="3"/>
  <c r="A54" i="99"/>
  <c r="A50" i="48" l="1"/>
  <c r="A55" i="99"/>
  <c r="A52" i="3"/>
  <c r="A51" i="48" l="1"/>
  <c r="A55" i="3"/>
  <c r="A54" i="48" s="1"/>
  <c r="A57" i="3" l="1"/>
  <c r="A60" i="99"/>
  <c r="A56" i="48" l="1"/>
  <c r="A44" i="3"/>
  <c r="A43" i="48" l="1"/>
  <c r="A62" i="99"/>
  <c r="A56" i="3"/>
  <c r="A59" i="3"/>
  <c r="A58" i="48" s="1"/>
  <c r="A55" i="48" l="1"/>
  <c r="E19" i="51"/>
  <c r="E21" i="51" s="1"/>
  <c r="E25" i="51" s="1"/>
  <c r="BL87" i="1"/>
  <c r="BL88" i="1" s="1"/>
  <c r="D56" i="3"/>
  <c r="E33" i="51" l="1"/>
  <c r="E29" i="51"/>
  <c r="BL82" i="1"/>
  <c r="G31" i="51"/>
  <c r="D70" i="3"/>
  <c r="D89" i="3" s="1"/>
  <c r="G89" i="3" s="1"/>
  <c r="F56" i="3"/>
  <c r="F19" i="51"/>
  <c r="F21" i="51" s="1"/>
  <c r="CC87" i="1"/>
  <c r="CC88" i="1" s="1"/>
  <c r="CC82" i="1" s="1"/>
  <c r="J9" i="52"/>
  <c r="N80" i="99"/>
  <c r="P80" i="99" s="1"/>
  <c r="G27" i="51"/>
  <c r="G70" i="3" l="1"/>
  <c r="F70" i="3"/>
  <c r="F89" i="3" s="1"/>
  <c r="F90" i="3" s="1"/>
  <c r="H15" i="161"/>
  <c r="H18" i="161" s="1"/>
  <c r="H20" i="161" s="1"/>
  <c r="J12" i="52"/>
  <c r="J16" i="52"/>
  <c r="J15" i="117"/>
  <c r="J14" i="52"/>
  <c r="F25" i="51"/>
  <c r="G21" i="51"/>
  <c r="G25" i="51" l="1"/>
  <c r="H35" i="161"/>
  <c r="H36" i="161" s="1"/>
  <c r="J35" i="117"/>
  <c r="J18" i="117"/>
  <c r="J20" i="117" s="1"/>
  <c r="K15" i="117"/>
  <c r="K18" i="117" s="1"/>
  <c r="K20" i="117" s="1"/>
  <c r="J38" i="117"/>
  <c r="K38" i="117" s="1"/>
  <c r="J18" i="52"/>
  <c r="J20" i="52" s="1"/>
  <c r="H38" i="161"/>
  <c r="H43" i="161"/>
  <c r="H47" i="161" s="1"/>
  <c r="J43" i="117"/>
  <c r="G33" i="51" l="1"/>
  <c r="G37" i="51" s="1"/>
  <c r="N103" i="99"/>
  <c r="P103" i="99" s="1"/>
  <c r="G29" i="51"/>
  <c r="K9" i="52"/>
  <c r="K12" i="52" s="1"/>
  <c r="H48" i="161"/>
  <c r="H50" i="161" s="1"/>
  <c r="J36" i="117"/>
  <c r="K35" i="117"/>
  <c r="K36" i="117" s="1"/>
  <c r="J47" i="117"/>
  <c r="K43" i="117"/>
  <c r="K47" i="117" s="1"/>
  <c r="J22" i="52"/>
  <c r="J24" i="52" s="1"/>
  <c r="J26" i="52" s="1"/>
  <c r="J27" i="52" s="1"/>
  <c r="K14" i="52" l="1"/>
  <c r="I43" i="161" s="1"/>
  <c r="J43" i="161" s="1"/>
  <c r="I15" i="161"/>
  <c r="I18" i="161" s="1"/>
  <c r="I20" i="161" s="1"/>
  <c r="K16" i="52"/>
  <c r="I35" i="161" s="1"/>
  <c r="I36" i="161" s="1"/>
  <c r="I38" i="161"/>
  <c r="J38" i="161" s="1"/>
  <c r="K48" i="117"/>
  <c r="K50" i="117" s="1"/>
  <c r="H53" i="161"/>
  <c r="H58" i="161" s="1"/>
  <c r="J53" i="117"/>
  <c r="K53" i="117" s="1"/>
  <c r="J48" i="117"/>
  <c r="J50" i="117" s="1"/>
  <c r="J15" i="161" l="1"/>
  <c r="J18" i="161" s="1"/>
  <c r="J20" i="161" s="1"/>
  <c r="I47" i="161"/>
  <c r="I48" i="161" s="1"/>
  <c r="I50" i="161" s="1"/>
  <c r="J35" i="161"/>
  <c r="J36" i="161" s="1"/>
  <c r="K18" i="52"/>
  <c r="K20" i="52" s="1"/>
  <c r="K22" i="52" s="1"/>
  <c r="I53" i="161" s="1"/>
  <c r="J53" i="161" s="1"/>
  <c r="J47" i="161"/>
  <c r="J58" i="117"/>
  <c r="K58" i="117"/>
  <c r="K83" i="117" s="1"/>
  <c r="J48" i="161" l="1"/>
  <c r="J50" i="161" s="1"/>
  <c r="J58" i="161" s="1"/>
  <c r="J83" i="161" s="1"/>
  <c r="I58" i="161"/>
  <c r="K24" i="52"/>
  <c r="K26" i="52" s="1"/>
  <c r="K27" i="52" s="1"/>
  <c r="M17" i="162" l="1"/>
  <c r="K17" i="162"/>
  <c r="K18" i="162" l="1"/>
  <c r="K16" i="162"/>
  <c r="K11" i="162"/>
  <c r="M11" i="162"/>
  <c r="M12" i="162"/>
  <c r="K12" i="162"/>
  <c r="K15" i="162"/>
  <c r="M13" i="162"/>
  <c r="K13" i="162"/>
  <c r="K10" i="162" l="1"/>
  <c r="M10" i="162" l="1"/>
  <c r="M30" i="162" s="1"/>
  <c r="M32" i="162" s="1"/>
  <c r="M36" i="162" l="1"/>
  <c r="K19" i="162" l="1"/>
  <c r="K30" i="162" s="1"/>
  <c r="K32" i="162" s="1"/>
  <c r="K36" i="162" l="1"/>
  <c r="K42" i="162"/>
  <c r="M42" i="16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 Miller</author>
  </authors>
  <commentList>
    <comment ref="E31" authorId="0" shapeId="0" xr:uid="{00000000-0006-0000-0100-000001000000}">
      <text>
        <r>
          <rPr>
            <b/>
            <sz val="9"/>
            <color indexed="81"/>
            <rFont val="Tahoma"/>
            <family val="2"/>
          </rPr>
          <t>Joe Miller:</t>
        </r>
        <r>
          <rPr>
            <sz val="9"/>
            <color indexed="81"/>
            <rFont val="Tahoma"/>
            <family val="2"/>
          </rPr>
          <t xml:space="preserve">
From Miller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Liz Andrews</author>
    <author>Andrews, Liz</author>
  </authors>
  <commentList>
    <comment ref="O51" authorId="0" shapeId="0" xr:uid="{00000000-0006-0000-0400-000002000000}">
      <text>
        <r>
          <rPr>
            <b/>
            <sz val="8"/>
            <color indexed="81"/>
            <rFont val="Tahoma"/>
            <family val="2"/>
          </rPr>
          <t>Liz Andrews:</t>
        </r>
        <r>
          <rPr>
            <sz val="8"/>
            <color indexed="81"/>
            <rFont val="Tahoma"/>
            <family val="2"/>
          </rPr>
          <t xml:space="preserve">
Per adjustment, no current tax here, no formula in this column.</t>
        </r>
      </text>
    </comment>
    <comment ref="W51" authorId="0" shapeId="0" xr:uid="{00000000-0006-0000-0400-000003000000}">
      <text>
        <r>
          <rPr>
            <b/>
            <sz val="8"/>
            <color indexed="81"/>
            <rFont val="Tahoma"/>
            <family val="2"/>
          </rPr>
          <t>Liz Andrews:</t>
        </r>
        <r>
          <rPr>
            <sz val="8"/>
            <color indexed="81"/>
            <rFont val="Tahoma"/>
            <family val="2"/>
          </rPr>
          <t xml:space="preserve">
per Debt calc.</t>
        </r>
      </text>
    </comment>
    <comment ref="Y51" authorId="0" shapeId="0" xr:uid="{00000000-0006-0000-0400-000004000000}">
      <text>
        <r>
          <rPr>
            <b/>
            <sz val="9"/>
            <color indexed="81"/>
            <rFont val="Tahoma"/>
            <family val="2"/>
          </rPr>
          <t>Liz Andrews:</t>
        </r>
        <r>
          <rPr>
            <sz val="9"/>
            <color indexed="81"/>
            <rFont val="Tahoma"/>
            <family val="2"/>
          </rPr>
          <t xml:space="preserve">
adjustment to DFIT - no current tax formula in this column. Check annually to adjustment.
</t>
        </r>
        <r>
          <rPr>
            <b/>
            <sz val="9"/>
            <color indexed="81"/>
            <rFont val="Tahoma"/>
            <family val="2"/>
          </rPr>
          <t>Annette Brandon:</t>
        </r>
        <r>
          <rPr>
            <sz val="9"/>
            <color indexed="81"/>
            <rFont val="Tahoma"/>
            <family val="2"/>
          </rPr>
          <t xml:space="preserve">
Use ERM elimination worksheet - Revenue</t>
        </r>
      </text>
    </comment>
    <comment ref="Y53" authorId="0" shapeId="0" xr:uid="{00000000-0006-0000-0400-000005000000}">
      <text>
        <r>
          <rPr>
            <b/>
            <sz val="9"/>
            <color indexed="81"/>
            <rFont val="Tahoma"/>
            <family val="2"/>
          </rPr>
          <t xml:space="preserve">Annette Brandon:
</t>
        </r>
        <r>
          <rPr>
            <sz val="9"/>
            <color indexed="81"/>
            <rFont val="Tahoma"/>
            <family val="2"/>
          </rPr>
          <t>use ERM worksheet to input</t>
        </r>
      </text>
    </comment>
    <comment ref="BF68" authorId="1" shapeId="0" xr:uid="{2B08D377-F229-4C63-831B-BEFCBC295421}">
      <text>
        <r>
          <rPr>
            <b/>
            <sz val="9"/>
            <color indexed="81"/>
            <rFont val="Tahoma"/>
            <family val="2"/>
          </rPr>
          <t xml:space="preserve">Andrews, Liz:
</t>
        </r>
        <r>
          <rPr>
            <sz val="9"/>
            <color indexed="81"/>
            <rFont val="Tahoma"/>
            <family val="2"/>
          </rPr>
          <t>A/D positive because of retirements - see tabs for Exh. EMA-11 file support</t>
        </r>
      </text>
    </comment>
    <comment ref="BW68" authorId="1" shapeId="0" xr:uid="{CCC4FD1F-5544-492F-9D3B-EA1B621B7C52}">
      <text>
        <r>
          <rPr>
            <b/>
            <sz val="9"/>
            <color indexed="81"/>
            <rFont val="Tahoma"/>
            <family val="2"/>
          </rPr>
          <t xml:space="preserve">Andrews, Liz:
</t>
        </r>
        <r>
          <rPr>
            <sz val="9"/>
            <color indexed="81"/>
            <rFont val="Tahoma"/>
            <family val="2"/>
          </rPr>
          <t>A/D positive because of retirements - see tabs for Exh. EMA-11 file support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Schultz, Kaylene</author>
    <author>Avista Corp Employee</author>
    <author>rzs589</author>
    <author>A satisfied Microsoft Office user</author>
  </authors>
  <commentList>
    <comment ref="F14" authorId="0" shapeId="0" xr:uid="{3948E804-E274-488D-9022-3104EAC02FE8}">
      <text>
        <r>
          <rPr>
            <sz val="9"/>
            <color indexed="81"/>
            <rFont val="Tahoma"/>
            <family val="2"/>
          </rPr>
          <t>+$1.4 for rounding</t>
        </r>
      </text>
    </comment>
    <comment ref="F23" authorId="0" shapeId="0" xr:uid="{8B1CB546-BB67-4C3D-BC3A-D02E333DE2BC}">
      <text>
        <r>
          <rPr>
            <sz val="9"/>
            <color indexed="81"/>
            <rFont val="Tahoma"/>
            <family val="2"/>
          </rPr>
          <t>+$0.7 for rounding</t>
        </r>
      </text>
    </comment>
    <comment ref="F25" authorId="0" shapeId="0" xr:uid="{E86541E3-AD94-4197-B241-3F10B4138C18}">
      <text>
        <r>
          <rPr>
            <sz val="9"/>
            <color indexed="81"/>
            <rFont val="Tahoma"/>
            <family val="2"/>
          </rPr>
          <t>+$0.5 for rounding</t>
        </r>
      </text>
    </comment>
    <comment ref="F32" authorId="0" shapeId="0" xr:uid="{A2774E33-4AAD-435B-AFBF-650A014327C1}">
      <text>
        <r>
          <rPr>
            <sz val="9"/>
            <color indexed="81"/>
            <rFont val="Tahoma"/>
            <family val="2"/>
          </rPr>
          <t>-$0.5 for rounding</t>
        </r>
      </text>
    </comment>
    <comment ref="F45" authorId="0" shapeId="0" xr:uid="{9D9AFE88-BC0C-41F8-BDFA-490567860E5D}">
      <text>
        <r>
          <rPr>
            <sz val="9"/>
            <color indexed="81"/>
            <rFont val="Tahoma"/>
            <family val="2"/>
          </rPr>
          <t>+$1 for rounding</t>
        </r>
      </text>
    </comment>
    <comment ref="F63" authorId="0" shapeId="0" xr:uid="{2A885B59-76A0-4CEE-B394-3F3C0359A12D}">
      <text>
        <r>
          <rPr>
            <sz val="9"/>
            <color indexed="81"/>
            <rFont val="Tahoma"/>
            <family val="2"/>
          </rPr>
          <t>+$0.4 for rounding</t>
        </r>
      </text>
    </comment>
    <comment ref="F65" authorId="0" shapeId="0" xr:uid="{14558C59-5EEF-43C8-8C11-602EFB48EB14}">
      <text>
        <r>
          <rPr>
            <sz val="9"/>
            <color indexed="81"/>
            <rFont val="Tahoma"/>
            <family val="2"/>
          </rPr>
          <t>+$.03 for rounding</t>
        </r>
        <r>
          <rPr>
            <sz val="9"/>
            <color indexed="81"/>
            <rFont val="Tahoma"/>
            <family val="2"/>
          </rPr>
          <t xml:space="preserve">
</t>
        </r>
      </text>
    </comment>
    <comment ref="F69" authorId="0" shapeId="0" xr:uid="{E8B590B7-14D7-4890-B196-E7DB137FF8F5}">
      <text>
        <r>
          <rPr>
            <sz val="9"/>
            <color indexed="81"/>
            <rFont val="Tahoma"/>
            <family val="2"/>
          </rPr>
          <t>+$0.5 for rounding</t>
        </r>
      </text>
    </comment>
    <comment ref="F72" authorId="0" shapeId="0" xr:uid="{93F06624-9764-4D0C-94DF-5F963CFED517}">
      <text>
        <r>
          <rPr>
            <sz val="9"/>
            <color indexed="81"/>
            <rFont val="Tahoma"/>
            <family val="2"/>
          </rPr>
          <t>-$0.9 for rounding</t>
        </r>
      </text>
    </comment>
    <comment ref="F78" authorId="0" shapeId="0" xr:uid="{BA5091E8-22E4-4E7F-8E4C-F7964351BBAE}">
      <text>
        <r>
          <rPr>
            <sz val="9"/>
            <color indexed="81"/>
            <rFont val="Tahoma"/>
            <family val="2"/>
          </rPr>
          <t>+$.5 for rounding</t>
        </r>
      </text>
    </comment>
    <comment ref="B86" authorId="1" shapeId="0" xr:uid="{00000000-0006-0000-0700-000001000000}">
      <text>
        <r>
          <rPr>
            <b/>
            <sz val="10"/>
            <color indexed="81"/>
            <rFont val="Tahoma"/>
            <family val="2"/>
          </rPr>
          <t>revenue from Montana Noxon customers is included in Idaho.  Is reversed out for Commission Basis reports</t>
        </r>
      </text>
    </comment>
    <comment ref="B104" authorId="1" shapeId="0" xr:uid="{00000000-0006-0000-0700-00000200000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B440" authorId="2" shapeId="0" xr:uid="{00000000-0006-0000-0700-000003000000}">
      <text>
        <r>
          <rPr>
            <b/>
            <sz val="8"/>
            <color indexed="81"/>
            <rFont val="Tahoma"/>
            <family val="2"/>
          </rPr>
          <t>2/6/04 Account 182.31 is fully offset by 283.17</t>
        </r>
        <r>
          <rPr>
            <sz val="8"/>
            <color indexed="81"/>
            <rFont val="Tahoma"/>
            <family val="2"/>
          </rPr>
          <t xml:space="preserve">
</t>
        </r>
      </text>
    </comment>
    <comment ref="A462" authorId="3" shapeId="0" xr:uid="{00000000-0006-0000-0700-000004000000}">
      <text>
        <r>
          <rPr>
            <sz val="9"/>
            <color indexed="81"/>
            <rFont val="Tahoma"/>
            <family val="2"/>
          </rPr>
          <t>Acct 0108.02  System amount is from input matrix.  WA and ID amounts are hard coded, and do not change.</t>
        </r>
      </text>
    </comment>
    <comment ref="B464" authorId="2" shapeId="0" xr:uid="{0CE038BD-0685-49ED-B10B-F488C02BF393}">
      <text>
        <r>
          <rPr>
            <sz val="8"/>
            <color indexed="81"/>
            <rFont val="Tahoma"/>
            <family val="2"/>
          </rPr>
          <t xml:space="preserve">Write-off recorded 9/04 as the results of the Idaho General Rate Case
</t>
        </r>
      </text>
    </comment>
    <comment ref="B465" authorId="2" shapeId="0" xr:uid="{3CA230AE-DDE7-4AB8-8ECB-40F18023C427}">
      <text>
        <r>
          <rPr>
            <sz val="8"/>
            <color indexed="81"/>
            <rFont val="Tahoma"/>
            <family val="2"/>
          </rPr>
          <t xml:space="preserve">Write-off recorded 9/04 as the results of the Idaho General Rate Case
</t>
        </r>
      </text>
    </comment>
    <comment ref="B466" authorId="2" shapeId="0" xr:uid="{3F5D69EC-5308-4D22-9AE9-E89FC3FE661C}">
      <text>
        <r>
          <rPr>
            <sz val="8"/>
            <color indexed="81"/>
            <rFont val="Tahoma"/>
            <family val="2"/>
          </rPr>
          <t xml:space="preserve">Write-off recorded 9/04 as the results of the Idaho General Rate Case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rzk7kq</author>
  </authors>
  <commentList>
    <comment ref="B84" authorId="0" shapeId="0" xr:uid="{00000000-0006-0000-0800-000001000000}">
      <text>
        <r>
          <rPr>
            <b/>
            <sz val="8"/>
            <color indexed="81"/>
            <rFont val="Tahoma"/>
            <family val="2"/>
          </rPr>
          <t xml:space="preserve">rzk7kq: </t>
        </r>
        <r>
          <rPr>
            <sz val="8"/>
            <color indexed="81"/>
            <rFont val="Tahoma"/>
            <family val="2"/>
          </rPr>
          <t xml:space="preserve">
AFUDC Equity - all 419100 accounts
AFUDC Debt - all 432000 accounts</t>
        </r>
      </text>
    </comment>
    <comment ref="F150" authorId="0" shapeId="0" xr:uid="{00000000-0006-0000-0800-00000200000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<sst xmlns="http://schemas.openxmlformats.org/spreadsheetml/2006/main" count="1709" uniqueCount="971">
  <si>
    <t>(000'S OF DOLLARS)</t>
  </si>
  <si>
    <t xml:space="preserve">Deferred </t>
  </si>
  <si>
    <t>Settlement</t>
  </si>
  <si>
    <t>Eliminate</t>
  </si>
  <si>
    <t>Injuries</t>
  </si>
  <si>
    <t>Restate</t>
  </si>
  <si>
    <t>Office Space</t>
  </si>
  <si>
    <t>Pro Forma</t>
  </si>
  <si>
    <t>Line</t>
  </si>
  <si>
    <t xml:space="preserve">Results </t>
  </si>
  <si>
    <t>FIT</t>
  </si>
  <si>
    <t>Common</t>
  </si>
  <si>
    <t>Power</t>
  </si>
  <si>
    <t>B &amp; O</t>
  </si>
  <si>
    <t>Property</t>
  </si>
  <si>
    <t>Regulatory</t>
  </si>
  <si>
    <t xml:space="preserve">and </t>
  </si>
  <si>
    <t>Debt</t>
  </si>
  <si>
    <t>Charges to</t>
  </si>
  <si>
    <t>Restated</t>
  </si>
  <si>
    <t>No.</t>
  </si>
  <si>
    <t>DESCRIPTION</t>
  </si>
  <si>
    <t>Report</t>
  </si>
  <si>
    <t>Rate Base</t>
  </si>
  <si>
    <t>Adjustment</t>
  </si>
  <si>
    <t>Supply</t>
  </si>
  <si>
    <t>Taxes</t>
  </si>
  <si>
    <t>Tax</t>
  </si>
  <si>
    <t>Expense</t>
  </si>
  <si>
    <t>Damages</t>
  </si>
  <si>
    <t>Interest</t>
  </si>
  <si>
    <t>Revenues</t>
  </si>
  <si>
    <t>TOTAL</t>
  </si>
  <si>
    <t>a</t>
  </si>
  <si>
    <t>b</t>
  </si>
  <si>
    <t>c</t>
  </si>
  <si>
    <t>d</t>
  </si>
  <si>
    <t>e</t>
  </si>
  <si>
    <t>f</t>
  </si>
  <si>
    <t>REVENUES</t>
  </si>
  <si>
    <t>Total General Business</t>
  </si>
  <si>
    <t>Interdepartmental Sales</t>
  </si>
  <si>
    <t>Sales for Resale</t>
  </si>
  <si>
    <t>Total Sales of Electricity</t>
  </si>
  <si>
    <t>Other Revenue</t>
  </si>
  <si>
    <t>Total Electric Revenue</t>
  </si>
  <si>
    <t>EXPENSES</t>
  </si>
  <si>
    <t>Production and Transmission</t>
  </si>
  <si>
    <t>Operating Expenses</t>
  </si>
  <si>
    <t>Purchased Power</t>
  </si>
  <si>
    <t>Total Production &amp; Transmission</t>
  </si>
  <si>
    <t>Distribution</t>
  </si>
  <si>
    <t>Total Distribution</t>
  </si>
  <si>
    <t>Customer Accounting</t>
  </si>
  <si>
    <t>Customer Service &amp; Information</t>
  </si>
  <si>
    <t>Sales Expenses</t>
  </si>
  <si>
    <t>Administrative &amp; General</t>
  </si>
  <si>
    <t>Total Admin. &amp; General</t>
  </si>
  <si>
    <t>Total Electric Expenses</t>
  </si>
  <si>
    <t>OPERATING INCOME BEFORE FIT</t>
  </si>
  <si>
    <t>FEDERAL INCOME TAX</t>
  </si>
  <si>
    <t>Current Accrual</t>
  </si>
  <si>
    <t>Deferred Income Taxes</t>
  </si>
  <si>
    <t>Amortized Investment Tax Credit</t>
  </si>
  <si>
    <t>NET OPERATING INCOME</t>
  </si>
  <si>
    <t>RATE BASE</t>
  </si>
  <si>
    <t>PLANT IN SERVICE</t>
  </si>
  <si>
    <t>Intangible</t>
  </si>
  <si>
    <t>Production</t>
  </si>
  <si>
    <t>Transmission</t>
  </si>
  <si>
    <t>General</t>
  </si>
  <si>
    <t>Total Plant in Service</t>
  </si>
  <si>
    <t>ACCUMULATED DEPRECIATION</t>
  </si>
  <si>
    <t>TOTAL RATE BASE</t>
  </si>
  <si>
    <t>Idaho</t>
  </si>
  <si>
    <t xml:space="preserve"> </t>
  </si>
  <si>
    <t>Restatement Summary</t>
  </si>
  <si>
    <t>Washington Electric</t>
  </si>
  <si>
    <t>Column</t>
  </si>
  <si>
    <t>Description</t>
  </si>
  <si>
    <t xml:space="preserve">NOI   </t>
  </si>
  <si>
    <t>ROR</t>
  </si>
  <si>
    <t xml:space="preserve">     Actual </t>
  </si>
  <si>
    <t xml:space="preserve">     Restated Total</t>
  </si>
  <si>
    <t>ELECTRIC ADJUSTMENT SUMMARY</t>
  </si>
  <si>
    <t>PER RESULTS OF</t>
  </si>
  <si>
    <t>OPERATIONS REPORTS</t>
  </si>
  <si>
    <t>ELECTRIC</t>
  </si>
  <si>
    <t xml:space="preserve"> No.</t>
  </si>
  <si>
    <t>System</t>
  </si>
  <si>
    <t>Washington</t>
  </si>
  <si>
    <t>Check</t>
  </si>
  <si>
    <t>Sales For Resale</t>
  </si>
  <si>
    <t xml:space="preserve">   Total Sales of Electricity</t>
  </si>
  <si>
    <t xml:space="preserve">   Total Electric Revenue</t>
  </si>
  <si>
    <t xml:space="preserve">   Operating Expenses</t>
  </si>
  <si>
    <t xml:space="preserve">   Purchased Power</t>
  </si>
  <si>
    <t xml:space="preserve">   Taxes</t>
  </si>
  <si>
    <t xml:space="preserve">      Total Production &amp; Transmission</t>
  </si>
  <si>
    <t xml:space="preserve">      Total Distribution</t>
  </si>
  <si>
    <t xml:space="preserve">      Total Admin. &amp; General</t>
  </si>
  <si>
    <t>Operating Income before FIT</t>
  </si>
  <si>
    <t>Federal Income Taxes</t>
  </si>
  <si>
    <t xml:space="preserve">   Current Accrual </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</si>
  <si>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</si>
  <si>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</si>
  <si>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</si>
  <si>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</si>
  <si>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</si>
  <si>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</si>
  <si>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</si>
  <si>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</si>
  <si>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INPUTS</t>
  </si>
  <si>
    <t>ACCUMULATED AMORTIZATION</t>
  </si>
  <si>
    <t>AVISTA UTILITIES</t>
  </si>
  <si>
    <t>WA Power</t>
  </si>
  <si>
    <t>Cost Defer</t>
  </si>
  <si>
    <t>Nez Perce</t>
  </si>
  <si>
    <t xml:space="preserve">Line </t>
  </si>
  <si>
    <t>(000's of</t>
  </si>
  <si>
    <t>Capital</t>
  </si>
  <si>
    <t>Weighted</t>
  </si>
  <si>
    <t>Dollars)</t>
  </si>
  <si>
    <t>Component</t>
  </si>
  <si>
    <t>Amount</t>
  </si>
  <si>
    <t>Structure</t>
  </si>
  <si>
    <t>Cost</t>
  </si>
  <si>
    <t>Proposed Rate of Return</t>
  </si>
  <si>
    <t>Net Operating Income Requirement</t>
  </si>
  <si>
    <t>Pro Forma Net Operating Income</t>
  </si>
  <si>
    <t>Net Operating Income Deficiency</t>
  </si>
  <si>
    <t>Total</t>
  </si>
  <si>
    <t>Conversion Factor</t>
  </si>
  <si>
    <t>Percentage Revenue Increase</t>
  </si>
  <si>
    <t>Description of Adjustment</t>
  </si>
  <si>
    <t>(000's)</t>
  </si>
  <si>
    <t>Adjustment Description</t>
  </si>
  <si>
    <t>Adjustments</t>
  </si>
  <si>
    <t>Restated Debt Interest</t>
  </si>
  <si>
    <t>Capitalized Interest</t>
  </si>
  <si>
    <t>Increase (Decrease) in Interest Expense</t>
  </si>
  <si>
    <t>FIT Rate</t>
  </si>
  <si>
    <t>Increase (Decrease) in FIT</t>
  </si>
  <si>
    <t>Equity AFUDC</t>
  </si>
  <si>
    <t>Borrowed AFUDC</t>
  </si>
  <si>
    <t xml:space="preserve">   Capitalized Interest</t>
  </si>
  <si>
    <t>Allocated</t>
  </si>
  <si>
    <t>Percentage</t>
  </si>
  <si>
    <t>Electric CWIP</t>
  </si>
  <si>
    <t>Gas CWIP</t>
  </si>
  <si>
    <t>WPNG CWIP</t>
  </si>
  <si>
    <t xml:space="preserve">   Total</t>
  </si>
  <si>
    <t>WA Electric CWIP</t>
  </si>
  <si>
    <t>ID Electric CWIP</t>
  </si>
  <si>
    <t>WA Gas CWIP</t>
  </si>
  <si>
    <t>ID Gas CWIP</t>
  </si>
  <si>
    <t>Washington - Electric</t>
  </si>
  <si>
    <t>Weighted Average Cost of Debt</t>
  </si>
  <si>
    <t>Idaho - Electric</t>
  </si>
  <si>
    <t>WITH PRESENT RATES</t>
  </si>
  <si>
    <t>Actual Per</t>
  </si>
  <si>
    <t>Proposed</t>
  </si>
  <si>
    <t>Revenues &amp;</t>
  </si>
  <si>
    <t>Related Exp</t>
  </si>
  <si>
    <t>Factor</t>
  </si>
  <si>
    <t>Expense:</t>
  </si>
  <si>
    <t xml:space="preserve">  Uncollectibles</t>
  </si>
  <si>
    <t xml:space="preserve">  Commission Fees</t>
  </si>
  <si>
    <t xml:space="preserve">  Washington Excise Tax</t>
  </si>
  <si>
    <t xml:space="preserve">    Total Expense</t>
  </si>
  <si>
    <t>Net Operating Income Before FIT</t>
  </si>
  <si>
    <t>REVENUE CONVERSION FACTOR</t>
  </si>
  <si>
    <t>Pro Forma Rate Base</t>
  </si>
  <si>
    <t>Rev and</t>
  </si>
  <si>
    <t>Normalization</t>
  </si>
  <si>
    <t>Restated Rate Base</t>
  </si>
  <si>
    <t xml:space="preserve">AVISTA UTILITIES  </t>
  </si>
  <si>
    <t xml:space="preserve">(000'S OF DOLLARS)  </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</si>
  <si>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</si>
  <si>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</si>
  <si>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</si>
  <si>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</si>
  <si>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</si>
  <si>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</si>
  <si>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</si>
  <si>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</si>
  <si>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</si>
  <si>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</si>
  <si>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</si>
  <si>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Taxes  </t>
  </si>
  <si>
    <t xml:space="preserve">Total Production &amp; Transmission  </t>
  </si>
  <si>
    <t xml:space="preserve">Distribution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</si>
  <si>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</si>
  <si>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</si>
  <si>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</si>
  <si>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</si>
  <si>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</si>
  <si>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</si>
  <si>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</si>
  <si>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</si>
  <si>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</si>
  <si>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Deferred Income Taxes  </t>
  </si>
  <si>
    <t xml:space="preserve">NET OPERATING INCOME  </t>
  </si>
  <si>
    <t xml:space="preserve">RATE BASE  </t>
  </si>
  <si>
    <t xml:space="preserve">PLANT IN SERVICE  </t>
  </si>
  <si>
    <t xml:space="preserve">Intangible  </t>
  </si>
  <si>
    <t xml:space="preserve">Production  </t>
  </si>
  <si>
    <t xml:space="preserve">Transmission  </t>
  </si>
  <si>
    <t xml:space="preserve">General  </t>
  </si>
  <si>
    <t xml:space="preserve">Total Plant in Service  </t>
  </si>
  <si>
    <t xml:space="preserve">ACCUMULATED DEPRECIATION  </t>
  </si>
  <si>
    <t xml:space="preserve">DEFERRED TAXES  </t>
  </si>
  <si>
    <t xml:space="preserve">TOTAL RATE BASE  </t>
  </si>
  <si>
    <t>Labor</t>
  </si>
  <si>
    <t>Exec</t>
  </si>
  <si>
    <t>Net</t>
  </si>
  <si>
    <t>Excise</t>
  </si>
  <si>
    <t>updated for 2006</t>
  </si>
  <si>
    <t>NOI Requirement</t>
  </si>
  <si>
    <t>WA wtd debt</t>
  </si>
  <si>
    <t>ID excludes STD</t>
  </si>
  <si>
    <t xml:space="preserve">Pro Forma </t>
  </si>
  <si>
    <t>Not Necessary - this calcuation should not be removed from above to determine adj. - LMA</t>
  </si>
  <si>
    <t>Below</t>
  </si>
  <si>
    <t xml:space="preserve"> Interest Per Results (E-FIT-12A)</t>
  </si>
  <si>
    <t>updated for 2007 LMA</t>
  </si>
  <si>
    <t xml:space="preserve">Employee </t>
  </si>
  <si>
    <t>Benefits</t>
  </si>
  <si>
    <t>WASHINGTON ELECTRIC</t>
  </si>
  <si>
    <t>IMPACT ON</t>
  </si>
  <si>
    <t>DIFFERENCE</t>
  </si>
  <si>
    <t>REVENUE REQUIREMENT</t>
  </si>
  <si>
    <t>NOI</t>
  </si>
  <si>
    <t>Restatement Summary Washington Electric</t>
  </si>
  <si>
    <t>Total Revenue Requirement Difference</t>
  </si>
  <si>
    <t xml:space="preserve">Adjusted Revenue Requirement </t>
  </si>
  <si>
    <t>Comparison of Revenue Requirement Revised Adjustments</t>
  </si>
  <si>
    <t>Done</t>
  </si>
  <si>
    <t>Not Done</t>
  </si>
  <si>
    <t>Amortized ITC - Noxon</t>
  </si>
  <si>
    <t xml:space="preserve">WORKING CAPITAL </t>
  </si>
  <si>
    <t>Working</t>
  </si>
  <si>
    <t>Losses</t>
  </si>
  <si>
    <t xml:space="preserve">Debits and </t>
  </si>
  <si>
    <t>Credits</t>
  </si>
  <si>
    <t xml:space="preserve">Results of </t>
  </si>
  <si>
    <t xml:space="preserve">Operations </t>
  </si>
  <si>
    <t>Debt Interest</t>
  </si>
  <si>
    <t>ROO</t>
  </si>
  <si>
    <t>Total Accumulated Depreciation</t>
  </si>
  <si>
    <t xml:space="preserve">NET PLANT </t>
  </si>
  <si>
    <t xml:space="preserve">DEFERRED DEBITS AND CREDITS </t>
  </si>
  <si>
    <t>DEFERRED DEBITS AND CREDITS</t>
  </si>
  <si>
    <t xml:space="preserve">      Total Accumulated Depreciation</t>
  </si>
  <si>
    <t>REVENUE</t>
  </si>
  <si>
    <t>SALES OF ELECTRICITY:</t>
  </si>
  <si>
    <t>Residential</t>
  </si>
  <si>
    <t>Commercial - Firm &amp; Int.</t>
  </si>
  <si>
    <t>Industrial</t>
  </si>
  <si>
    <t>Public Street &amp; Highway Lighting</t>
  </si>
  <si>
    <t>499XXX</t>
  </si>
  <si>
    <t>Unbilled Revenue</t>
  </si>
  <si>
    <t>Interdepartmental Revenue</t>
  </si>
  <si>
    <t>TOTAL SALES TO ULTIMATE CUSTOMERS</t>
  </si>
  <si>
    <t>447XXX</t>
  </si>
  <si>
    <t>TOTAL SALES OF ELECTRICITY</t>
  </si>
  <si>
    <t>OTHER OPERATING REVENUE:</t>
  </si>
  <si>
    <t>Miscellaneous Service Revenue</t>
  </si>
  <si>
    <t>Sales of Water &amp; Water Power</t>
  </si>
  <si>
    <t>Rent from Electric Property</t>
  </si>
  <si>
    <t>456XXX</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</si>
  <si>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</si>
  <si>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</si>
  <si>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</si>
  <si>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</si>
  <si>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</si>
  <si>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</si>
  <si>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</si>
  <si>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</si>
  <si>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</si>
  <si>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</si>
  <si>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Miscellaneous Steam Power Generation Expense</t>
  </si>
  <si>
    <t>Rent</t>
  </si>
  <si>
    <t xml:space="preserve">  MAINTENANCE</t>
  </si>
  <si>
    <t>Structures</t>
  </si>
  <si>
    <t>Boiler Plant</t>
  </si>
  <si>
    <t>Electric Plant</t>
  </si>
  <si>
    <t>Miscellaneous Steam Plant</t>
  </si>
  <si>
    <t>TOTAL STEAM POWER GENERATION EXP</t>
  </si>
  <si>
    <t>HYDRAULIC POWER GENERATION EXP:</t>
  </si>
  <si>
    <t>Water for Power</t>
  </si>
  <si>
    <t>Hydraulic Expense</t>
  </si>
  <si>
    <t>Miscellaneous Hydraulic Power Generation Exp</t>
  </si>
  <si>
    <t>MT Trust Funds Land Settlement Rents</t>
  </si>
  <si>
    <t>Reservoirs, Dams, &amp; Waterways</t>
  </si>
  <si>
    <t>Miscellaneous Hydraulic Plant</t>
  </si>
  <si>
    <t>TOTAL HYDRO POWER GENERATION EXP</t>
  </si>
  <si>
    <t>OTHER POWER GENERATION EXPENSE:</t>
  </si>
  <si>
    <t>Generation Expense</t>
  </si>
  <si>
    <t>Miscellaneous Other Power Generation Expense</t>
  </si>
  <si>
    <t>Generating &amp; Electric Equipment</t>
  </si>
  <si>
    <t>Miscellaneous Other Power Generation Plant</t>
  </si>
  <si>
    <t>TOTAL OTHER POWER GENERATION EXP</t>
  </si>
  <si>
    <t>OTHER POWER SUPPLY EXPENSE:</t>
  </si>
  <si>
    <t>555XXX</t>
  </si>
  <si>
    <t>System Control &amp; Load Dispatching</t>
  </si>
  <si>
    <t>557XXX</t>
  </si>
  <si>
    <t>Other Expense</t>
  </si>
  <si>
    <t>TOTAL OTHER POWER SUPPLY EXPENSE</t>
  </si>
  <si>
    <t>TOTAL PRODUCTION OPERATING EXP</t>
  </si>
  <si>
    <t>TRANSMISSION OPERATING EXPENSE:</t>
  </si>
  <si>
    <t>Load Dispatching</t>
  </si>
  <si>
    <t>Station Expense</t>
  </si>
  <si>
    <t>Overhead Line Expense</t>
  </si>
  <si>
    <t>Transmission of Electricity by Others</t>
  </si>
  <si>
    <t>Miscellaneous Transmission Expense</t>
  </si>
  <si>
    <t>Station Equipment</t>
  </si>
  <si>
    <t>Overhead Lines</t>
  </si>
  <si>
    <t>Underground Lines</t>
  </si>
  <si>
    <t>Service Miscellaneous</t>
  </si>
  <si>
    <t>TOTAL TRANSMISSION OPERATING EXP</t>
  </si>
  <si>
    <t>Depreciation Expense-Production</t>
  </si>
  <si>
    <t>Depreciation Expense-Transmission</t>
  </si>
  <si>
    <t>Amortization Expense-Franchises/Misc Intangibles</t>
  </si>
  <si>
    <t>Amort of Acq Adj--Colstrip Common AFUDC</t>
  </si>
  <si>
    <t>Amortization of CDA CDR Fund</t>
  </si>
  <si>
    <t>Amortization of CDA Settlement - Allocated</t>
  </si>
  <si>
    <t>Optional Renewable Power Revenue Offset</t>
  </si>
  <si>
    <t>Amortization of Boulder Park Write Off - Idaho</t>
  </si>
  <si>
    <t>407450/407499</t>
  </si>
  <si>
    <t>Amortization of BPA Residential Exchange Credit</t>
  </si>
  <si>
    <t>Amortization of Deferred CS2 &amp; COLSTRIP O&amp;M</t>
  </si>
  <si>
    <t>Taxes Other Than FIT--Prod &amp; Trans</t>
  </si>
  <si>
    <t>TOTAL P/T DEPR/AMRT/NON-FIT TAXES</t>
  </si>
  <si>
    <t>TOTAL PRODUCTION &amp; TRANSMISSION EXPENSE</t>
  </si>
  <si>
    <t>DISTRIBUTION EXPENSES:</t>
  </si>
  <si>
    <t>OPERATION:</t>
  </si>
  <si>
    <t>Underground Line Expense</t>
  </si>
  <si>
    <t>Street Light &amp; Signal System Operation Expense</t>
  </si>
  <si>
    <t>Meter Expense</t>
  </si>
  <si>
    <t>Customer Installations Expense</t>
  </si>
  <si>
    <t>Miscellaneous Distribution Expense</t>
  </si>
  <si>
    <t>MAINTENANCE:</t>
  </si>
  <si>
    <t>Line Transformers</t>
  </si>
  <si>
    <t>Street Light &amp; Signal System Maintenance Exp</t>
  </si>
  <si>
    <t>Meters</t>
  </si>
  <si>
    <t>TOTAL DISTRIBUTION OPERATING EXP</t>
  </si>
  <si>
    <t>Depreciation Expense-Distribution</t>
  </si>
  <si>
    <t>Taxes Other Than FIT--Distribution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</si>
  <si>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</si>
  <si>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</si>
  <si>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</si>
  <si>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</si>
  <si>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</si>
  <si>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</si>
  <si>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</si>
  <si>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</si>
  <si>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</si>
  <si>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</si>
  <si>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</si>
  <si>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</si>
  <si>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</si>
  <si>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</si>
  <si>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</si>
  <si>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</si>
  <si>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</si>
  <si>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</si>
  <si>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</si>
  <si>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</si>
  <si>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</si>
  <si>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</si>
  <si>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</si>
  <si>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</si>
  <si>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</si>
  <si>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</si>
  <si>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925XXX</t>
  </si>
  <si>
    <t>Injuries and Damages</t>
  </si>
  <si>
    <t>926XXX</t>
  </si>
  <si>
    <t>Employee Pensions and Benefits</t>
  </si>
  <si>
    <t>Franchise Requirements</t>
  </si>
  <si>
    <t>Regulatory Commission Expenses</t>
  </si>
  <si>
    <t>Miscellaneous General Expenses</t>
  </si>
  <si>
    <t>Rents</t>
  </si>
  <si>
    <t>Maintenance of General Plant</t>
  </si>
  <si>
    <t>TOTAL ADMIN &amp; GEN OPERATING EXP</t>
  </si>
  <si>
    <t>Depreciation Expense-General</t>
  </si>
  <si>
    <t>Amortization Expense-General Plant - 303000</t>
  </si>
  <si>
    <t>Amortization Expense-Miscellaneous IT Intangible</t>
  </si>
  <si>
    <t>Amortization Expense-General Plant - 390200, 396200</t>
  </si>
  <si>
    <t>TOTAL A&amp;G DEPR/AMRT/NON-FIT TAXES</t>
  </si>
  <si>
    <t>TOTAL ADMIN &amp; GENERAL EXPENSES</t>
  </si>
  <si>
    <t>TOTAL EXPENSES BEFORE FIT</t>
  </si>
  <si>
    <t>NET OPERATING INCOME BEFORE FIT</t>
  </si>
  <si>
    <t>FEDERAL INCOME TAX--Normal Accrual</t>
  </si>
  <si>
    <t>DEFERRED FEDERAL INCOME TAX</t>
  </si>
  <si>
    <t>AMORTIZED ITC - NOXON</t>
  </si>
  <si>
    <t>ELECTRIC NET OPERATING INCOME</t>
  </si>
  <si>
    <t>INTANGIBLE PLANT:</t>
  </si>
  <si>
    <t>Franchises &amp; Consents</t>
  </si>
  <si>
    <t xml:space="preserve">  TOTAL INTANGIBLE PLANT</t>
  </si>
  <si>
    <t>STEAM PRODUCTION PLANT:</t>
  </si>
  <si>
    <t>310XXX</t>
  </si>
  <si>
    <t>Land &amp; Land Rights</t>
  </si>
  <si>
    <t>311XXX</t>
  </si>
  <si>
    <t>Structures &amp; Improvements</t>
  </si>
  <si>
    <t>Generators</t>
  </si>
  <si>
    <t>Turbogenerator Units</t>
  </si>
  <si>
    <t>Accessory Electric Equipment</t>
  </si>
  <si>
    <t>Miscellaneous Power Plant Equipment</t>
  </si>
  <si>
    <t>TOTAL STEAM PRODUCTION PLANT</t>
  </si>
  <si>
    <t>HYDRAULIC PRODUCTION PLANT:</t>
  </si>
  <si>
    <t>330XXX</t>
  </si>
  <si>
    <t>331XXX</t>
  </si>
  <si>
    <t>332XXX</t>
  </si>
  <si>
    <t>Waterwheels, Turbines, &amp; Generators</t>
  </si>
  <si>
    <t>335XXX</t>
  </si>
  <si>
    <t>Roads, Railroads, &amp; Bridges</t>
  </si>
  <si>
    <t>TOTAL HYDRAULIC PRODUCTION PLANT</t>
  </si>
  <si>
    <t>OTHER PRODUCTION PLANT:</t>
  </si>
  <si>
    <t>Fuel Holders, Producers, &amp; Accessories</t>
  </si>
  <si>
    <t>Prime Movers</t>
  </si>
  <si>
    <t>TOTAL OTHER PRODUCTION PLANT</t>
  </si>
  <si>
    <t>TOTAL PRODUCTION PLANT</t>
  </si>
  <si>
    <t>TRANSMISSION PLANT:</t>
  </si>
  <si>
    <t>350XXX</t>
  </si>
  <si>
    <t>352XXX</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</si>
  <si>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</si>
  <si>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</si>
  <si>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</si>
  <si>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</si>
  <si>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</si>
  <si>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</si>
  <si>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</si>
  <si>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</si>
  <si>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</si>
  <si>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Poles, Towers, &amp; Fixtures</t>
  </si>
  <si>
    <t>369XXX</t>
  </si>
  <si>
    <t>Services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</si>
  <si>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</si>
  <si>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</si>
  <si>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</si>
  <si>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</si>
  <si>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</si>
  <si>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</si>
  <si>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</si>
  <si>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</si>
  <si>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</si>
  <si>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</si>
  <si>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</si>
  <si>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</si>
  <si>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</si>
  <si>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</si>
  <si>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</si>
  <si>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</si>
  <si>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</si>
  <si>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</si>
  <si>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</si>
  <si>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TOTAL PLANT IN SERVICE</t>
  </si>
  <si>
    <t>Steam Production Plant</t>
  </si>
  <si>
    <t>Hydro Production Plant</t>
  </si>
  <si>
    <t>Other Production Plant</t>
  </si>
  <si>
    <t>Transmission Plant</t>
  </si>
  <si>
    <t>Distribution Plant</t>
  </si>
  <si>
    <t>General Plant</t>
  </si>
  <si>
    <t xml:space="preserve">  TOTAL ACCUMULATED DEPRECIATION</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</si>
  <si>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</si>
  <si>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</si>
  <si>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</si>
  <si>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</si>
  <si>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</si>
  <si>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</si>
  <si>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</si>
  <si>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DFIT</t>
  </si>
  <si>
    <t>ACCUMULATED DFIT</t>
  </si>
  <si>
    <t>ADFIT - FAS 109 Electric Plant (182310, 283170)</t>
  </si>
  <si>
    <t>ADFIT - Colstrip PCB  (283200)</t>
  </si>
  <si>
    <t>ADFIT - Electric Plant In Service  (282900)</t>
  </si>
  <si>
    <t>ADFIT - Common Plant (282900 from C-DTX)</t>
  </si>
  <si>
    <t>ADFIT - Lake CDA CDR Fund - Allocated (283324)</t>
  </si>
  <si>
    <t>ADFIT - CDA IPA Fund Deposit (283325)</t>
  </si>
  <si>
    <t>ADFIT - CDA Lake Settlement - Allocated (283382)</t>
  </si>
  <si>
    <t>ADFIT - Electric portion of Bond Redemptions (283850)</t>
  </si>
  <si>
    <t xml:space="preserve">  TOTAL ACCUMULATED DFIT</t>
  </si>
  <si>
    <t>NET ELECTRIC UTILITY PLANT</t>
  </si>
  <si>
    <t>OTHER ADJUSTMENTS</t>
  </si>
  <si>
    <t>Colstrip 3 AFUDC Reallocation</t>
  </si>
  <si>
    <t>Colstrip Common AFUDC  (186100)</t>
  </si>
  <si>
    <t>Colstrip Disallowed AFUDC  (111100)</t>
  </si>
  <si>
    <t>Kettle Falls Disallowed Accumulated Depr  (108030)</t>
  </si>
  <si>
    <t>ADFIT - Kettle Falls Disallowed (190420)</t>
  </si>
  <si>
    <t>Boulder Park Disallowed Plant (101050)</t>
  </si>
  <si>
    <t>Boulder Park Disallowed Accumulated Depr (108050)</t>
  </si>
  <si>
    <t>ADFIT - Boulder Park Disallowed (190040)</t>
  </si>
  <si>
    <t>Investment in WNP3 Exchange Power  (124900, 124930)</t>
  </si>
  <si>
    <t>ADFIT - WNP3 Exchange Power (283120)</t>
  </si>
  <si>
    <t>CDA Lake Settlement - WA (182382)</t>
  </si>
  <si>
    <t>CDA Lake Settlement - ID (186382)</t>
  </si>
  <si>
    <t>Spokane River Relicensing (182322)</t>
  </si>
  <si>
    <t>ADFIT - Spokane River Relicensing (283322)</t>
  </si>
  <si>
    <t>Spokane River PM&amp;Es (182323)</t>
  </si>
  <si>
    <t>ADFIT - Spokane River PM&amp;Es (283323)</t>
  </si>
  <si>
    <t>Montana Riverbed Settlement (186360)</t>
  </si>
  <si>
    <t>ADFIT - Montana Riverbed Settlement (283365)</t>
  </si>
  <si>
    <t>Lancaster Generation (182312)</t>
  </si>
  <si>
    <t>ADFIT - Lancaster Generation (283312)</t>
  </si>
  <si>
    <t>Weatherization Loans - Sandpoint (124350)</t>
  </si>
  <si>
    <t>Customer Advances (252000)</t>
  </si>
  <si>
    <t>Customer Deposits (235199)</t>
  </si>
  <si>
    <t>Working Capital</t>
  </si>
  <si>
    <t>DSM Programs (186710)</t>
  </si>
  <si>
    <t>TOTAL OTHER ADJUSTMENTS</t>
  </si>
  <si>
    <t>NET RATE BASE</t>
  </si>
  <si>
    <t>Regulatory Amortization</t>
  </si>
  <si>
    <t xml:space="preserve">   Depreciation/Amortization</t>
  </si>
  <si>
    <t>Depreciation/Amortization</t>
  </si>
  <si>
    <t xml:space="preserve">Depreciation/Amortization  </t>
  </si>
  <si>
    <t>ACCUMULATED DEPRECIATION/AMORTIZATION</t>
  </si>
  <si>
    <t>DFIT</t>
  </si>
  <si>
    <t>NET PLANT AFTER DFIT</t>
  </si>
  <si>
    <t>NET PLANT BEFORE DFIT</t>
  </si>
  <si>
    <t>ACCUMULATED DEPRECIATION/AMORT</t>
  </si>
  <si>
    <t>Net Plant After DFIT</t>
  </si>
  <si>
    <t xml:space="preserve">    Debt Interest</t>
  </si>
  <si>
    <t>Interest Per Results (E-FIT-12A)</t>
  </si>
  <si>
    <t>Restate Debt Interest</t>
  </si>
  <si>
    <t>Reconciliation</t>
  </si>
  <si>
    <t>FIT Expense</t>
  </si>
  <si>
    <t>Line No. 27</t>
  </si>
  <si>
    <t>WP Ref</t>
  </si>
  <si>
    <t xml:space="preserve">Adjustment Number </t>
  </si>
  <si>
    <t>Workpaper Reference</t>
  </si>
  <si>
    <t>E-ROO</t>
  </si>
  <si>
    <t>E-DFIT</t>
  </si>
  <si>
    <t>E-DDC</t>
  </si>
  <si>
    <t xml:space="preserve">E-WC </t>
  </si>
  <si>
    <t>E-EBO</t>
  </si>
  <si>
    <t>E-UE</t>
  </si>
  <si>
    <t>E-RE</t>
  </si>
  <si>
    <t>E-ID</t>
  </si>
  <si>
    <t xml:space="preserve">E-FIT </t>
  </si>
  <si>
    <t>E-EWPC</t>
  </si>
  <si>
    <t>E-NPS</t>
  </si>
  <si>
    <t>E-RET</t>
  </si>
  <si>
    <t>E-NGL</t>
  </si>
  <si>
    <t>E-MR</t>
  </si>
  <si>
    <t>E-RI</t>
  </si>
  <si>
    <t>E-RDI</t>
  </si>
  <si>
    <t>E-PLN</t>
  </si>
  <si>
    <t>E-PLE</t>
  </si>
  <si>
    <t>E-PEB</t>
  </si>
  <si>
    <t xml:space="preserve">Current Accrual </t>
  </si>
  <si>
    <t>Reviewed</t>
  </si>
  <si>
    <t>error?</t>
  </si>
  <si>
    <t>Other</t>
  </si>
  <si>
    <t>CF WA Elec</t>
  </si>
  <si>
    <t xml:space="preserve">All other </t>
  </si>
  <si>
    <t>(Pro Forma Restate Debt)</t>
  </si>
  <si>
    <t>R-Ttl</t>
  </si>
  <si>
    <t>FIT/DFIT/</t>
  </si>
  <si>
    <t>Totals</t>
  </si>
  <si>
    <t>E-OSC</t>
  </si>
  <si>
    <t>E-PPT</t>
  </si>
  <si>
    <t>E-RPT</t>
  </si>
  <si>
    <t>Amortization of CDA Settlement Costs</t>
  </si>
  <si>
    <t>Amortization of CS2 &amp; COLSTRIP O&amp;M</t>
  </si>
  <si>
    <t>Optional Renew Solar Project Offset</t>
  </si>
  <si>
    <t>CDA Lake CDR Fund - Allocated</t>
  </si>
  <si>
    <t>CDA Lake IPA Fund</t>
  </si>
  <si>
    <t>CDA Settlement Costs</t>
  </si>
  <si>
    <t>CDA Settlement Past Storage</t>
  </si>
  <si>
    <t>Generators - Solar</t>
  </si>
  <si>
    <t>Accessory Electric Equipment - Solar</t>
  </si>
  <si>
    <t>ADFIT - Common Plant (283750 from C-DTX)</t>
  </si>
  <si>
    <t>ADFIT - CDA Settlement Costs (283333)</t>
  </si>
  <si>
    <t>Kettle Falls Disallowed Plant  (101030)</t>
  </si>
  <si>
    <t>(1)</t>
  </si>
  <si>
    <t xml:space="preserve">REVENUE REQUIREMENT </t>
  </si>
  <si>
    <t>PROPOSED COST OF CAPITAL</t>
  </si>
  <si>
    <t>DEFERRED DEBITS AND CREDITS &amp; OTHER</t>
  </si>
  <si>
    <t xml:space="preserve">RATE OF RETURN  </t>
  </si>
  <si>
    <t xml:space="preserve">Weather </t>
  </si>
  <si>
    <t>E-WN</t>
  </si>
  <si>
    <t>Adder</t>
  </si>
  <si>
    <t>Schedules</t>
  </si>
  <si>
    <t xml:space="preserve">Revenue </t>
  </si>
  <si>
    <t>E-PREV</t>
  </si>
  <si>
    <t>E-EAS</t>
  </si>
  <si>
    <t>Provision for Rate Refund</t>
  </si>
  <si>
    <t>Energy Storage Equipment</t>
  </si>
  <si>
    <t>Idaho Earnings Test Amortization</t>
  </si>
  <si>
    <t>351XXX</t>
  </si>
  <si>
    <t>Energy Storage Eq/Computer Software</t>
  </si>
  <si>
    <t>E-PMM</t>
  </si>
  <si>
    <t>Amortization of Schedule 98 REC Rev</t>
  </si>
  <si>
    <t>Misc Intangible Plant-PC Software (C-IPL)</t>
  </si>
  <si>
    <t>RESTATEMENT ADJUSTMENTS</t>
  </si>
  <si>
    <t>E-PRA</t>
  </si>
  <si>
    <t>Restating Adjustments</t>
  </si>
  <si>
    <t>Non-Utility</t>
  </si>
  <si>
    <t>Misc. Restating</t>
  </si>
  <si>
    <t>Normalize</t>
  </si>
  <si>
    <t xml:space="preserve">Revenue Requirement </t>
  </si>
  <si>
    <t>Total General Business Revenues</t>
  </si>
  <si>
    <t>Adjusted</t>
  </si>
  <si>
    <t>Total (1)</t>
  </si>
  <si>
    <t>Major Maint</t>
  </si>
  <si>
    <t xml:space="preserve">Authorized </t>
  </si>
  <si>
    <t>IS/IT</t>
  </si>
  <si>
    <t>E-APS</t>
  </si>
  <si>
    <t>Joel</t>
  </si>
  <si>
    <t>Land Ease Perpetual</t>
  </si>
  <si>
    <t>371XXX</t>
  </si>
  <si>
    <t>Installations on Customers' Premises</t>
  </si>
  <si>
    <t>Electric Charging Stations</t>
  </si>
  <si>
    <t>Regulatory Amorts</t>
  </si>
  <si>
    <t>Def. Debits, Credits &amp;</t>
  </si>
  <si>
    <t>ITC</t>
  </si>
  <si>
    <t>Incentives</t>
  </si>
  <si>
    <t>PF-SubTtl</t>
  </si>
  <si>
    <t>Non-Util / Non-</t>
  </si>
  <si>
    <t>Recurring Expenses</t>
  </si>
  <si>
    <t xml:space="preserve">Restating </t>
  </si>
  <si>
    <t>Requested</t>
  </si>
  <si>
    <t xml:space="preserve">WASHINGTON ELECTRIC RESULTS </t>
  </si>
  <si>
    <t>Sum Impact</t>
  </si>
  <si>
    <t xml:space="preserve">  Federal Income Tax @ 21%</t>
  </si>
  <si>
    <t>CALCULATION OF REQUESTED GENERAL REVENUE REQUIREMENT</t>
  </si>
  <si>
    <t xml:space="preserve">Revenue Conversion Factor </t>
  </si>
  <si>
    <t>Amortization</t>
  </si>
  <si>
    <t>E-PIT</t>
  </si>
  <si>
    <t>Insurance</t>
  </si>
  <si>
    <t>Regulatory Deferrals/Amortization</t>
  </si>
  <si>
    <t xml:space="preserve">   Regulatory Deferrals/Amortization</t>
  </si>
  <si>
    <t>Provision for Rate Refund-Tax Reform</t>
  </si>
  <si>
    <t>Rent from Trnsmission Joint Use</t>
  </si>
  <si>
    <t>514XXX</t>
  </si>
  <si>
    <t>Tax Reform Amortization</t>
  </si>
  <si>
    <t>Regulatory Debit - AFUDC Amortization</t>
  </si>
  <si>
    <t>Existing Meters Excess Deprec. Deferral</t>
  </si>
  <si>
    <t>Misc Intangible Plant-Software 12.5 YR (C-IPL)</t>
  </si>
  <si>
    <t xml:space="preserve">Misc Intangible Plant-AMI Software </t>
  </si>
  <si>
    <t>ADFIT - Plant AFUDC Equity (282919 from C-DTX)</t>
  </si>
  <si>
    <t>Accumulated Amortization - AFUDC (182318)</t>
  </si>
  <si>
    <t>Rate Base - Regulatory Liability-Non-plant Excess</t>
  </si>
  <si>
    <r>
      <t xml:space="preserve">Total </t>
    </r>
    <r>
      <rPr>
        <u/>
        <sz val="12"/>
        <rFont val="Times New Roman"/>
        <family val="1"/>
      </rPr>
      <t>Billed</t>
    </r>
    <r>
      <rPr>
        <sz val="12"/>
        <rFont val="Times New Roman"/>
        <family val="1"/>
      </rPr>
      <t xml:space="preserve"> General Business Revenues</t>
    </r>
  </si>
  <si>
    <t>Proposed Capital Structure</t>
  </si>
  <si>
    <t>Gains &amp;</t>
  </si>
  <si>
    <t>E-PINS</t>
  </si>
  <si>
    <t>Liz</t>
  </si>
  <si>
    <t xml:space="preserve">   Regulatory Amortization</t>
  </si>
  <si>
    <t>Colstrip Plant Adjustment-Depreciation</t>
  </si>
  <si>
    <t>Colstrip Reg. Asset Amortization</t>
  </si>
  <si>
    <t>Colstrip Regulatory Deferral</t>
  </si>
  <si>
    <t>Regulatory Credit - AMI</t>
  </si>
  <si>
    <t>AMI Existing Meters/ERTs Deferred A/D (108121)</t>
  </si>
  <si>
    <t>Colstrip-Plant Adjustment (101027)</t>
  </si>
  <si>
    <t>Colstrip-Plant Adjustment Accum. Amort. (108027)</t>
  </si>
  <si>
    <t>Colstrip-Regulatory Asset (182327)</t>
  </si>
  <si>
    <t>Colstrip-Regulatory Liability (254027)</t>
  </si>
  <si>
    <t>Colstrip-Plant Adjustment ADFIT (190027)</t>
  </si>
  <si>
    <t>Colstrip Reg Asset ADFIT (283376)</t>
  </si>
  <si>
    <t>Colstrip ARO (317000P)</t>
  </si>
  <si>
    <t>Colstrip ARO A/D (317000A)</t>
  </si>
  <si>
    <t>Colstrip ARO Liability (230027)</t>
  </si>
  <si>
    <t>Colstrip ARO ADFIT (190376)</t>
  </si>
  <si>
    <t>Colstrip ARO ADFIT (283377)</t>
  </si>
  <si>
    <t>Regulatory Asset - AFUDC (182332)</t>
  </si>
  <si>
    <t xml:space="preserve">Power </t>
  </si>
  <si>
    <t xml:space="preserve">AMI </t>
  </si>
  <si>
    <t>3.00P</t>
  </si>
  <si>
    <t>3.00T</t>
  </si>
  <si>
    <t>Revenue/Expense</t>
  </si>
  <si>
    <t>E-PPS</t>
  </si>
  <si>
    <t>E-PTRAN</t>
  </si>
  <si>
    <t>Results</t>
  </si>
  <si>
    <t xml:space="preserve">Restate </t>
  </si>
  <si>
    <t>Total (2)</t>
  </si>
  <si>
    <t>NOTES:</t>
  </si>
  <si>
    <t>Per ROO</t>
  </si>
  <si>
    <t>C-UE-1</t>
  </si>
  <si>
    <t>CALCULATION OF CONVERSION FACTOR:  WASHINGTON ELECTRIC</t>
  </si>
  <si>
    <t>Revenue:</t>
  </si>
  <si>
    <t xml:space="preserve">  Uncollectibles  (1)</t>
  </si>
  <si>
    <t xml:space="preserve">  Commission Fees  (2)</t>
  </si>
  <si>
    <t xml:space="preserve">  Washington Excise Tax  (3)</t>
  </si>
  <si>
    <t xml:space="preserve">  Federal Income Tax @</t>
  </si>
  <si>
    <t>Shared Inputs</t>
  </si>
  <si>
    <t>(1)  Calculation of Effective Uncollectibles Rate:</t>
  </si>
  <si>
    <t xml:space="preserve">       Net Write-Offs *</t>
  </si>
  <si>
    <t xml:space="preserve">         Divided by:</t>
  </si>
  <si>
    <t xml:space="preserve">       Sales to Ultimate Customers **</t>
  </si>
  <si>
    <t xml:space="preserve">       EFFECTIVE RATE</t>
  </si>
  <si>
    <t xml:space="preserve">     *  From Uncollectibles Adjustment Workpapers.</t>
  </si>
  <si>
    <t xml:space="preserve">     ** From Results of Operations Report E-OPS-12A</t>
  </si>
  <si>
    <t>(3)  Calculation of Effective Washington Excise Tax Rate:</t>
  </si>
  <si>
    <t xml:space="preserve">     Nominal Rate  *</t>
  </si>
  <si>
    <t xml:space="preserve">       Multiplied by</t>
  </si>
  <si>
    <t xml:space="preserve">       Uncollectibles Factor:</t>
  </si>
  <si>
    <t xml:space="preserve">         Revenue</t>
  </si>
  <si>
    <t xml:space="preserve">         Less:</t>
  </si>
  <si>
    <t xml:space="preserve">         Effective Uncol Rate</t>
  </si>
  <si>
    <t xml:space="preserve">     EFFECTIVE RATE</t>
  </si>
  <si>
    <t xml:space="preserve">     *  From Combined Excise Tax Return.</t>
  </si>
  <si>
    <t>Marcus</t>
  </si>
  <si>
    <t>Tia</t>
  </si>
  <si>
    <t>As Filed</t>
  </si>
  <si>
    <t>Rebuttal</t>
  </si>
  <si>
    <t>EIM Deferred O&amp;M</t>
  </si>
  <si>
    <t>Regulatory Debit - FISERVE Amortization</t>
  </si>
  <si>
    <t>Regulatory Credit - Deferral - COVID-19</t>
  </si>
  <si>
    <t>Regulatory Credit - Wild Fire Resiliency Deprec</t>
  </si>
  <si>
    <t>Regulatory Credit - Wild Fire Resiliency</t>
  </si>
  <si>
    <t>Regulatory Credit - COVID-19 Deferral</t>
  </si>
  <si>
    <t>Regulatory Credit - Wildfire Balancing Account O&amp;M</t>
  </si>
  <si>
    <t>Taxes Other Than FIT--A&amp;G</t>
  </si>
  <si>
    <t>Misc Intangible Plant- (C-IPL)</t>
  </si>
  <si>
    <t>Misc Intangible Plant-Mainframe Software (C-IPL)</t>
  </si>
  <si>
    <t>30310X</t>
  </si>
  <si>
    <t>Misc Intangible Plant-Term On-Premise Software (C-IPL)</t>
  </si>
  <si>
    <t>30313X</t>
  </si>
  <si>
    <t>Misc Intangible Plant-Term SAAS Software (C-IPL)</t>
  </si>
  <si>
    <t>Regulatory Liability-Customer Tax Credit (254393)</t>
  </si>
  <si>
    <t>ADFIT-Customer Tax Credit (190393)</t>
  </si>
  <si>
    <t>LIRAP</t>
  </si>
  <si>
    <t>Misc</t>
  </si>
  <si>
    <t>O&amp;M Exp</t>
  </si>
  <si>
    <t>E-LIRAP</t>
  </si>
  <si>
    <t>RY1</t>
  </si>
  <si>
    <t>RY2</t>
  </si>
  <si>
    <t>FINAL</t>
  </si>
  <si>
    <t>INCREMENTAL</t>
  </si>
  <si>
    <t>F-Ttl</t>
  </si>
  <si>
    <t>g</t>
  </si>
  <si>
    <t>Rate Year 1</t>
  </si>
  <si>
    <t>Rate Year 2</t>
  </si>
  <si>
    <t>Incremental Rate Year 2</t>
  </si>
  <si>
    <t>Revenue requirement</t>
  </si>
  <si>
    <t>E-RMM</t>
  </si>
  <si>
    <t>E-PAMI</t>
  </si>
  <si>
    <t>E-PMisc</t>
  </si>
  <si>
    <t>ACTUAL</t>
  </si>
  <si>
    <t>RESULTS</t>
  </si>
  <si>
    <t>Remove</t>
  </si>
  <si>
    <t>Revenue Requirement</t>
  </si>
  <si>
    <t>Electrification</t>
  </si>
  <si>
    <t>E-TER</t>
  </si>
  <si>
    <t>Return (Kicker)</t>
  </si>
  <si>
    <t>Electrification Return (Kicker)</t>
  </si>
  <si>
    <t>30a</t>
  </si>
  <si>
    <t>Depreciation</t>
  </si>
  <si>
    <t>h</t>
  </si>
  <si>
    <t>RY 1</t>
  </si>
  <si>
    <t>RY 2</t>
  </si>
  <si>
    <t>WA Electric</t>
  </si>
  <si>
    <t>WA Natural Gas</t>
  </si>
  <si>
    <t>Total WA</t>
  </si>
  <si>
    <t>Impact of ROE reduced to x</t>
  </si>
  <si>
    <t>Impact of ROE reduced to x%</t>
  </si>
  <si>
    <t>Filed Revenue Requirement</t>
  </si>
  <si>
    <t>14a</t>
  </si>
  <si>
    <t>Colstrip</t>
  </si>
  <si>
    <t>TWELVE MONTHS ENDED JUNE 30, 2023</t>
  </si>
  <si>
    <t>501XXX</t>
  </si>
  <si>
    <t>506XXX</t>
  </si>
  <si>
    <t>CCA Emission Expense</t>
  </si>
  <si>
    <t>547XXX</t>
  </si>
  <si>
    <t>549XXX</t>
  </si>
  <si>
    <t>554XXX</t>
  </si>
  <si>
    <t>565XXX</t>
  </si>
  <si>
    <t>Deferral of Revenue for EIM Benefits in Power Supply</t>
  </si>
  <si>
    <t>Deferral CEIP</t>
  </si>
  <si>
    <t>Regulatory Debit - AMI Amortization</t>
  </si>
  <si>
    <t>Regulatory Debit - Existing Meters Amortization</t>
  </si>
  <si>
    <t>Regulatory Credit - Amort - WF Resiliency</t>
  </si>
  <si>
    <t>Amortization-Colstrip Community Fund</t>
  </si>
  <si>
    <t>Regulatory Credit - Amortization AFUDC Equity Tax Deferral</t>
  </si>
  <si>
    <t>Regulatory Credit - Reg. Fees Deferral</t>
  </si>
  <si>
    <t>Regulatory Credit - Intervenor Funding</t>
  </si>
  <si>
    <t>Regulatory Credit - Pension Settlement Deferral</t>
  </si>
  <si>
    <t>Regulatory Credit - Insurance Balancing</t>
  </si>
  <si>
    <t>Amortization-Remand Residual Balance</t>
  </si>
  <si>
    <t>353XXX</t>
  </si>
  <si>
    <t>370XXX</t>
  </si>
  <si>
    <t>395XXX</t>
  </si>
  <si>
    <t>Regulatory Asset-Deferred Pre-AMI Meters/ERTs (182331)</t>
  </si>
  <si>
    <t>Regulatory Asset-Deferred AMI Costs (182337)</t>
  </si>
  <si>
    <t>ADFIT-Deferred AMI Costs (283436)</t>
  </si>
  <si>
    <t>Check (Per ROO)</t>
  </si>
  <si>
    <t>E-Col</t>
  </si>
  <si>
    <t>Uncollectible</t>
  </si>
  <si>
    <t>CS2</t>
  </si>
  <si>
    <t>Kaylene</t>
  </si>
  <si>
    <t>Annette/Ryan</t>
  </si>
  <si>
    <t>Kaylene/Liz</t>
  </si>
  <si>
    <t>E-EDIT</t>
  </si>
  <si>
    <t>E-CCA</t>
  </si>
  <si>
    <t>EDIT</t>
  </si>
  <si>
    <t>(RSGM)</t>
  </si>
  <si>
    <t>CCA</t>
  </si>
  <si>
    <t>Non-Exec</t>
  </si>
  <si>
    <t xml:space="preserve">Tia </t>
  </si>
  <si>
    <t>E-Offsets25</t>
  </si>
  <si>
    <t>2024-2025</t>
  </si>
  <si>
    <t>&amp; Revenue Offsets</t>
  </si>
  <si>
    <t>Capital Adds O&amp;M</t>
  </si>
  <si>
    <t>E-AMI26</t>
  </si>
  <si>
    <t>E-PLN26</t>
  </si>
  <si>
    <t>E-PEB26</t>
  </si>
  <si>
    <t>E-PPT26</t>
  </si>
  <si>
    <t>E-PMisc26</t>
  </si>
  <si>
    <t>E-Offsets26</t>
  </si>
  <si>
    <t>E-TER26</t>
  </si>
  <si>
    <t xml:space="preserve">     Pro Forma Study Ending 12.2025</t>
  </si>
  <si>
    <t>Incremental 12.2026</t>
  </si>
  <si>
    <t xml:space="preserve">     Pro Forma Study Ending 12.2026</t>
  </si>
  <si>
    <t>12.2025</t>
  </si>
  <si>
    <t>WITH 12.2025 PROPOSED RATES</t>
  </si>
  <si>
    <t>12.2025 Proposed</t>
  </si>
  <si>
    <t>E-CS2A</t>
  </si>
  <si>
    <t xml:space="preserve">Tia  </t>
  </si>
  <si>
    <t>5.00P</t>
  </si>
  <si>
    <t>E-PPS26</t>
  </si>
  <si>
    <t>Pro Forma Adjustments - 01.2026 - 12.2026</t>
  </si>
  <si>
    <t>Pro Forma Adjustments - 07.2023-12.2025</t>
  </si>
  <si>
    <t>Pro Forma Adjustments - 07.2023 - 12.2025</t>
  </si>
  <si>
    <t xml:space="preserve"> 12.2025 Pro Forma Total</t>
  </si>
  <si>
    <t>PF Transportation</t>
  </si>
  <si>
    <t>December 2024 RY1</t>
  </si>
  <si>
    <t>Pro Forma 12.2024</t>
  </si>
  <si>
    <t>WITH 12.2024 PROPOSED RATES</t>
  </si>
  <si>
    <t>12.2024</t>
  </si>
  <si>
    <t>December 2025 RY2</t>
  </si>
  <si>
    <t>12.2024 Proposed</t>
  </si>
  <si>
    <t>12.2025 Pro Forma</t>
  </si>
  <si>
    <t>Pro Forma Adjustments - 12.2025-12.2026</t>
  </si>
  <si>
    <t>PPA</t>
  </si>
  <si>
    <t>E-PPAI</t>
  </si>
  <si>
    <t>New Regulatory</t>
  </si>
  <si>
    <t>Amortizations</t>
  </si>
  <si>
    <t>E-PWF</t>
  </si>
  <si>
    <t>Wildfire</t>
  </si>
  <si>
    <t>E-DEP</t>
  </si>
  <si>
    <t>Capital Adds</t>
  </si>
  <si>
    <t>to 12.31.2025 AMA</t>
  </si>
  <si>
    <t>Provisional</t>
  </si>
  <si>
    <t>to 12.31.2026 AMA</t>
  </si>
  <si>
    <t>06.2023 EOP</t>
  </si>
  <si>
    <t>E-RCAP</t>
  </si>
  <si>
    <t>E-CAP25A</t>
  </si>
  <si>
    <t>E-CAP26A</t>
  </si>
  <si>
    <t>Capital Additions</t>
  </si>
  <si>
    <t>E-NRA</t>
  </si>
  <si>
    <t>(2) WUTC fees rate per Regulatory Fee Calculation Schedule 1, Annual Report Year 2022 (Docket No. A 220963, Order 01)</t>
  </si>
  <si>
    <t xml:space="preserve">CS2 Major Maint </t>
  </si>
  <si>
    <t>Remove Normalize</t>
  </si>
  <si>
    <t>Marcus/Liz</t>
  </si>
  <si>
    <t>Lindsey/Joe</t>
  </si>
  <si>
    <t>Nucleus/ETRM</t>
  </si>
  <si>
    <t>E-ETRM</t>
  </si>
  <si>
    <t>E-ETRM26</t>
  </si>
  <si>
    <t xml:space="preserve">Power Supply - </t>
  </si>
  <si>
    <t>Remove Colstrip</t>
  </si>
  <si>
    <t>Marcus/Kaylene</t>
  </si>
  <si>
    <t>E-PPAI26</t>
  </si>
  <si>
    <t>Liz/Annette</t>
  </si>
  <si>
    <t xml:space="preserve">Joel </t>
  </si>
  <si>
    <t>to 12.31.2024 EOP</t>
  </si>
  <si>
    <t>E-CAP24E</t>
  </si>
  <si>
    <t>to 12.31.2023 EOP</t>
  </si>
  <si>
    <t>E-CAP23E</t>
  </si>
  <si>
    <t>E-EDIT26</t>
  </si>
  <si>
    <t>Liz/Lindsey/Marcus</t>
  </si>
  <si>
    <t>Kaylene/Marcus</t>
  </si>
  <si>
    <t>E-PI</t>
  </si>
  <si>
    <t>E-PBOD</t>
  </si>
  <si>
    <t>BOD Fees</t>
  </si>
  <si>
    <t>12.2025-I</t>
  </si>
  <si>
    <t>.08% Flotation Costs included in ROE, Impact on Revenue Requirement (000s)</t>
  </si>
  <si>
    <t>Effective 12.21.2025</t>
  </si>
  <si>
    <t>Effective 12.21.2024</t>
  </si>
  <si>
    <t>Expected Effective Date December 21, 2024</t>
  </si>
  <si>
    <t>Expected Effective Date December 21, 2025</t>
  </si>
  <si>
    <t>Rate Year 2 (December 2025 - December 2026)</t>
  </si>
  <si>
    <t>Rate Year 1 (December 2024 - December 2025)</t>
  </si>
  <si>
    <t>Percentage Bill Impact Including Colstrip Offset</t>
  </si>
  <si>
    <t>Colstrip Schedule Tariff 99 Offset*</t>
  </si>
  <si>
    <t>*Estimated bill impact of reducing Colstrip Schedule Tariff 99 is a reduction of 3.6% as discussed by Company witness Mr. Miller</t>
  </si>
  <si>
    <t>A17</t>
  </si>
  <si>
    <t>Total Adjustments</t>
  </si>
  <si>
    <t>Rate Year 1 Electric Revenue Requirement Summary ($000)</t>
  </si>
  <si>
    <t>AWEC Proposed</t>
  </si>
  <si>
    <t>Impact of AWEC Adjustments</t>
  </si>
  <si>
    <t>Rev. Req. Parameters</t>
  </si>
  <si>
    <t xml:space="preserve">Rev. Req. </t>
  </si>
  <si>
    <t>Pre-Tax</t>
  </si>
  <si>
    <t xml:space="preserve">Adj. </t>
  </si>
  <si>
    <t xml:space="preserve">Net Oper. </t>
  </si>
  <si>
    <t xml:space="preserve">Def. / </t>
  </si>
  <si>
    <t>AWEC</t>
  </si>
  <si>
    <t>Revenue Conversion</t>
  </si>
  <si>
    <t xml:space="preserve">No. </t>
  </si>
  <si>
    <t>Income</t>
  </si>
  <si>
    <t>(Suf.)</t>
  </si>
  <si>
    <t>Position</t>
  </si>
  <si>
    <t>Tax Rate</t>
  </si>
  <si>
    <t>Rev. Sens</t>
  </si>
  <si>
    <t>Adjustments:</t>
  </si>
  <si>
    <t>AWEC Cost of Capital</t>
  </si>
  <si>
    <t>Total Debt</t>
  </si>
  <si>
    <t>Preferred</t>
  </si>
  <si>
    <t>Filed Cost of Capital</t>
  </si>
  <si>
    <t>Oppose</t>
  </si>
  <si>
    <t>Rate Year 1 Electric Revenue Requirement Summary ($000) With AWEC Adjustment Detail</t>
  </si>
  <si>
    <t>Restating Adjustments:</t>
  </si>
  <si>
    <t>Rate Year 1 PF Adjustments:</t>
  </si>
  <si>
    <t>Sub-total Restating</t>
  </si>
  <si>
    <t>Total Rate Year 1</t>
  </si>
  <si>
    <t>Total Rate Year 2 Results</t>
  </si>
  <si>
    <t>Rate Year 1 Revenue Increase</t>
  </si>
  <si>
    <t>Avista Filed @ AWEC RoR</t>
  </si>
  <si>
    <t>Year 1</t>
  </si>
  <si>
    <t>Year 2</t>
  </si>
  <si>
    <t>Avista Filed</t>
  </si>
  <si>
    <t>Director's Fees (90%)</t>
  </si>
  <si>
    <t>Remove Colstrip Transmisson Assets</t>
  </si>
  <si>
    <t>Electric</t>
  </si>
  <si>
    <t>Natural Gas</t>
  </si>
  <si>
    <t>Cost of Capital (Kaufman)</t>
  </si>
  <si>
    <t>Benefits Expense</t>
  </si>
  <si>
    <t xml:space="preserve">Electric </t>
  </si>
  <si>
    <t>Non-Labor O&amp;M</t>
  </si>
  <si>
    <t>Meters &amp; IDD5 Flow Through</t>
  </si>
  <si>
    <t>Meters and IDD5 Flow-Through</t>
  </si>
  <si>
    <t>NPSE: COB Margins</t>
  </si>
  <si>
    <t>NPSE: EIM Neutrality Charges</t>
  </si>
  <si>
    <t>COB Margins</t>
  </si>
  <si>
    <t>EIM Neutrality Charges</t>
  </si>
  <si>
    <t>Colstrip Transmission</t>
  </si>
  <si>
    <t xml:space="preserve">Filed </t>
  </si>
  <si>
    <t>Impact</t>
  </si>
  <si>
    <t>At AWEC</t>
  </si>
  <si>
    <t>Less: Customer Tax Credit Amort.</t>
  </si>
  <si>
    <t>Adjusted with Amortization</t>
  </si>
  <si>
    <t>Rent From Electric Property</t>
  </si>
  <si>
    <t>Property Tax Update</t>
  </si>
  <si>
    <t>Sub-total Pro Forma Year 1</t>
  </si>
  <si>
    <t>Directors' Fees</t>
  </si>
  <si>
    <t>Capital Forecast</t>
  </si>
  <si>
    <t>4.01, 5.07</t>
  </si>
  <si>
    <t>3.14, 5.06</t>
  </si>
  <si>
    <t>3.07, 5.03</t>
  </si>
  <si>
    <t>4.03, 5.13</t>
  </si>
  <si>
    <t>Wells and Mizuho Margin Accts</t>
  </si>
  <si>
    <t>1.03</t>
  </si>
  <si>
    <t>3.20</t>
  </si>
  <si>
    <t>3.11, 5.04</t>
  </si>
  <si>
    <t>2.12</t>
  </si>
  <si>
    <t>2.06</t>
  </si>
  <si>
    <t>5.14</t>
  </si>
  <si>
    <t>Colstrip Transmission Assets</t>
  </si>
  <si>
    <t>Colstrip Wheeling Costs</t>
  </si>
  <si>
    <t>NPSE: Forecast to Actuals</t>
  </si>
  <si>
    <t>Non-Recuring Legal Expense</t>
  </si>
  <si>
    <t>Rate Year 2 PF Adjustments:</t>
  </si>
  <si>
    <t>Propose</t>
  </si>
  <si>
    <t>Forecast-to-Actuals</t>
  </si>
  <si>
    <t>Bemefots Expense</t>
  </si>
  <si>
    <t>Colstrip Wheeling</t>
  </si>
  <si>
    <t>Rev. Req.</t>
  </si>
  <si>
    <t>5.00X</t>
  </si>
  <si>
    <t>Provisional Capital Additions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</si>
</sst>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0.000000"/>
    <numFmt numFmtId="167" formatCode="0.000%"/>
    <numFmt numFmtId="168" formatCode="_(* #,##0_);_(* \(#,##0\);_(* &quot;-&quot;??_);_(@_)"/>
    <numFmt numFmtId="169" formatCode="&quot;x &quot;0.00"/>
    <numFmt numFmtId="170" formatCode="&quot;x &quot;0.000"/>
    <numFmt numFmtId="171" formatCode="0000.00"/>
    <numFmt numFmtId="172" formatCode="0000"/>
    <numFmt numFmtId="173" formatCode="_(&quot;$&quot;* #,##0_);_(&quot;$&quot;* \(#,##0\);_(&quot;$&quot;* &quot;-&quot;??_);_(@_)"/>
    <numFmt numFmtId="174" formatCode="0.00000"/>
    <numFmt numFmtId="175" formatCode="0.0000000"/>
    <numFmt numFmtId="176" formatCode="0.0000%"/>
  </numFmts>
  <fonts count="9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Geneva"/>
      <family val="2"/>
    </font>
    <font>
      <sz val="9"/>
      <name val="Times New Roman"/>
      <family val="1"/>
    </font>
    <font>
      <b/>
      <sz val="9"/>
      <name val="Times New Roman"/>
      <family val="1"/>
    </font>
    <font>
      <i/>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sz val="9"/>
      <color indexed="10"/>
      <name val="Times New Roman"/>
      <family val="1"/>
    </font>
    <font>
      <b/>
      <sz val="9"/>
      <color indexed="20"/>
      <name val="Times New Roman"/>
      <family val="1"/>
    </font>
    <font>
      <sz val="9"/>
      <color indexed="20"/>
      <name val="Times New Roman"/>
      <family val="1"/>
    </font>
    <font>
      <i/>
      <sz val="10"/>
      <name val="Times New Roman"/>
      <family val="1"/>
    </font>
    <font>
      <sz val="10"/>
      <color indexed="57"/>
      <name val="Times New Roman"/>
      <family val="1"/>
    </font>
    <font>
      <sz val="10"/>
      <color indexed="12"/>
      <name val="Times New Roman"/>
      <family val="1"/>
    </font>
    <font>
      <sz val="10"/>
      <color indexed="10"/>
      <name val="Times New Roman"/>
      <family val="1"/>
    </font>
    <font>
      <b/>
      <u/>
      <sz val="10"/>
      <name val="Times New Roman"/>
      <family val="1"/>
    </font>
    <font>
      <sz val="14"/>
      <name val="Times New Roman"/>
      <family val="1"/>
    </font>
    <font>
      <sz val="10"/>
      <color indexed="17"/>
      <name val="Times New Roman"/>
      <family val="1"/>
    </font>
    <font>
      <sz val="8"/>
      <color indexed="81"/>
      <name val="Tahoma"/>
      <family val="2"/>
    </font>
    <font>
      <b/>
      <sz val="8"/>
      <color indexed="81"/>
      <name val="Tahoma"/>
      <family val="2"/>
    </font>
    <font>
      <b/>
      <sz val="8"/>
      <color indexed="10"/>
      <name val="Times New Roman"/>
      <family val="1"/>
    </font>
    <font>
      <b/>
      <sz val="10"/>
      <color indexed="10"/>
      <name val="Times New Roman"/>
      <family val="1"/>
    </font>
    <font>
      <u/>
      <sz val="10"/>
      <color indexed="10"/>
      <name val="Times New Roman"/>
      <family val="1"/>
    </font>
    <font>
      <sz val="12"/>
      <name val="Times New Roman"/>
      <family val="1"/>
    </font>
    <font>
      <b/>
      <sz val="10"/>
      <color indexed="81"/>
      <name val="Tahoma"/>
      <family val="2"/>
    </font>
    <font>
      <u/>
      <sz val="7.5"/>
      <color theme="0"/>
      <name val="Arial"/>
      <family val="2"/>
    </font>
    <font>
      <sz val="12"/>
      <color indexed="10"/>
      <name val="Times New Roman"/>
      <family val="1"/>
    </font>
    <font>
      <sz val="11"/>
      <name val="Tms Rmn"/>
    </font>
    <font>
      <sz val="9"/>
      <color indexed="81"/>
      <name val="Tahoma"/>
      <family val="2"/>
    </font>
    <font>
      <i/>
      <sz val="10"/>
      <color rgb="FFFF0000"/>
      <name val="Times New Roman"/>
      <family val="1"/>
    </font>
    <font>
      <i/>
      <sz val="8"/>
      <name val="Times New Roman"/>
      <family val="1"/>
    </font>
    <font>
      <b/>
      <sz val="11"/>
      <name val="Times New Roman"/>
      <family val="1"/>
    </font>
    <font>
      <sz val="8"/>
      <name val="Times New Roman"/>
      <family val="1"/>
    </font>
    <font>
      <sz val="9"/>
      <color rgb="FFC00000"/>
      <name val="Times New Roman"/>
      <family val="1"/>
    </font>
    <font>
      <sz val="10"/>
      <name val="Tahoma"/>
      <family val="2"/>
    </font>
    <font>
      <b/>
      <sz val="9"/>
      <color indexed="81"/>
      <name val="Tahoma"/>
      <family val="2"/>
    </font>
    <font>
      <sz val="12"/>
      <name val="Tms Rmn"/>
    </font>
    <font>
      <b/>
      <sz val="10"/>
      <color rgb="FFFF0000"/>
      <name val="Times New Roman"/>
      <family val="1"/>
    </font>
    <font>
      <b/>
      <sz val="12"/>
      <name val="Times New Roman"/>
      <family val="1"/>
    </font>
    <font>
      <sz val="12"/>
      <color indexed="12"/>
      <name val="Times New Roman"/>
      <family val="1"/>
    </font>
    <font>
      <sz val="10"/>
      <color rgb="FFFF0000"/>
      <name val="Times New Roman"/>
      <family val="1"/>
    </font>
    <font>
      <sz val="11"/>
      <name val="Times New Roman"/>
      <family val="1"/>
    </font>
    <font>
      <u/>
      <sz val="12"/>
      <name val="Times New Roman"/>
      <family val="1"/>
    </font>
    <font>
      <sz val="10"/>
      <color rgb="FF0033CC"/>
      <name val="Times New Roman"/>
      <family val="1"/>
    </font>
    <font>
      <sz val="12"/>
      <name val="Arial"/>
      <family val="2"/>
    </font>
    <font>
      <sz val="10"/>
      <name val="Arial"/>
      <family val="2"/>
    </font>
    <font>
      <sz val="10"/>
      <color theme="1"/>
      <name val="Arial"/>
      <family val="2"/>
    </font>
    <font>
      <sz val="10"/>
      <name val="Tms Rmn"/>
    </font>
    <font>
      <sz val="10"/>
      <name val="Geneva"/>
    </font>
    <font>
      <b/>
      <sz val="7"/>
      <color rgb="FFFF0000"/>
      <name val="Times New Roman"/>
      <family val="1"/>
    </font>
    <font>
      <sz val="11"/>
      <color theme="1"/>
      <name val="Times New Roman"/>
      <family val="2"/>
    </font>
    <font>
      <sz val="10"/>
      <color theme="1"/>
      <name val="Tahoma"/>
      <family val="2"/>
    </font>
    <font>
      <sz val="10"/>
      <name val="Courier"/>
    </font>
    <font>
      <sz val="10"/>
      <name val="Courier"/>
      <family val="3"/>
    </font>
    <font>
      <sz val="8"/>
      <name val="LinePrinter"/>
    </font>
    <font>
      <sz val="9"/>
      <name val="Courier"/>
    </font>
    <font>
      <sz val="9"/>
      <name val="Courier"/>
      <family val="3"/>
    </font>
    <font>
      <sz val="12"/>
      <color theme="1"/>
      <name val="Times New Roman"/>
      <family val="2"/>
    </font>
    <font>
      <b/>
      <u/>
      <sz val="9"/>
      <name val="Times New Roman"/>
      <family val="1"/>
    </font>
    <font>
      <sz val="9"/>
      <color rgb="FF000000"/>
      <name val="Times New Roman"/>
      <family val="1"/>
    </font>
    <font>
      <b/>
      <sz val="9"/>
      <color rgb="FF000000"/>
      <name val="Times New Roman"/>
      <family val="1"/>
    </font>
    <font>
      <b/>
      <sz val="8"/>
      <color rgb="FF000000"/>
      <name val="Times New Roman"/>
      <family val="1"/>
    </font>
    <font>
      <b/>
      <sz val="14"/>
      <color rgb="FF000000"/>
      <name val="Times New Roman"/>
      <family val="1"/>
    </font>
    <font>
      <b/>
      <sz val="11"/>
      <color rgb="FF000000"/>
      <name val="Times New Roman"/>
      <family val="1"/>
    </font>
    <font>
      <b/>
      <sz val="14"/>
      <name val="Times New Roman"/>
      <family val="1"/>
    </font>
    <font>
      <b/>
      <sz val="8"/>
      <name val="Times New Roman"/>
      <family val="1"/>
    </font>
    <font>
      <b/>
      <u val="singleAccounting"/>
      <sz val="9"/>
      <name val="Times New Roman"/>
      <family val="1"/>
    </font>
    <font>
      <u/>
      <sz val="10"/>
      <color theme="0"/>
      <name val="Arial"/>
      <family val="2"/>
    </font>
    <font>
      <b/>
      <u/>
      <sz val="11"/>
      <name val="Times New Roman"/>
      <family val="1"/>
    </font>
    <font>
      <sz val="10"/>
      <color rgb="FF00B0F0"/>
      <name val="Times New Roman"/>
      <family val="1"/>
    </font>
    <font>
      <b/>
      <sz val="10"/>
      <color rgb="FF0000FF"/>
      <name val="Times New Roman"/>
      <family val="1"/>
    </font>
    <font>
      <sz val="10"/>
      <color rgb="FF0000FF"/>
      <name val="Times New Roman"/>
      <family val="1"/>
    </font>
    <font>
      <b/>
      <i/>
      <sz val="12"/>
      <name val="Times New Roman"/>
      <family val="1"/>
    </font>
    <font>
      <i/>
      <sz val="12"/>
      <name val="Times New Roman"/>
      <family val="1"/>
    </font>
    <font>
      <sz val="12"/>
      <color indexed="48"/>
      <name val="Times New Roman"/>
      <family val="1"/>
    </font>
    <font>
      <i/>
      <u/>
      <sz val="10"/>
      <name val="Times New Roman"/>
      <family val="1"/>
    </font>
    <font>
      <b/>
      <i/>
      <sz val="10"/>
      <name val="Times New Roman"/>
      <family val="1"/>
    </font>
    <font>
      <sz val="10"/>
      <color rgb="FFC00000"/>
      <name val="Times New Roman"/>
      <family val="1"/>
    </font>
    <font>
      <i/>
      <sz val="10"/>
      <color rgb="FFC00000"/>
      <name val="Times New Roman"/>
      <family val="1"/>
    </font>
    <font>
      <sz val="10"/>
      <color theme="5"/>
      <name val="Times New Roman"/>
      <family val="1"/>
    </font>
  </fonts>
  <fills count="9">
    <fill>
      <patternFill patternType="none"/>
    </fill>
    <fill>
      <patternFill patternType="gray125"/>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s>
  <borders count="4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double">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double">
        <color indexed="64"/>
      </bottom>
      <diagonal/>
    </border>
    <border>
      <left/>
      <right/>
      <top style="double">
        <color indexed="64"/>
      </top>
      <bottom style="double">
        <color indexed="64"/>
      </bottom>
      <diagonal/>
    </border>
    <border>
      <left/>
      <right style="thin">
        <color auto="1"/>
      </right>
      <top/>
      <bottom/>
      <diagonal/>
    </border>
    <border>
      <left/>
      <right style="thin">
        <color auto="1"/>
      </right>
      <top/>
      <bottom style="thin">
        <color indexed="64"/>
      </bottom>
      <diagonal/>
    </border>
    <border>
      <left/>
      <right style="thin">
        <color auto="1"/>
      </right>
      <top style="thin">
        <color indexed="64"/>
      </top>
      <bottom/>
      <diagonal/>
    </border>
  </borders>
  <cellStyleXfs count="535">
    <xf numFmtId="0" fontId="0" fillId="0" borderId="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9" fontId="11" fillId="0" borderId="0" applyFont="0" applyFill="0" applyBorder="0" applyAlignment="0" applyProtection="0"/>
    <xf numFmtId="9" fontId="11" fillId="0" borderId="0" applyFont="0" applyFill="0" applyBorder="0" applyAlignment="0" applyProtection="0"/>
    <xf numFmtId="0" fontId="35" fillId="0" borderId="0"/>
    <xf numFmtId="0" fontId="38" fillId="3" borderId="0"/>
    <xf numFmtId="43" fontId="46"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0" fontId="12" fillId="0" borderId="0"/>
    <xf numFmtId="0" fontId="59" fillId="0" borderId="0"/>
    <xf numFmtId="9" fontId="46" fillId="0" borderId="0" applyFont="0" applyFill="0" applyBorder="0" applyAlignment="0" applyProtection="0"/>
    <xf numFmtId="0" fontId="60" fillId="0" borderId="0"/>
    <xf numFmtId="4" fontId="60" fillId="0" borderId="0" applyFont="0" applyFill="0" applyBorder="0" applyAlignment="0" applyProtection="0"/>
    <xf numFmtId="9" fontId="60"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9" fontId="57" fillId="0" borderId="0" applyFont="0" applyFill="0" applyBorder="0" applyAlignment="0" applyProtection="0"/>
    <xf numFmtId="0" fontId="58" fillId="0" borderId="0"/>
    <xf numFmtId="0" fontId="11" fillId="0" borderId="0"/>
    <xf numFmtId="43" fontId="46" fillId="0" borderId="0" applyFont="0" applyFill="0" applyBorder="0" applyAlignment="0" applyProtection="0"/>
    <xf numFmtId="43" fontId="5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9" fontId="58" fillId="0" borderId="0" applyFont="0" applyFill="0" applyBorder="0" applyAlignment="0" applyProtection="0"/>
    <xf numFmtId="0" fontId="62" fillId="0" borderId="0"/>
    <xf numFmtId="44" fontId="62" fillId="0" borderId="0" applyFont="0" applyFill="0" applyBorder="0" applyAlignment="0" applyProtection="0"/>
    <xf numFmtId="43" fontId="62" fillId="0" borderId="0" applyFont="0" applyFill="0" applyBorder="0" applyAlignment="0" applyProtection="0"/>
    <xf numFmtId="0" fontId="63" fillId="0" borderId="0"/>
    <xf numFmtId="9" fontId="62" fillId="0" borderId="0" applyFont="0" applyFill="0" applyBorder="0" applyAlignment="0" applyProtection="0"/>
    <xf numFmtId="44" fontId="63" fillId="0" borderId="0" applyFont="0" applyFill="0" applyBorder="0" applyAlignment="0" applyProtection="0"/>
    <xf numFmtId="0" fontId="64" fillId="0" borderId="0"/>
    <xf numFmtId="0" fontId="65" fillId="0" borderId="0"/>
    <xf numFmtId="8" fontId="60" fillId="0" borderId="0" applyFont="0" applyFill="0" applyBorder="0" applyAlignment="0" applyProtection="0"/>
    <xf numFmtId="0" fontId="8" fillId="0" borderId="0"/>
    <xf numFmtId="43" fontId="8" fillId="0" borderId="0" applyFont="0" applyFill="0" applyBorder="0" applyAlignment="0" applyProtection="0"/>
    <xf numFmtId="0" fontId="60" fillId="0" borderId="0"/>
    <xf numFmtId="44" fontId="8" fillId="0" borderId="0" applyFont="0" applyFill="0" applyBorder="0" applyAlignment="0" applyProtection="0"/>
    <xf numFmtId="0" fontId="58" fillId="0" borderId="0"/>
    <xf numFmtId="0" fontId="11" fillId="0" borderId="0"/>
    <xf numFmtId="43" fontId="8" fillId="0" borderId="0" applyFont="0" applyFill="0" applyBorder="0" applyAlignment="0" applyProtection="0"/>
    <xf numFmtId="9" fontId="11" fillId="0" borderId="0" applyFont="0" applyFill="0" applyBorder="0" applyAlignment="0" applyProtection="0"/>
    <xf numFmtId="43" fontId="8"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43" fontId="63" fillId="0" borderId="0" applyFont="0" applyFill="0" applyBorder="0" applyAlignment="0" applyProtection="0"/>
    <xf numFmtId="44" fontId="7" fillId="0" borderId="0" applyFont="0" applyFill="0" applyBorder="0" applyAlignment="0" applyProtection="0"/>
    <xf numFmtId="9" fontId="63" fillId="0" borderId="0" applyFont="0" applyFill="0" applyBorder="0" applyAlignment="0" applyProtection="0"/>
    <xf numFmtId="0" fontId="17" fillId="0" borderId="0"/>
    <xf numFmtId="0" fontId="63" fillId="0" borderId="0"/>
    <xf numFmtId="44" fontId="17" fillId="0" borderId="0" applyFont="0" applyFill="0" applyBorder="0" applyAlignment="0" applyProtection="0"/>
    <xf numFmtId="9" fontId="17" fillId="0" borderId="0" applyFont="0" applyFill="0" applyBorder="0" applyAlignment="0" applyProtection="0"/>
    <xf numFmtId="44" fontId="17" fillId="0" borderId="0" applyFont="0" applyFill="0" applyBorder="0" applyAlignment="0" applyProtection="0"/>
    <xf numFmtId="0" fontId="17" fillId="0" borderId="0"/>
    <xf numFmtId="44" fontId="63" fillId="0" borderId="0" applyFont="0" applyFill="0" applyBorder="0" applyAlignment="0" applyProtection="0"/>
    <xf numFmtId="0" fontId="11" fillId="0" borderId="0"/>
    <xf numFmtId="43" fontId="17" fillId="0" borderId="0" applyFont="0" applyFill="0" applyBorder="0" applyAlignment="0" applyProtection="0"/>
    <xf numFmtId="9" fontId="46" fillId="0" borderId="0" applyFont="0" applyFill="0" applyBorder="0" applyAlignment="0" applyProtection="0"/>
    <xf numFmtId="0" fontId="66" fillId="0" borderId="0"/>
    <xf numFmtId="0" fontId="7" fillId="0" borderId="0"/>
    <xf numFmtId="44" fontId="7" fillId="0" borderId="0" applyFont="0" applyFill="0" applyBorder="0" applyAlignment="0" applyProtection="0"/>
    <xf numFmtId="44" fontId="59" fillId="0" borderId="0" applyFont="0" applyFill="0" applyBorder="0" applyAlignment="0" applyProtection="0"/>
    <xf numFmtId="43" fontId="46" fillId="0" borderId="0" applyFont="0" applyFill="0" applyBorder="0" applyAlignment="0" applyProtection="0"/>
    <xf numFmtId="0" fontId="11" fillId="0" borderId="0"/>
    <xf numFmtId="39" fontId="65" fillId="0" borderId="0"/>
    <xf numFmtId="43" fontId="60" fillId="0" borderId="0" applyFont="0" applyFill="0" applyBorder="0" applyAlignment="0" applyProtection="0"/>
    <xf numFmtId="43" fontId="11"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46" fillId="0" borderId="0" applyFont="0" applyFill="0" applyBorder="0" applyAlignment="0" applyProtection="0"/>
    <xf numFmtId="0" fontId="67" fillId="0" borderId="0"/>
    <xf numFmtId="44" fontId="68" fillId="0" borderId="0" applyFont="0" applyFill="0" applyBorder="0" applyAlignment="0" applyProtection="0"/>
    <xf numFmtId="9" fontId="68" fillId="0" borderId="0" applyFont="0" applyFill="0" applyBorder="0" applyAlignment="0" applyProtection="0"/>
    <xf numFmtId="0" fontId="69" fillId="0" borderId="0"/>
    <xf numFmtId="43" fontId="69" fillId="0" borderId="0" applyFont="0" applyFill="0" applyBorder="0" applyAlignment="0" applyProtection="0"/>
    <xf numFmtId="0" fontId="59" fillId="0" borderId="0"/>
    <xf numFmtId="0" fontId="59" fillId="0" borderId="0"/>
    <xf numFmtId="44" fontId="11" fillId="0" borderId="0" applyFont="0" applyFill="0" applyBorder="0" applyAlignment="0" applyProtection="0"/>
    <xf numFmtId="4" fontId="60" fillId="0" borderId="0" applyFont="0" applyFill="0" applyBorder="0" applyAlignment="0" applyProtection="0"/>
    <xf numFmtId="9" fontId="11" fillId="0" borderId="0" applyFont="0" applyFill="0" applyBorder="0" applyAlignment="0" applyProtection="0"/>
    <xf numFmtId="8" fontId="60"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17" fillId="0" borderId="0" applyFont="0" applyFill="0" applyBorder="0" applyAlignment="0" applyProtection="0"/>
    <xf numFmtId="0" fontId="6" fillId="0" borderId="0"/>
    <xf numFmtId="0" fontId="6" fillId="0" borderId="0"/>
    <xf numFmtId="0" fontId="6"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17"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12" fillId="0" borderId="0"/>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60" fillId="0" borderId="0" applyFont="0" applyFill="0" applyBorder="0" applyAlignment="0" applyProtection="0"/>
    <xf numFmtId="9" fontId="60" fillId="0" borderId="0" applyFont="0" applyFill="0" applyBorder="0" applyAlignment="0" applyProtection="0"/>
    <xf numFmtId="43" fontId="11" fillId="0" borderId="0" applyFont="0" applyFill="0" applyBorder="0" applyAlignment="0" applyProtection="0"/>
    <xf numFmtId="0" fontId="2" fillId="0" borderId="0"/>
    <xf numFmtId="43" fontId="2" fillId="0" borderId="0" applyFont="0" applyFill="0" applyBorder="0" applyAlignment="0" applyProtection="0"/>
    <xf numFmtId="43" fontId="11" fillId="0" borderId="0" applyFont="0" applyFill="0" applyBorder="0" applyAlignment="0" applyProtection="0"/>
    <xf numFmtId="8" fontId="60" fillId="0" borderId="0" applyFont="0" applyFill="0" applyBorder="0" applyAlignment="0" applyProtection="0"/>
    <xf numFmtId="0" fontId="2" fillId="0" borderId="0"/>
    <xf numFmtId="44" fontId="46" fillId="0" borderId="0" applyFont="0" applyFill="0" applyBorder="0" applyAlignment="0" applyProtection="0"/>
    <xf numFmtId="44" fontId="2" fillId="0" borderId="0" applyFont="0" applyFill="0" applyBorder="0" applyAlignment="0" applyProtection="0"/>
    <xf numFmtId="44" fontId="59" fillId="0" borderId="0" applyFont="0" applyFill="0" applyBorder="0" applyAlignment="0" applyProtection="0"/>
    <xf numFmtId="39" fontId="65" fillId="0" borderId="0"/>
    <xf numFmtId="0" fontId="67" fillId="0" borderId="0"/>
    <xf numFmtId="9" fontId="68" fillId="0" borderId="0" applyFont="0" applyFill="0" applyBorder="0" applyAlignment="0" applyProtection="0"/>
    <xf numFmtId="4" fontId="60" fillId="0" borderId="0" applyFont="0" applyFill="0" applyBorder="0" applyAlignment="0" applyProtection="0"/>
    <xf numFmtId="9" fontId="60" fillId="0" borderId="0" applyFont="0" applyFill="0" applyBorder="0" applyAlignment="0" applyProtection="0"/>
    <xf numFmtId="43" fontId="46" fillId="0" borderId="0" applyFont="0" applyFill="0" applyBorder="0" applyAlignment="0" applyProtection="0"/>
    <xf numFmtId="0" fontId="62" fillId="0" borderId="0"/>
    <xf numFmtId="44" fontId="62" fillId="0" borderId="0" applyFont="0" applyFill="0" applyBorder="0" applyAlignment="0" applyProtection="0"/>
    <xf numFmtId="43" fontId="62" fillId="0" borderId="0" applyFont="0" applyFill="0" applyBorder="0" applyAlignment="0" applyProtection="0"/>
    <xf numFmtId="0" fontId="63" fillId="0" borderId="0"/>
    <xf numFmtId="43" fontId="11" fillId="0" borderId="0" applyFont="0" applyFill="0" applyBorder="0" applyAlignment="0" applyProtection="0"/>
    <xf numFmtId="43" fontId="2"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63" fillId="0" borderId="0" applyFont="0" applyFill="0" applyBorder="0" applyAlignment="0" applyProtection="0"/>
    <xf numFmtId="0" fontId="69" fillId="0" borderId="0"/>
    <xf numFmtId="43" fontId="69" fillId="0" borderId="0" applyFont="0" applyFill="0" applyBorder="0" applyAlignment="0" applyProtection="0"/>
    <xf numFmtId="0" fontId="66" fillId="0" borderId="0"/>
    <xf numFmtId="0" fontId="2" fillId="0" borderId="0"/>
    <xf numFmtId="44" fontId="2" fillId="0" borderId="0" applyFont="0" applyFill="0" applyBorder="0" applyAlignment="0" applyProtection="0"/>
    <xf numFmtId="43" fontId="6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59" fillId="0" borderId="0"/>
    <xf numFmtId="0" fontId="60" fillId="0" borderId="0"/>
    <xf numFmtId="4" fontId="60" fillId="0" borderId="0" applyFont="0" applyFill="0" applyBorder="0" applyAlignment="0" applyProtection="0"/>
    <xf numFmtId="9" fontId="6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0" fontId="58" fillId="0" borderId="0"/>
    <xf numFmtId="43" fontId="46" fillId="0" borderId="0" applyFont="0" applyFill="0" applyBorder="0" applyAlignment="0" applyProtection="0"/>
    <xf numFmtId="0" fontId="62" fillId="0" borderId="0"/>
    <xf numFmtId="44" fontId="62" fillId="0" borderId="0" applyFont="0" applyFill="0" applyBorder="0" applyAlignment="0" applyProtection="0"/>
    <xf numFmtId="43" fontId="62" fillId="0" borderId="0" applyFont="0" applyFill="0" applyBorder="0" applyAlignment="0" applyProtection="0"/>
    <xf numFmtId="0" fontId="63" fillId="0" borderId="0"/>
    <xf numFmtId="0" fontId="64" fillId="0" borderId="0"/>
    <xf numFmtId="0" fontId="65" fillId="0" borderId="0"/>
    <xf numFmtId="8" fontId="60" fillId="0" borderId="0" applyFont="0" applyFill="0" applyBorder="0" applyAlignment="0" applyProtection="0"/>
    <xf numFmtId="0" fontId="2" fillId="0" borderId="0"/>
    <xf numFmtId="43" fontId="2" fillId="0" borderId="0" applyFont="0" applyFill="0" applyBorder="0" applyAlignment="0" applyProtection="0"/>
    <xf numFmtId="0" fontId="60"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9" fontId="63"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2" fillId="0" borderId="0"/>
    <xf numFmtId="44" fontId="2" fillId="0" borderId="0" applyFont="0" applyFill="0" applyBorder="0" applyAlignment="0" applyProtection="0"/>
    <xf numFmtId="44" fontId="59" fillId="0" borderId="0" applyFont="0" applyFill="0" applyBorder="0" applyAlignment="0" applyProtection="0"/>
    <xf numFmtId="39" fontId="65" fillId="0" borderId="0"/>
    <xf numFmtId="43" fontId="60" fillId="0" borderId="0" applyFont="0" applyFill="0" applyBorder="0" applyAlignment="0" applyProtection="0"/>
    <xf numFmtId="43" fontId="11"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67"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1" fillId="0" borderId="0"/>
    <xf numFmtId="9" fontId="11" fillId="0" borderId="0" applyFont="0" applyFill="0" applyBorder="0" applyAlignment="0" applyProtection="0"/>
  </cellStyleXfs>
  <cellXfs count="722">
    <xf numFmtId="0" fontId="0" fillId="0" borderId="0" xfId="0"/>
    <xf numFmtId="0" fontId="14" fillId="0" borderId="4" xfId="12" applyFont="1" applyBorder="1" applyAlignment="1">
      <alignment horizontal="center"/>
    </xf>
    <xf numFmtId="0" fontId="14" fillId="0" borderId="7" xfId="12" applyFont="1" applyBorder="1" applyAlignment="1">
      <alignment horizontal="center"/>
    </xf>
    <xf numFmtId="0" fontId="14" fillId="0" borderId="11" xfId="12" applyFont="1" applyBorder="1" applyAlignment="1">
      <alignment horizontal="center"/>
    </xf>
    <xf numFmtId="0" fontId="15" fillId="0" borderId="0" xfId="12" applyFont="1" applyAlignment="1">
      <alignment horizontal="center"/>
    </xf>
    <xf numFmtId="0" fontId="17" fillId="0" borderId="0" xfId="0" applyFont="1"/>
    <xf numFmtId="0" fontId="17" fillId="0" borderId="0" xfId="0" applyFont="1" applyAlignment="1">
      <alignment horizontal="center"/>
    </xf>
    <xf numFmtId="0" fontId="17" fillId="0" borderId="10" xfId="0" applyFont="1" applyBorder="1"/>
    <xf numFmtId="0" fontId="17" fillId="0" borderId="10" xfId="0" applyFont="1" applyBorder="1" applyAlignment="1">
      <alignment horizontal="center"/>
    </xf>
    <xf numFmtId="5" fontId="17" fillId="0" borderId="0" xfId="0" applyNumberFormat="1" applyFont="1"/>
    <xf numFmtId="37" fontId="17" fillId="0" borderId="0" xfId="0" applyNumberFormat="1" applyFont="1"/>
    <xf numFmtId="3" fontId="17" fillId="0" borderId="0" xfId="0" applyNumberFormat="1" applyFont="1"/>
    <xf numFmtId="37" fontId="17" fillId="0" borderId="3" xfId="0" applyNumberFormat="1" applyFont="1" applyBorder="1"/>
    <xf numFmtId="10" fontId="17" fillId="0" borderId="0" xfId="0" applyNumberFormat="1" applyFont="1"/>
    <xf numFmtId="6" fontId="17" fillId="0" borderId="13" xfId="2" applyNumberFormat="1" applyFont="1" applyBorder="1"/>
    <xf numFmtId="0" fontId="24" fillId="0" borderId="0" xfId="0" applyFont="1"/>
    <xf numFmtId="0" fontId="25" fillId="0" borderId="0" xfId="0" applyFont="1"/>
    <xf numFmtId="5" fontId="25" fillId="0" borderId="0" xfId="0" applyNumberFormat="1" applyFont="1"/>
    <xf numFmtId="0" fontId="17" fillId="0" borderId="0" xfId="0" applyFont="1" applyAlignment="1">
      <alignment horizontal="left"/>
    </xf>
    <xf numFmtId="0" fontId="17" fillId="0" borderId="10" xfId="0" applyFont="1" applyBorder="1" applyAlignment="1">
      <alignment horizontal="left"/>
    </xf>
    <xf numFmtId="10" fontId="17" fillId="0" borderId="0" xfId="0" applyNumberFormat="1" applyFont="1" applyAlignment="1">
      <alignment horizontal="left"/>
    </xf>
    <xf numFmtId="3" fontId="17" fillId="0" borderId="0" xfId="11" applyNumberFormat="1" applyFont="1" applyAlignment="1">
      <alignment horizontal="centerContinuous"/>
    </xf>
    <xf numFmtId="0" fontId="17" fillId="0" borderId="0" xfId="11" applyFont="1" applyAlignment="1">
      <alignment horizontal="centerContinuous"/>
    </xf>
    <xf numFmtId="3" fontId="17" fillId="0" borderId="0" xfId="11" applyNumberFormat="1" applyFont="1"/>
    <xf numFmtId="0" fontId="17" fillId="0" borderId="0" xfId="11" applyFont="1"/>
    <xf numFmtId="3" fontId="17" fillId="0" borderId="0" xfId="11" applyNumberFormat="1" applyFont="1" applyAlignment="1">
      <alignment horizontal="center"/>
    </xf>
    <xf numFmtId="0" fontId="17" fillId="0" borderId="0" xfId="11" applyFont="1" applyAlignment="1">
      <alignment horizontal="center"/>
    </xf>
    <xf numFmtId="3" fontId="17" fillId="0" borderId="10" xfId="11" applyNumberFormat="1" applyFont="1" applyBorder="1" applyAlignment="1">
      <alignment horizontal="center"/>
    </xf>
    <xf numFmtId="164" fontId="17" fillId="0" borderId="0" xfId="11" applyNumberFormat="1" applyFont="1"/>
    <xf numFmtId="164" fontId="17" fillId="0" borderId="3" xfId="11" applyNumberFormat="1" applyFont="1" applyBorder="1"/>
    <xf numFmtId="10" fontId="17" fillId="0" borderId="0" xfId="11" applyNumberFormat="1" applyFont="1"/>
    <xf numFmtId="169" fontId="17" fillId="0" borderId="0" xfId="11" applyNumberFormat="1" applyFont="1"/>
    <xf numFmtId="170" fontId="17" fillId="0" borderId="10" xfId="11" applyNumberFormat="1" applyFont="1" applyBorder="1"/>
    <xf numFmtId="164" fontId="17" fillId="0" borderId="0" xfId="11" applyNumberFormat="1" applyFont="1" applyAlignment="1">
      <alignment horizontal="center"/>
    </xf>
    <xf numFmtId="10" fontId="17" fillId="0" borderId="3" xfId="11" applyNumberFormat="1" applyFont="1" applyBorder="1"/>
    <xf numFmtId="167" fontId="17" fillId="0" borderId="0" xfId="14" applyNumberFormat="1" applyFont="1"/>
    <xf numFmtId="167" fontId="17" fillId="0" borderId="0" xfId="11" applyNumberFormat="1" applyFont="1"/>
    <xf numFmtId="167" fontId="17" fillId="0" borderId="3" xfId="11" applyNumberFormat="1" applyFont="1" applyBorder="1"/>
    <xf numFmtId="0" fontId="23" fillId="0" borderId="0" xfId="11" applyFont="1"/>
    <xf numFmtId="10" fontId="23" fillId="0" borderId="0" xfId="11" applyNumberFormat="1" applyFont="1"/>
    <xf numFmtId="3" fontId="17" fillId="0" borderId="0" xfId="11" applyNumberFormat="1" applyFont="1" applyAlignment="1">
      <alignment horizontal="left"/>
    </xf>
    <xf numFmtId="167" fontId="17" fillId="0" borderId="0" xfId="14" applyNumberFormat="1" applyFont="1" applyFill="1"/>
    <xf numFmtId="168" fontId="17" fillId="0" borderId="0" xfId="1" applyNumberFormat="1" applyFont="1"/>
    <xf numFmtId="168" fontId="17" fillId="0" borderId="0" xfId="1" applyNumberFormat="1" applyFont="1" applyBorder="1"/>
    <xf numFmtId="168" fontId="17" fillId="0" borderId="10" xfId="1" applyNumberFormat="1" applyFont="1" applyBorder="1"/>
    <xf numFmtId="0" fontId="29" fillId="0" borderId="0" xfId="0" applyFont="1"/>
    <xf numFmtId="3" fontId="25" fillId="0" borderId="0" xfId="11" applyNumberFormat="1" applyFont="1"/>
    <xf numFmtId="164" fontId="25" fillId="0" borderId="0" xfId="11" applyNumberFormat="1" applyFont="1"/>
    <xf numFmtId="6" fontId="17" fillId="0" borderId="0" xfId="2" applyNumberFormat="1" applyFont="1" applyBorder="1"/>
    <xf numFmtId="37" fontId="17" fillId="0" borderId="0" xfId="11" applyNumberFormat="1" applyFont="1" applyAlignment="1">
      <alignment horizontal="right"/>
    </xf>
    <xf numFmtId="0" fontId="33" fillId="0" borderId="0" xfId="11" applyFont="1"/>
    <xf numFmtId="6" fontId="17" fillId="0" borderId="0" xfId="0" applyNumberFormat="1" applyFont="1"/>
    <xf numFmtId="0" fontId="26" fillId="0" borderId="0" xfId="0" applyFont="1" applyAlignment="1">
      <alignment horizontal="center"/>
    </xf>
    <xf numFmtId="0" fontId="26" fillId="0" borderId="0" xfId="0" applyFont="1"/>
    <xf numFmtId="0" fontId="25" fillId="0" borderId="0" xfId="0" applyFont="1" applyAlignment="1">
      <alignment horizontal="left"/>
    </xf>
    <xf numFmtId="168" fontId="17" fillId="0" borderId="13" xfId="1" applyNumberFormat="1" applyFont="1" applyBorder="1"/>
    <xf numFmtId="3" fontId="32" fillId="0" borderId="0" xfId="11" applyNumberFormat="1" applyFont="1"/>
    <xf numFmtId="9" fontId="17" fillId="0" borderId="0" xfId="0" applyNumberFormat="1" applyFont="1" applyAlignment="1">
      <alignment horizontal="left"/>
    </xf>
    <xf numFmtId="3" fontId="25" fillId="0" borderId="10" xfId="11" applyNumberFormat="1" applyFont="1" applyBorder="1"/>
    <xf numFmtId="37" fontId="17" fillId="0" borderId="10" xfId="0" applyNumberFormat="1" applyFont="1" applyBorder="1"/>
    <xf numFmtId="3" fontId="18" fillId="0" borderId="0" xfId="11" applyNumberFormat="1" applyFont="1"/>
    <xf numFmtId="0" fontId="26" fillId="0" borderId="0" xfId="0" applyFont="1" applyAlignment="1">
      <alignment horizontal="right"/>
    </xf>
    <xf numFmtId="0" fontId="34" fillId="0" borderId="0" xfId="0" applyFont="1" applyAlignment="1">
      <alignment horizontal="center"/>
    </xf>
    <xf numFmtId="10" fontId="17" fillId="0" borderId="0" xfId="14" applyNumberFormat="1" applyFont="1"/>
    <xf numFmtId="166" fontId="17" fillId="0" borderId="12" xfId="0" applyNumberFormat="1" applyFont="1" applyBorder="1"/>
    <xf numFmtId="10" fontId="33" fillId="0" borderId="10" xfId="11" applyNumberFormat="1" applyFont="1" applyBorder="1"/>
    <xf numFmtId="6" fontId="17" fillId="0" borderId="16" xfId="2" applyNumberFormat="1" applyFont="1" applyBorder="1"/>
    <xf numFmtId="10" fontId="18" fillId="0" borderId="16" xfId="0" applyNumberFormat="1" applyFont="1" applyBorder="1" applyAlignment="1">
      <alignment horizontal="left"/>
    </xf>
    <xf numFmtId="5" fontId="26" fillId="0" borderId="0" xfId="0" applyNumberFormat="1" applyFont="1"/>
    <xf numFmtId="5" fontId="17" fillId="0" borderId="0" xfId="0" applyNumberFormat="1" applyFont="1" applyAlignment="1">
      <alignment horizontal="right"/>
    </xf>
    <xf numFmtId="5" fontId="17" fillId="0" borderId="0" xfId="2" applyNumberFormat="1" applyFont="1"/>
    <xf numFmtId="5" fontId="17" fillId="0" borderId="16" xfId="2" applyNumberFormat="1" applyFont="1" applyFill="1" applyBorder="1"/>
    <xf numFmtId="10" fontId="17" fillId="0" borderId="12" xfId="0" applyNumberFormat="1" applyFont="1" applyBorder="1"/>
    <xf numFmtId="0" fontId="25" fillId="0" borderId="0" xfId="0" applyFont="1" applyAlignment="1">
      <alignment horizontal="center"/>
    </xf>
    <xf numFmtId="0" fontId="24" fillId="0" borderId="0" xfId="0" applyFont="1" applyAlignment="1">
      <alignment horizontal="center"/>
    </xf>
    <xf numFmtId="0" fontId="29" fillId="0" borderId="0" xfId="0" applyFont="1" applyAlignment="1">
      <alignment horizontal="center"/>
    </xf>
    <xf numFmtId="0" fontId="18" fillId="0" borderId="0" xfId="0" applyFont="1" applyAlignment="1">
      <alignment horizontal="left"/>
    </xf>
    <xf numFmtId="0" fontId="29" fillId="0" borderId="10" xfId="0" applyFont="1" applyBorder="1"/>
    <xf numFmtId="5" fontId="20" fillId="0" borderId="0" xfId="0" applyNumberFormat="1" applyFont="1"/>
    <xf numFmtId="5" fontId="20" fillId="0" borderId="16" xfId="0" applyNumberFormat="1" applyFont="1" applyBorder="1"/>
    <xf numFmtId="168" fontId="17" fillId="0" borderId="0" xfId="1" applyNumberFormat="1" applyFont="1" applyFill="1"/>
    <xf numFmtId="0" fontId="28" fillId="0" borderId="0" xfId="0" applyFont="1" applyAlignment="1">
      <alignment horizontal="center"/>
    </xf>
    <xf numFmtId="5" fontId="17" fillId="0" borderId="0" xfId="2" applyNumberFormat="1" applyFont="1" applyFill="1" applyBorder="1"/>
    <xf numFmtId="41" fontId="13" fillId="0" borderId="0" xfId="0" applyNumberFormat="1" applyFont="1"/>
    <xf numFmtId="41" fontId="14" fillId="0" borderId="10" xfId="12" applyNumberFormat="1" applyFont="1" applyBorder="1"/>
    <xf numFmtId="4" fontId="17" fillId="0" borderId="0" xfId="0" applyNumberFormat="1" applyFont="1" applyAlignment="1">
      <alignment horizontal="center"/>
    </xf>
    <xf numFmtId="41" fontId="14" fillId="0" borderId="1" xfId="0" applyNumberFormat="1" applyFont="1" applyBorder="1" applyAlignment="1">
      <alignment horizontal="center"/>
    </xf>
    <xf numFmtId="41" fontId="14" fillId="0" borderId="5" xfId="0" applyNumberFormat="1" applyFont="1" applyBorder="1" applyAlignment="1">
      <alignment horizontal="center"/>
    </xf>
    <xf numFmtId="41" fontId="14" fillId="0" borderId="8" xfId="0" applyNumberFormat="1" applyFont="1" applyBorder="1" applyAlignment="1">
      <alignment horizontal="center"/>
    </xf>
    <xf numFmtId="41" fontId="15" fillId="0" borderId="0" xfId="0" applyNumberFormat="1" applyFont="1" applyAlignment="1">
      <alignment horizontal="center"/>
    </xf>
    <xf numFmtId="41" fontId="17" fillId="0" borderId="0" xfId="0" applyNumberFormat="1" applyFont="1"/>
    <xf numFmtId="41" fontId="17" fillId="0" borderId="10" xfId="0" applyNumberFormat="1" applyFont="1" applyBorder="1" applyAlignment="1">
      <alignment horizontal="center"/>
    </xf>
    <xf numFmtId="41" fontId="17" fillId="0" borderId="0" xfId="0" applyNumberFormat="1" applyFont="1" applyAlignment="1">
      <alignment horizontal="center"/>
    </xf>
    <xf numFmtId="41" fontId="17" fillId="0" borderId="0" xfId="2" applyNumberFormat="1" applyFont="1" applyFill="1" applyBorder="1"/>
    <xf numFmtId="10" fontId="17" fillId="0" borderId="10" xfId="14" applyNumberFormat="1" applyFont="1" applyBorder="1"/>
    <xf numFmtId="10" fontId="13" fillId="0" borderId="0" xfId="14" applyNumberFormat="1" applyFont="1"/>
    <xf numFmtId="41" fontId="13" fillId="0" borderId="12" xfId="12" applyNumberFormat="1" applyFont="1" applyBorder="1"/>
    <xf numFmtId="3" fontId="13" fillId="0" borderId="0" xfId="6" applyNumberFormat="1" applyFont="1"/>
    <xf numFmtId="3" fontId="13" fillId="0" borderId="0" xfId="6" applyNumberFormat="1" applyFont="1" applyAlignment="1">
      <alignment horizontal="center"/>
    </xf>
    <xf numFmtId="0" fontId="13" fillId="0" borderId="0" xfId="6" applyFont="1"/>
    <xf numFmtId="3" fontId="13" fillId="0" borderId="0" xfId="6" applyNumberFormat="1" applyFont="1" applyAlignment="1">
      <alignment horizontal="left"/>
    </xf>
    <xf numFmtId="3" fontId="22" fillId="0" borderId="15" xfId="6" applyNumberFormat="1" applyFont="1" applyBorder="1" applyAlignment="1">
      <alignment horizontal="centerContinuous"/>
    </xf>
    <xf numFmtId="3" fontId="22" fillId="0" borderId="12" xfId="6" applyNumberFormat="1" applyFont="1" applyBorder="1" applyAlignment="1">
      <alignment horizontal="centerContinuous"/>
    </xf>
    <xf numFmtId="3" fontId="21" fillId="0" borderId="14" xfId="6" applyNumberFormat="1" applyFont="1" applyBorder="1" applyAlignment="1">
      <alignment horizontal="centerContinuous"/>
    </xf>
    <xf numFmtId="164" fontId="13" fillId="0" borderId="0" xfId="6" applyNumberFormat="1" applyFont="1"/>
    <xf numFmtId="5" fontId="13" fillId="0" borderId="13" xfId="6" applyNumberFormat="1" applyFont="1" applyBorder="1"/>
    <xf numFmtId="164" fontId="13" fillId="0" borderId="0" xfId="6" applyNumberFormat="1" applyFont="1" applyAlignment="1">
      <alignment horizontal="left"/>
    </xf>
    <xf numFmtId="1" fontId="13" fillId="0" borderId="0" xfId="6" applyNumberFormat="1" applyFont="1" applyAlignment="1">
      <alignment horizontal="center"/>
    </xf>
    <xf numFmtId="37" fontId="13" fillId="0" borderId="10" xfId="6" applyNumberFormat="1" applyFont="1" applyBorder="1" applyProtection="1">
      <protection locked="0"/>
    </xf>
    <xf numFmtId="37" fontId="13" fillId="0" borderId="0" xfId="6" applyNumberFormat="1" applyFont="1" applyProtection="1">
      <protection locked="0"/>
    </xf>
    <xf numFmtId="37" fontId="13" fillId="0" borderId="0" xfId="6" applyNumberFormat="1" applyFont="1"/>
    <xf numFmtId="5" fontId="13" fillId="0" borderId="0" xfId="6" applyNumberFormat="1" applyFont="1" applyProtection="1">
      <protection locked="0"/>
    </xf>
    <xf numFmtId="165" fontId="13" fillId="0" borderId="0" xfId="6" applyNumberFormat="1" applyFont="1"/>
    <xf numFmtId="37" fontId="13" fillId="0" borderId="10" xfId="6" applyNumberFormat="1" applyFont="1" applyBorder="1"/>
    <xf numFmtId="37" fontId="13" fillId="0" borderId="12" xfId="6" applyNumberFormat="1" applyFont="1" applyBorder="1"/>
    <xf numFmtId="37" fontId="13" fillId="0" borderId="3" xfId="6" applyNumberFormat="1" applyFont="1" applyBorder="1"/>
    <xf numFmtId="3" fontId="16" fillId="0" borderId="0" xfId="6" applyNumberFormat="1" applyFont="1" applyAlignment="1">
      <alignment horizontal="center"/>
    </xf>
    <xf numFmtId="3" fontId="13" fillId="0" borderId="10" xfId="6" applyNumberFormat="1" applyFont="1" applyBorder="1" applyAlignment="1">
      <alignment horizontal="center"/>
    </xf>
    <xf numFmtId="3" fontId="13" fillId="0" borderId="10" xfId="6" applyNumberFormat="1" applyFont="1" applyBorder="1" applyAlignment="1">
      <alignment horizontal="centerContinuous"/>
    </xf>
    <xf numFmtId="3" fontId="14" fillId="0" borderId="10" xfId="6" applyNumberFormat="1" applyFont="1" applyBorder="1" applyAlignment="1">
      <alignment horizontal="centerContinuous"/>
    </xf>
    <xf numFmtId="3" fontId="13" fillId="0" borderId="0" xfId="6" applyNumberFormat="1" applyFont="1" applyAlignment="1">
      <alignment horizontal="centerContinuous"/>
    </xf>
    <xf numFmtId="0" fontId="13" fillId="0" borderId="0" xfId="6" applyFont="1" applyAlignment="1">
      <alignment horizontal="centerContinuous"/>
    </xf>
    <xf numFmtId="41" fontId="13" fillId="0" borderId="10" xfId="0" applyNumberFormat="1" applyFont="1" applyBorder="1"/>
    <xf numFmtId="171" fontId="39" fillId="0" borderId="0" xfId="0" applyNumberFormat="1" applyFont="1" applyAlignment="1">
      <alignment horizontal="left"/>
    </xf>
    <xf numFmtId="0" fontId="39" fillId="0" borderId="0" xfId="0" applyFont="1"/>
    <xf numFmtId="3" fontId="39" fillId="0" borderId="0" xfId="0" applyNumberFormat="1" applyFont="1"/>
    <xf numFmtId="172" fontId="39" fillId="0" borderId="0" xfId="0" applyNumberFormat="1" applyFont="1" applyAlignment="1">
      <alignment horizontal="left"/>
    </xf>
    <xf numFmtId="3" fontId="39" fillId="0" borderId="0" xfId="0" applyNumberFormat="1" applyFont="1" applyAlignment="1">
      <alignment horizontal="left"/>
    </xf>
    <xf numFmtId="171" fontId="39" fillId="0" borderId="0" xfId="0" applyNumberFormat="1" applyFont="1"/>
    <xf numFmtId="172" fontId="39" fillId="0" borderId="0" xfId="0" applyNumberFormat="1" applyFont="1" applyAlignment="1">
      <alignment horizontal="center"/>
    </xf>
    <xf numFmtId="0" fontId="39" fillId="0" borderId="0" xfId="0" applyFont="1" applyAlignment="1">
      <alignment horizontal="center"/>
    </xf>
    <xf numFmtId="171" fontId="39" fillId="0" borderId="0" xfId="0" applyNumberFormat="1" applyFont="1" applyAlignment="1">
      <alignment horizontal="center"/>
    </xf>
    <xf numFmtId="172" fontId="39" fillId="0" borderId="0" xfId="0" applyNumberFormat="1" applyFont="1"/>
    <xf numFmtId="171" fontId="39" fillId="4" borderId="0" xfId="0" applyNumberFormat="1" applyFont="1" applyFill="1"/>
    <xf numFmtId="3" fontId="39" fillId="4" borderId="0" xfId="0" applyNumberFormat="1" applyFont="1" applyFill="1"/>
    <xf numFmtId="3" fontId="13" fillId="0" borderId="3" xfId="6" applyNumberFormat="1" applyFont="1" applyBorder="1"/>
    <xf numFmtId="2" fontId="17" fillId="0" borderId="10" xfId="0" applyNumberFormat="1" applyFont="1" applyBorder="1" applyAlignment="1">
      <alignment horizontal="center"/>
    </xf>
    <xf numFmtId="2" fontId="17" fillId="0" borderId="0" xfId="0" applyNumberFormat="1" applyFont="1" applyAlignment="1">
      <alignment horizontal="center"/>
    </xf>
    <xf numFmtId="10" fontId="13" fillId="0" borderId="0" xfId="14" applyNumberFormat="1" applyFont="1" applyBorder="1"/>
    <xf numFmtId="5" fontId="13" fillId="0" borderId="13" xfId="0" applyNumberFormat="1" applyFont="1" applyBorder="1"/>
    <xf numFmtId="5" fontId="17" fillId="0" borderId="0" xfId="11" applyNumberFormat="1" applyFont="1" applyAlignment="1">
      <alignment horizontal="right"/>
    </xf>
    <xf numFmtId="3" fontId="17" fillId="0" borderId="10" xfId="11" applyNumberFormat="1" applyFont="1" applyBorder="1" applyAlignment="1">
      <alignment horizontal="left"/>
    </xf>
    <xf numFmtId="4" fontId="17" fillId="0" borderId="0" xfId="11" applyNumberFormat="1" applyFont="1" applyAlignment="1">
      <alignment horizontal="left"/>
    </xf>
    <xf numFmtId="3" fontId="33" fillId="0" borderId="0" xfId="11" applyNumberFormat="1" applyFont="1" applyAlignment="1">
      <alignment horizontal="left"/>
    </xf>
    <xf numFmtId="41" fontId="17" fillId="0" borderId="0" xfId="11" applyNumberFormat="1" applyFont="1" applyAlignment="1">
      <alignment horizontal="right"/>
    </xf>
    <xf numFmtId="0" fontId="17" fillId="0" borderId="10" xfId="11" applyFont="1" applyBorder="1" applyAlignment="1">
      <alignment horizontal="center"/>
    </xf>
    <xf numFmtId="168" fontId="25" fillId="0" borderId="10" xfId="1" applyNumberFormat="1" applyFont="1" applyFill="1" applyBorder="1"/>
    <xf numFmtId="43" fontId="17" fillId="0" borderId="10" xfId="1" applyFont="1" applyBorder="1"/>
    <xf numFmtId="0" fontId="14" fillId="0" borderId="0" xfId="12" applyFont="1" applyAlignment="1">
      <alignment horizontal="center"/>
    </xf>
    <xf numFmtId="2" fontId="14" fillId="0" borderId="10" xfId="12" applyNumberFormat="1" applyFont="1" applyBorder="1" applyAlignment="1">
      <alignment horizontal="center"/>
    </xf>
    <xf numFmtId="2" fontId="13" fillId="0" borderId="10" xfId="12" applyNumberFormat="1" applyFont="1" applyBorder="1" applyAlignment="1">
      <alignment horizontal="left"/>
    </xf>
    <xf numFmtId="0" fontId="14" fillId="0" borderId="10" xfId="12" applyFont="1" applyBorder="1" applyAlignment="1">
      <alignment horizontal="center"/>
    </xf>
    <xf numFmtId="0" fontId="14" fillId="0" borderId="10" xfId="12" applyFont="1" applyBorder="1" applyAlignment="1">
      <alignment horizontal="left"/>
    </xf>
    <xf numFmtId="4" fontId="17" fillId="0" borderId="0" xfId="0" applyNumberFormat="1" applyFont="1" applyAlignment="1">
      <alignment horizontal="left"/>
    </xf>
    <xf numFmtId="3" fontId="42" fillId="0" borderId="0" xfId="11" applyNumberFormat="1" applyFont="1"/>
    <xf numFmtId="168" fontId="17" fillId="2" borderId="29" xfId="1" applyNumberFormat="1" applyFont="1" applyFill="1" applyBorder="1"/>
    <xf numFmtId="4" fontId="17" fillId="2" borderId="30" xfId="11" applyNumberFormat="1" applyFont="1" applyFill="1" applyBorder="1" applyAlignment="1">
      <alignment horizontal="center"/>
    </xf>
    <xf numFmtId="0" fontId="17" fillId="2" borderId="31" xfId="11" applyFont="1" applyFill="1" applyBorder="1" applyAlignment="1">
      <alignment horizontal="center"/>
    </xf>
    <xf numFmtId="173" fontId="17" fillId="0" borderId="0" xfId="2" applyNumberFormat="1" applyFont="1" applyFill="1" applyBorder="1"/>
    <xf numFmtId="3" fontId="45" fillId="0" borderId="0" xfId="6" applyNumberFormat="1" applyFont="1"/>
    <xf numFmtId="168" fontId="13" fillId="0" borderId="0" xfId="1" applyNumberFormat="1" applyFont="1"/>
    <xf numFmtId="41" fontId="14" fillId="0" borderId="0" xfId="12" quotePrefix="1" applyNumberFormat="1" applyFont="1" applyAlignment="1">
      <alignment horizontal="center"/>
    </xf>
    <xf numFmtId="3" fontId="48" fillId="0" borderId="0" xfId="0" applyNumberFormat="1" applyFont="1"/>
    <xf numFmtId="172" fontId="48" fillId="0" borderId="0" xfId="0" applyNumberFormat="1" applyFont="1" applyAlignment="1">
      <alignment horizontal="left"/>
    </xf>
    <xf numFmtId="172" fontId="48" fillId="0" borderId="0" xfId="0" applyNumberFormat="1" applyFont="1" applyAlignment="1">
      <alignment horizontal="center"/>
    </xf>
    <xf numFmtId="3" fontId="48" fillId="4" borderId="0" xfId="0" applyNumberFormat="1" applyFont="1" applyFill="1"/>
    <xf numFmtId="171" fontId="48" fillId="0" borderId="0" xfId="0" applyNumberFormat="1" applyFont="1"/>
    <xf numFmtId="0" fontId="13" fillId="0" borderId="0" xfId="12" applyFont="1"/>
    <xf numFmtId="0" fontId="13" fillId="0" borderId="0" xfId="12" applyFont="1" applyAlignment="1">
      <alignment horizontal="center"/>
    </xf>
    <xf numFmtId="0" fontId="14" fillId="0" borderId="1" xfId="12" applyFont="1" applyBorder="1" applyAlignment="1">
      <alignment horizontal="center"/>
    </xf>
    <xf numFmtId="0" fontId="14" fillId="0" borderId="2" xfId="12" applyFont="1" applyBorder="1" applyAlignment="1">
      <alignment horizontal="center"/>
    </xf>
    <xf numFmtId="0" fontId="14" fillId="0" borderId="3" xfId="12" applyFont="1" applyBorder="1" applyAlignment="1">
      <alignment horizontal="center"/>
    </xf>
    <xf numFmtId="0" fontId="14" fillId="0" borderId="5" xfId="12" applyFont="1" applyBorder="1" applyAlignment="1">
      <alignment horizontal="center"/>
    </xf>
    <xf numFmtId="0" fontId="14" fillId="0" borderId="6" xfId="12" applyFont="1" applyBorder="1" applyAlignment="1">
      <alignment horizontal="center"/>
    </xf>
    <xf numFmtId="0" fontId="14" fillId="0" borderId="8" xfId="12" applyFont="1" applyBorder="1" applyAlignment="1">
      <alignment horizontal="center"/>
    </xf>
    <xf numFmtId="0" fontId="14" fillId="0" borderId="9" xfId="12" applyFont="1" applyBorder="1" applyAlignment="1">
      <alignment horizontal="center"/>
    </xf>
    <xf numFmtId="37" fontId="13" fillId="0" borderId="0" xfId="12" applyNumberFormat="1" applyFont="1" applyAlignment="1">
      <alignment horizontal="center"/>
    </xf>
    <xf numFmtId="5" fontId="13" fillId="0" borderId="0" xfId="12" applyNumberFormat="1" applyFont="1"/>
    <xf numFmtId="37" fontId="13" fillId="0" borderId="0" xfId="12" applyNumberFormat="1" applyFont="1"/>
    <xf numFmtId="3" fontId="13" fillId="0" borderId="0" xfId="9" applyNumberFormat="1" applyFont="1" applyAlignment="1">
      <alignment horizontal="center"/>
    </xf>
    <xf numFmtId="1" fontId="13" fillId="0" borderId="0" xfId="9" applyNumberFormat="1" applyFont="1" applyAlignment="1">
      <alignment horizontal="center"/>
    </xf>
    <xf numFmtId="10" fontId="13" fillId="0" borderId="0" xfId="14" applyNumberFormat="1" applyFont="1" applyFill="1"/>
    <xf numFmtId="41" fontId="14" fillId="0" borderId="0" xfId="12" applyNumberFormat="1" applyFont="1"/>
    <xf numFmtId="41" fontId="13" fillId="0" borderId="0" xfId="12" applyNumberFormat="1" applyFont="1"/>
    <xf numFmtId="41" fontId="14" fillId="0" borderId="0" xfId="12" applyNumberFormat="1" applyFont="1" applyAlignment="1">
      <alignment horizontal="center"/>
    </xf>
    <xf numFmtId="41" fontId="13" fillId="0" borderId="0" xfId="13" applyNumberFormat="1" applyFont="1" applyAlignment="1">
      <alignment horizontal="center"/>
    </xf>
    <xf numFmtId="41" fontId="13" fillId="0" borderId="10" xfId="12" applyNumberFormat="1" applyFont="1" applyBorder="1"/>
    <xf numFmtId="41" fontId="13" fillId="0" borderId="0" xfId="14" applyNumberFormat="1" applyFont="1" applyFill="1"/>
    <xf numFmtId="41" fontId="13" fillId="0" borderId="3" xfId="12" applyNumberFormat="1" applyFont="1" applyBorder="1"/>
    <xf numFmtId="5" fontId="13" fillId="0" borderId="13" xfId="12" applyNumberFormat="1" applyFont="1" applyBorder="1"/>
    <xf numFmtId="5" fontId="13" fillId="0" borderId="0" xfId="10" applyNumberFormat="1" applyFont="1"/>
    <xf numFmtId="2" fontId="14" fillId="0" borderId="0" xfId="12" applyNumberFormat="1" applyFont="1" applyAlignment="1">
      <alignment horizontal="center"/>
    </xf>
    <xf numFmtId="2" fontId="14" fillId="0" borderId="0" xfId="4" applyNumberFormat="1" applyFont="1" applyAlignment="1" applyProtection="1">
      <alignment horizontal="center"/>
    </xf>
    <xf numFmtId="2" fontId="14" fillId="0" borderId="0" xfId="4" applyNumberFormat="1" applyFont="1" applyFill="1" applyAlignment="1" applyProtection="1">
      <alignment horizontal="center"/>
    </xf>
    <xf numFmtId="2" fontId="13" fillId="0" borderId="0" xfId="12" applyNumberFormat="1" applyFont="1" applyAlignment="1">
      <alignment horizontal="left"/>
    </xf>
    <xf numFmtId="41" fontId="14" fillId="0" borderId="10" xfId="12" applyNumberFormat="1" applyFont="1" applyBorder="1" applyAlignment="1">
      <alignment horizontal="center"/>
    </xf>
    <xf numFmtId="2" fontId="14" fillId="0" borderId="10" xfId="4" applyNumberFormat="1" applyFont="1" applyBorder="1" applyAlignment="1" applyProtection="1">
      <alignment horizontal="center"/>
    </xf>
    <xf numFmtId="0" fontId="13" fillId="0" borderId="0" xfId="12" applyFont="1" applyAlignment="1">
      <alignment vertical="top"/>
    </xf>
    <xf numFmtId="3" fontId="14" fillId="0" borderId="0" xfId="13" applyNumberFormat="1" applyFont="1" applyAlignment="1">
      <alignment horizontal="center"/>
    </xf>
    <xf numFmtId="164" fontId="17" fillId="0" borderId="10" xfId="11" applyNumberFormat="1" applyFont="1" applyBorder="1"/>
    <xf numFmtId="3" fontId="17" fillId="0" borderId="10" xfId="11" applyNumberFormat="1" applyFont="1" applyBorder="1"/>
    <xf numFmtId="0" fontId="50" fillId="4" borderId="18" xfId="0" applyFont="1" applyFill="1" applyBorder="1" applyAlignment="1">
      <alignment horizontal="left"/>
    </xf>
    <xf numFmtId="0" fontId="50" fillId="4" borderId="19" xfId="0" applyFont="1" applyFill="1" applyBorder="1" applyAlignment="1">
      <alignment horizontal="center"/>
    </xf>
    <xf numFmtId="0" fontId="50" fillId="4" borderId="20" xfId="0" applyFont="1" applyFill="1" applyBorder="1" applyAlignment="1">
      <alignment horizontal="center"/>
    </xf>
    <xf numFmtId="37" fontId="35" fillId="4" borderId="21" xfId="12" applyNumberFormat="1" applyFont="1" applyFill="1" applyBorder="1"/>
    <xf numFmtId="37" fontId="35" fillId="4" borderId="0" xfId="12" applyNumberFormat="1" applyFont="1" applyFill="1"/>
    <xf numFmtId="37" fontId="51" fillId="4" borderId="0" xfId="12" applyNumberFormat="1" applyFont="1" applyFill="1"/>
    <xf numFmtId="0" fontId="35" fillId="4" borderId="0" xfId="0" applyFont="1" applyFill="1"/>
    <xf numFmtId="0" fontId="50" fillId="4" borderId="10" xfId="0" applyFont="1" applyFill="1" applyBorder="1" applyAlignment="1">
      <alignment horizontal="center"/>
    </xf>
    <xf numFmtId="0" fontId="50" fillId="4" borderId="36" xfId="0" applyFont="1" applyFill="1" applyBorder="1" applyAlignment="1">
      <alignment horizontal="center"/>
    </xf>
    <xf numFmtId="37" fontId="35" fillId="4" borderId="22" xfId="12" applyNumberFormat="1" applyFont="1" applyFill="1" applyBorder="1"/>
    <xf numFmtId="10" fontId="35" fillId="4" borderId="0" xfId="14" applyNumberFormat="1" applyFont="1" applyFill="1" applyBorder="1"/>
    <xf numFmtId="10" fontId="35" fillId="4" borderId="22" xfId="14" applyNumberFormat="1" applyFont="1" applyFill="1" applyBorder="1"/>
    <xf numFmtId="167" fontId="35" fillId="4" borderId="0" xfId="14" applyNumberFormat="1" applyFont="1" applyFill="1" applyBorder="1"/>
    <xf numFmtId="167" fontId="51" fillId="4" borderId="0" xfId="14" applyNumberFormat="1" applyFont="1" applyFill="1" applyBorder="1"/>
    <xf numFmtId="10" fontId="35" fillId="4" borderId="16" xfId="14" applyNumberFormat="1" applyFont="1" applyFill="1" applyBorder="1"/>
    <xf numFmtId="10" fontId="35" fillId="4" borderId="37" xfId="14" applyNumberFormat="1" applyFont="1" applyFill="1" applyBorder="1"/>
    <xf numFmtId="37" fontId="35" fillId="4" borderId="23" xfId="12" applyNumberFormat="1" applyFont="1" applyFill="1" applyBorder="1"/>
    <xf numFmtId="0" fontId="35" fillId="4" borderId="24" xfId="0" applyFont="1" applyFill="1" applyBorder="1"/>
    <xf numFmtId="10" fontId="35" fillId="4" borderId="24" xfId="14" applyNumberFormat="1" applyFont="1" applyFill="1" applyBorder="1"/>
    <xf numFmtId="10" fontId="51" fillId="4" borderId="24" xfId="14" applyNumberFormat="1" applyFont="1" applyFill="1" applyBorder="1"/>
    <xf numFmtId="10" fontId="35" fillId="4" borderId="25" xfId="14" applyNumberFormat="1" applyFont="1" applyFill="1" applyBorder="1"/>
    <xf numFmtId="41" fontId="14" fillId="0" borderId="1" xfId="0" quotePrefix="1" applyNumberFormat="1" applyFont="1" applyBorder="1" applyAlignment="1">
      <alignment horizontal="center"/>
    </xf>
    <xf numFmtId="41" fontId="14" fillId="0" borderId="0" xfId="12" applyNumberFormat="1" applyFont="1" applyAlignment="1">
      <alignment horizontal="center" wrapText="1"/>
    </xf>
    <xf numFmtId="0" fontId="0" fillId="0" borderId="0" xfId="0" applyAlignment="1">
      <alignment shrinkToFit="1"/>
    </xf>
    <xf numFmtId="0" fontId="13" fillId="0" borderId="0" xfId="12" applyFont="1" applyAlignment="1">
      <alignment horizontal="left"/>
    </xf>
    <xf numFmtId="10" fontId="35" fillId="0" borderId="0" xfId="14" applyNumberFormat="1" applyFont="1" applyFill="1" applyBorder="1"/>
    <xf numFmtId="0" fontId="17" fillId="0" borderId="0" xfId="0" applyFont="1" applyAlignment="1">
      <alignment horizontal="right"/>
    </xf>
    <xf numFmtId="9" fontId="13" fillId="0" borderId="0" xfId="14" applyFont="1" applyFill="1"/>
    <xf numFmtId="41" fontId="13" fillId="0" borderId="13" xfId="12" applyNumberFormat="1" applyFont="1" applyBorder="1"/>
    <xf numFmtId="41" fontId="13" fillId="0" borderId="0" xfId="2" applyNumberFormat="1" applyFont="1" applyBorder="1"/>
    <xf numFmtId="41" fontId="13" fillId="0" borderId="10" xfId="2" applyNumberFormat="1" applyFont="1" applyBorder="1"/>
    <xf numFmtId="1" fontId="13" fillId="0" borderId="0" xfId="6" applyNumberFormat="1" applyFont="1" applyProtection="1">
      <protection locked="0"/>
    </xf>
    <xf numFmtId="1" fontId="13" fillId="0" borderId="10" xfId="6" applyNumberFormat="1" applyFont="1" applyBorder="1" applyProtection="1">
      <protection locked="0"/>
    </xf>
    <xf numFmtId="0" fontId="50" fillId="4" borderId="0" xfId="0" applyFont="1" applyFill="1" applyAlignment="1">
      <alignment horizontal="center"/>
    </xf>
    <xf numFmtId="0" fontId="50" fillId="4" borderId="22" xfId="0" applyFont="1" applyFill="1" applyBorder="1" applyAlignment="1">
      <alignment horizontal="center"/>
    </xf>
    <xf numFmtId="0" fontId="50" fillId="0" borderId="21" xfId="0" applyFont="1" applyBorder="1" applyAlignment="1">
      <alignment horizontal="center"/>
    </xf>
    <xf numFmtId="0" fontId="50" fillId="0" borderId="0" xfId="0" applyFont="1" applyAlignment="1">
      <alignment horizontal="center"/>
    </xf>
    <xf numFmtId="0" fontId="50" fillId="0" borderId="22" xfId="0" applyFont="1" applyBorder="1" applyAlignment="1">
      <alignment horizontal="center"/>
    </xf>
    <xf numFmtId="0" fontId="17" fillId="0" borderId="0" xfId="12" applyFont="1" applyAlignment="1">
      <alignment horizontal="left"/>
    </xf>
    <xf numFmtId="0" fontId="53" fillId="0" borderId="0" xfId="12" applyFont="1" applyAlignment="1">
      <alignment horizontal="left"/>
    </xf>
    <xf numFmtId="0" fontId="50" fillId="0" borderId="0" xfId="0" applyFont="1" applyAlignment="1">
      <alignment horizontal="centerContinuous"/>
    </xf>
    <xf numFmtId="0" fontId="35" fillId="0" borderId="0" xfId="0" applyFont="1"/>
    <xf numFmtId="0" fontId="50" fillId="0" borderId="0" xfId="0" applyFont="1"/>
    <xf numFmtId="0" fontId="50" fillId="0" borderId="10" xfId="0" applyFont="1" applyBorder="1" applyAlignment="1">
      <alignment horizontal="center"/>
    </xf>
    <xf numFmtId="14" fontId="50" fillId="0" borderId="0" xfId="0" applyNumberFormat="1" applyFont="1" applyAlignment="1">
      <alignment horizontal="center"/>
    </xf>
    <xf numFmtId="37" fontId="35" fillId="0" borderId="0" xfId="12" applyNumberFormat="1" applyFont="1"/>
    <xf numFmtId="37" fontId="50" fillId="0" borderId="0" xfId="12" applyNumberFormat="1" applyFont="1"/>
    <xf numFmtId="0" fontId="35" fillId="0" borderId="0" xfId="0" applyFont="1" applyAlignment="1">
      <alignment horizontal="center"/>
    </xf>
    <xf numFmtId="173" fontId="35" fillId="0" borderId="0" xfId="2" applyNumberFormat="1" applyFont="1"/>
    <xf numFmtId="173" fontId="35" fillId="0" borderId="0" xfId="0" applyNumberFormat="1" applyFont="1"/>
    <xf numFmtId="5" fontId="35" fillId="0" borderId="0" xfId="0" applyNumberFormat="1" applyFont="1"/>
    <xf numFmtId="10" fontId="50" fillId="0" borderId="0" xfId="14" applyNumberFormat="1" applyFont="1" applyFill="1" applyBorder="1" applyAlignment="1">
      <alignment horizontal="center"/>
    </xf>
    <xf numFmtId="167" fontId="35" fillId="0" borderId="0" xfId="14" applyNumberFormat="1" applyFont="1" applyBorder="1"/>
    <xf numFmtId="10" fontId="35" fillId="0" borderId="0" xfId="14" applyNumberFormat="1" applyFont="1" applyBorder="1"/>
    <xf numFmtId="0" fontId="51" fillId="0" borderId="0" xfId="0" applyFont="1"/>
    <xf numFmtId="41" fontId="35" fillId="0" borderId="10" xfId="0" applyNumberFormat="1" applyFont="1" applyBorder="1"/>
    <xf numFmtId="41" fontId="35" fillId="0" borderId="0" xfId="0" applyNumberFormat="1" applyFont="1"/>
    <xf numFmtId="166" fontId="35" fillId="0" borderId="0" xfId="0" applyNumberFormat="1" applyFont="1"/>
    <xf numFmtId="0" fontId="50" fillId="0" borderId="10" xfId="0" applyFont="1" applyBorder="1" applyAlignment="1">
      <alignment horizontal="center" vertical="center" wrapText="1"/>
    </xf>
    <xf numFmtId="0" fontId="50" fillId="0" borderId="0" xfId="0" applyFont="1" applyAlignment="1">
      <alignment horizontal="center" vertical="center" wrapText="1"/>
    </xf>
    <xf numFmtId="5" fontId="50" fillId="0" borderId="0" xfId="0" applyNumberFormat="1" applyFont="1"/>
    <xf numFmtId="168" fontId="35" fillId="0" borderId="0" xfId="1" applyNumberFormat="1" applyFont="1" applyFill="1" applyBorder="1"/>
    <xf numFmtId="167" fontId="35" fillId="0" borderId="0" xfId="14" applyNumberFormat="1" applyFont="1" applyFill="1" applyBorder="1"/>
    <xf numFmtId="168" fontId="35" fillId="0" borderId="0" xfId="0" applyNumberFormat="1" applyFont="1"/>
    <xf numFmtId="0" fontId="35" fillId="0" borderId="0" xfId="0" applyFont="1" applyAlignment="1">
      <alignment horizontal="right"/>
    </xf>
    <xf numFmtId="10" fontId="50" fillId="0" borderId="0" xfId="14" applyNumberFormat="1" applyFont="1" applyFill="1" applyBorder="1"/>
    <xf numFmtId="37" fontId="51" fillId="0" borderId="0" xfId="12" applyNumberFormat="1" applyFont="1"/>
    <xf numFmtId="0" fontId="35" fillId="0" borderId="0" xfId="12" applyFont="1"/>
    <xf numFmtId="0" fontId="50" fillId="0" borderId="0" xfId="12" quotePrefix="1" applyFont="1" applyAlignment="1">
      <alignment horizontal="right"/>
    </xf>
    <xf numFmtId="0" fontId="35" fillId="0" borderId="0" xfId="0" applyFont="1" applyAlignment="1">
      <alignment horizontal="left"/>
    </xf>
    <xf numFmtId="5" fontId="35" fillId="0" borderId="0" xfId="12" applyNumberFormat="1" applyFont="1"/>
    <xf numFmtId="37" fontId="13" fillId="0" borderId="0" xfId="1" applyNumberFormat="1" applyFont="1" applyBorder="1" applyAlignment="1">
      <alignment horizontal="right" shrinkToFit="1"/>
    </xf>
    <xf numFmtId="3" fontId="13" fillId="0" borderId="0" xfId="0" applyNumberFormat="1" applyFont="1"/>
    <xf numFmtId="41" fontId="49" fillId="0" borderId="0" xfId="12" applyNumberFormat="1" applyFont="1" applyAlignment="1">
      <alignment vertical="top"/>
    </xf>
    <xf numFmtId="41" fontId="17" fillId="0" borderId="10" xfId="11" applyNumberFormat="1" applyFont="1" applyBorder="1" applyAlignment="1">
      <alignment horizontal="right"/>
    </xf>
    <xf numFmtId="41" fontId="13" fillId="6" borderId="38" xfId="14" applyNumberFormat="1" applyFont="1" applyFill="1" applyBorder="1"/>
    <xf numFmtId="41" fontId="13" fillId="0" borderId="0" xfId="12" applyNumberFormat="1" applyFont="1" applyAlignment="1">
      <alignment horizontal="center" wrapText="1"/>
    </xf>
    <xf numFmtId="2" fontId="13" fillId="6" borderId="5" xfId="12" applyNumberFormat="1" applyFont="1" applyFill="1" applyBorder="1" applyAlignment="1">
      <alignment horizontal="center"/>
    </xf>
    <xf numFmtId="41" fontId="13" fillId="6" borderId="5" xfId="12" applyNumberFormat="1" applyFont="1" applyFill="1" applyBorder="1"/>
    <xf numFmtId="5" fontId="13" fillId="6" borderId="5" xfId="12" applyNumberFormat="1" applyFont="1" applyFill="1" applyBorder="1"/>
    <xf numFmtId="41" fontId="13" fillId="6" borderId="8" xfId="12" applyNumberFormat="1" applyFont="1" applyFill="1" applyBorder="1"/>
    <xf numFmtId="41" fontId="13" fillId="6" borderId="35" xfId="12" applyNumberFormat="1" applyFont="1" applyFill="1" applyBorder="1"/>
    <xf numFmtId="41" fontId="13" fillId="6" borderId="1" xfId="12" applyNumberFormat="1" applyFont="1" applyFill="1" applyBorder="1"/>
    <xf numFmtId="41" fontId="52" fillId="0" borderId="0" xfId="12" applyNumberFormat="1" applyFont="1" applyAlignment="1">
      <alignment vertical="top"/>
    </xf>
    <xf numFmtId="0" fontId="56" fillId="0" borderId="0" xfId="0" applyFont="1"/>
    <xf numFmtId="41" fontId="15" fillId="0" borderId="0" xfId="0" quotePrefix="1" applyNumberFormat="1" applyFont="1" applyAlignment="1">
      <alignment horizontal="center"/>
    </xf>
    <xf numFmtId="3" fontId="18" fillId="0" borderId="0" xfId="0" applyNumberFormat="1" applyFont="1"/>
    <xf numFmtId="0" fontId="17" fillId="0" borderId="0" xfId="11" applyFont="1" applyAlignment="1">
      <alignment horizontal="right"/>
    </xf>
    <xf numFmtId="166" fontId="18" fillId="0" borderId="0" xfId="54" applyNumberFormat="1" applyFont="1"/>
    <xf numFmtId="14" fontId="18" fillId="0" borderId="0" xfId="54" applyNumberFormat="1" applyFont="1"/>
    <xf numFmtId="0" fontId="18" fillId="0" borderId="0" xfId="54" applyFont="1"/>
    <xf numFmtId="166" fontId="18" fillId="0" borderId="0" xfId="54" applyNumberFormat="1" applyFont="1" applyAlignment="1">
      <alignment horizontal="right"/>
    </xf>
    <xf numFmtId="166" fontId="17" fillId="0" borderId="0" xfId="54" applyNumberFormat="1" applyFont="1"/>
    <xf numFmtId="0" fontId="17" fillId="0" borderId="0" xfId="54" applyFont="1"/>
    <xf numFmtId="166" fontId="17" fillId="0" borderId="12" xfId="54" applyNumberFormat="1" applyFont="1" applyBorder="1"/>
    <xf numFmtId="4" fontId="61" fillId="0" borderId="0" xfId="54" applyNumberFormat="1" applyFont="1" applyAlignment="1">
      <alignment horizontal="left"/>
    </xf>
    <xf numFmtId="166" fontId="17" fillId="5" borderId="12" xfId="54" applyNumberFormat="1" applyFont="1" applyFill="1" applyBorder="1"/>
    <xf numFmtId="4" fontId="61" fillId="0" borderId="0" xfId="54" applyNumberFormat="1" applyFont="1" applyAlignment="1">
      <alignment horizontal="right"/>
    </xf>
    <xf numFmtId="4" fontId="17" fillId="0" borderId="0" xfId="54" applyNumberFormat="1" applyFont="1"/>
    <xf numFmtId="166" fontId="17" fillId="0" borderId="10" xfId="54" applyNumberFormat="1" applyFont="1" applyBorder="1"/>
    <xf numFmtId="5" fontId="50" fillId="0" borderId="17" xfId="0" applyNumberFormat="1" applyFont="1" applyBorder="1"/>
    <xf numFmtId="173" fontId="35" fillId="0" borderId="0" xfId="2" applyNumberFormat="1" applyFont="1" applyFill="1"/>
    <xf numFmtId="41" fontId="13" fillId="0" borderId="0" xfId="12" applyNumberFormat="1" applyFont="1" applyAlignment="1">
      <alignment horizontal="right"/>
    </xf>
    <xf numFmtId="0" fontId="14" fillId="0" borderId="0" xfId="12" applyFont="1" applyAlignment="1">
      <alignment horizontal="right"/>
    </xf>
    <xf numFmtId="3" fontId="70" fillId="0" borderId="5" xfId="13" applyNumberFormat="1" applyFont="1" applyBorder="1"/>
    <xf numFmtId="0" fontId="13" fillId="0" borderId="5" xfId="12" applyFont="1" applyBorder="1"/>
    <xf numFmtId="37" fontId="13" fillId="0" borderId="10" xfId="12" applyNumberFormat="1" applyFont="1" applyBorder="1"/>
    <xf numFmtId="167" fontId="13" fillId="0" borderId="0" xfId="14" applyNumberFormat="1" applyFont="1" applyFill="1"/>
    <xf numFmtId="173" fontId="35" fillId="0" borderId="0" xfId="2" applyNumberFormat="1" applyFont="1" applyFill="1" applyBorder="1"/>
    <xf numFmtId="2" fontId="14" fillId="7" borderId="6" xfId="12" applyNumberFormat="1" applyFont="1" applyFill="1" applyBorder="1" applyAlignment="1">
      <alignment horizontal="center"/>
    </xf>
    <xf numFmtId="41" fontId="14" fillId="0" borderId="39" xfId="12" applyNumberFormat="1" applyFont="1" applyBorder="1"/>
    <xf numFmtId="41" fontId="14" fillId="7" borderId="6" xfId="12" applyNumberFormat="1" applyFont="1" applyFill="1" applyBorder="1"/>
    <xf numFmtId="5" fontId="14" fillId="7" borderId="6" xfId="12" applyNumberFormat="1" applyFont="1" applyFill="1" applyBorder="1"/>
    <xf numFmtId="41" fontId="14" fillId="7" borderId="9" xfId="12" applyNumberFormat="1" applyFont="1" applyFill="1" applyBorder="1"/>
    <xf numFmtId="41" fontId="14" fillId="7" borderId="40" xfId="12" applyNumberFormat="1" applyFont="1" applyFill="1" applyBorder="1"/>
    <xf numFmtId="41" fontId="14" fillId="7" borderId="2" xfId="12" applyNumberFormat="1" applyFont="1" applyFill="1" applyBorder="1"/>
    <xf numFmtId="41" fontId="14" fillId="7" borderId="14" xfId="14" applyNumberFormat="1" applyFont="1" applyFill="1" applyBorder="1"/>
    <xf numFmtId="5" fontId="14" fillId="0" borderId="0" xfId="12" applyNumberFormat="1" applyFont="1"/>
    <xf numFmtId="41" fontId="14" fillId="0" borderId="0" xfId="14" applyNumberFormat="1" applyFont="1" applyFill="1" applyBorder="1"/>
    <xf numFmtId="41" fontId="14" fillId="7" borderId="0" xfId="12" applyNumberFormat="1" applyFont="1" applyFill="1" applyAlignment="1">
      <alignment horizontal="center"/>
    </xf>
    <xf numFmtId="41" fontId="14" fillId="5" borderId="1" xfId="12" applyNumberFormat="1" applyFont="1" applyFill="1" applyBorder="1" applyAlignment="1">
      <alignment horizontal="center"/>
    </xf>
    <xf numFmtId="41" fontId="14" fillId="5" borderId="8" xfId="12" applyNumberFormat="1" applyFont="1" applyFill="1" applyBorder="1" applyAlignment="1">
      <alignment horizontal="center"/>
    </xf>
    <xf numFmtId="41" fontId="13" fillId="0" borderId="0" xfId="54" applyNumberFormat="1" applyFont="1"/>
    <xf numFmtId="0" fontId="25" fillId="0" borderId="0" xfId="54" applyFont="1"/>
    <xf numFmtId="41" fontId="14" fillId="0" borderId="14" xfId="54" applyNumberFormat="1" applyFont="1" applyBorder="1" applyAlignment="1">
      <alignment horizontal="centerContinuous"/>
    </xf>
    <xf numFmtId="41" fontId="14" fillId="0" borderId="39" xfId="54" applyNumberFormat="1" applyFont="1" applyBorder="1" applyAlignment="1">
      <alignment horizontal="centerContinuous"/>
    </xf>
    <xf numFmtId="41" fontId="14" fillId="0" borderId="15" xfId="54" applyNumberFormat="1" applyFont="1" applyBorder="1" applyAlignment="1">
      <alignment horizontal="centerContinuous"/>
    </xf>
    <xf numFmtId="41" fontId="14" fillId="0" borderId="38" xfId="54" applyNumberFormat="1" applyFont="1" applyBorder="1" applyAlignment="1">
      <alignment horizontal="centerContinuous"/>
    </xf>
    <xf numFmtId="41" fontId="14" fillId="0" borderId="1" xfId="54" quotePrefix="1" applyNumberFormat="1" applyFont="1" applyBorder="1" applyAlignment="1">
      <alignment horizontal="center"/>
    </xf>
    <xf numFmtId="41" fontId="14" fillId="0" borderId="1" xfId="54" applyNumberFormat="1" applyFont="1" applyBorder="1" applyAlignment="1">
      <alignment horizontal="center"/>
    </xf>
    <xf numFmtId="41" fontId="14" fillId="0" borderId="5" xfId="54" applyNumberFormat="1" applyFont="1" applyBorder="1" applyAlignment="1">
      <alignment horizontal="center"/>
    </xf>
    <xf numFmtId="41" fontId="14" fillId="0" borderId="8" xfId="54" applyNumberFormat="1" applyFont="1" applyBorder="1" applyAlignment="1">
      <alignment horizontal="center"/>
    </xf>
    <xf numFmtId="41" fontId="15" fillId="0" borderId="0" xfId="54" applyNumberFormat="1" applyFont="1" applyAlignment="1">
      <alignment horizontal="center"/>
    </xf>
    <xf numFmtId="168" fontId="13" fillId="0" borderId="0" xfId="12" applyNumberFormat="1" applyFont="1"/>
    <xf numFmtId="168" fontId="13" fillId="0" borderId="10" xfId="1" applyNumberFormat="1" applyFont="1" applyBorder="1"/>
    <xf numFmtId="168" fontId="13" fillId="0" borderId="10" xfId="12" applyNumberFormat="1" applyFont="1" applyBorder="1"/>
    <xf numFmtId="41" fontId="13" fillId="0" borderId="39" xfId="12" applyNumberFormat="1" applyFont="1" applyBorder="1"/>
    <xf numFmtId="41" fontId="13" fillId="0" borderId="10" xfId="54" applyNumberFormat="1" applyFont="1" applyBorder="1"/>
    <xf numFmtId="5" fontId="13" fillId="0" borderId="13" xfId="54" applyNumberFormat="1" applyFont="1" applyBorder="1"/>
    <xf numFmtId="41" fontId="13" fillId="0" borderId="13" xfId="54" applyNumberFormat="1" applyFont="1" applyBorder="1"/>
    <xf numFmtId="174" fontId="35" fillId="0" borderId="0" xfId="0" applyNumberFormat="1" applyFont="1"/>
    <xf numFmtId="10" fontId="50" fillId="0" borderId="0" xfId="14" applyNumberFormat="1" applyFont="1" applyBorder="1"/>
    <xf numFmtId="0" fontId="35" fillId="0" borderId="0" xfId="0" applyFont="1" applyAlignment="1">
      <alignment horizontal="center" vertical="center" wrapText="1"/>
    </xf>
    <xf numFmtId="0" fontId="50" fillId="7" borderId="0" xfId="0" applyFont="1" applyFill="1" applyAlignment="1">
      <alignment horizontal="center"/>
    </xf>
    <xf numFmtId="0" fontId="50" fillId="7" borderId="10" xfId="0" applyFont="1" applyFill="1" applyBorder="1" applyAlignment="1">
      <alignment horizontal="center"/>
    </xf>
    <xf numFmtId="0" fontId="35" fillId="0" borderId="10" xfId="0" applyFont="1" applyBorder="1" applyAlignment="1">
      <alignment horizontal="center"/>
    </xf>
    <xf numFmtId="5" fontId="13" fillId="0" borderId="10" xfId="12" applyNumberFormat="1" applyFont="1" applyBorder="1"/>
    <xf numFmtId="41" fontId="13" fillId="0" borderId="0" xfId="12" applyNumberFormat="1" applyFont="1" applyAlignment="1">
      <alignment vertical="top" wrapText="1"/>
    </xf>
    <xf numFmtId="3" fontId="13" fillId="0" borderId="0" xfId="13" applyNumberFormat="1" applyFont="1" applyAlignment="1">
      <alignment horizontal="center"/>
    </xf>
    <xf numFmtId="41" fontId="14" fillId="0" borderId="0" xfId="12" applyNumberFormat="1" applyFont="1" applyAlignment="1">
      <alignment wrapText="1"/>
    </xf>
    <xf numFmtId="3" fontId="13" fillId="0" borderId="10" xfId="13" applyNumberFormat="1" applyFont="1" applyBorder="1" applyAlignment="1">
      <alignment horizontal="center"/>
    </xf>
    <xf numFmtId="41" fontId="14" fillId="0" borderId="0" xfId="13" applyNumberFormat="1" applyFont="1" applyAlignment="1">
      <alignment horizontal="center"/>
    </xf>
    <xf numFmtId="2" fontId="14" fillId="0" borderId="0" xfId="4" applyNumberFormat="1" applyFont="1" applyFill="1" applyBorder="1" applyAlignment="1" applyProtection="1">
      <alignment horizontal="center"/>
    </xf>
    <xf numFmtId="168" fontId="13" fillId="0" borderId="0" xfId="1" applyNumberFormat="1" applyFont="1" applyFill="1"/>
    <xf numFmtId="168" fontId="13" fillId="0" borderId="10" xfId="1" applyNumberFormat="1" applyFont="1" applyFill="1" applyBorder="1"/>
    <xf numFmtId="41" fontId="71" fillId="0" borderId="0" xfId="12" applyNumberFormat="1" applyFont="1"/>
    <xf numFmtId="41" fontId="72" fillId="0" borderId="0" xfId="13" applyNumberFormat="1" applyFont="1" applyAlignment="1">
      <alignment horizontal="center"/>
    </xf>
    <xf numFmtId="41" fontId="71" fillId="0" borderId="0" xfId="13" applyNumberFormat="1" applyFont="1" applyAlignment="1">
      <alignment horizontal="center"/>
    </xf>
    <xf numFmtId="2" fontId="72" fillId="0" borderId="0" xfId="4" applyNumberFormat="1" applyFont="1" applyFill="1" applyAlignment="1" applyProtection="1">
      <alignment horizontal="center"/>
    </xf>
    <xf numFmtId="5" fontId="71" fillId="0" borderId="0" xfId="10" applyNumberFormat="1" applyFont="1"/>
    <xf numFmtId="41" fontId="71" fillId="0" borderId="10" xfId="12" applyNumberFormat="1" applyFont="1" applyBorder="1"/>
    <xf numFmtId="5" fontId="71" fillId="0" borderId="13" xfId="12" applyNumberFormat="1" applyFont="1" applyBorder="1"/>
    <xf numFmtId="5" fontId="71" fillId="0" borderId="0" xfId="12" applyNumberFormat="1" applyFont="1"/>
    <xf numFmtId="41" fontId="71" fillId="0" borderId="3" xfId="12" applyNumberFormat="1" applyFont="1" applyBorder="1"/>
    <xf numFmtId="41" fontId="71" fillId="0" borderId="0" xfId="14" applyNumberFormat="1" applyFont="1" applyFill="1"/>
    <xf numFmtId="41" fontId="71" fillId="0" borderId="12" xfId="12" applyNumberFormat="1" applyFont="1" applyBorder="1"/>
    <xf numFmtId="41" fontId="72" fillId="0" borderId="0" xfId="12" applyNumberFormat="1" applyFont="1"/>
    <xf numFmtId="41" fontId="72" fillId="0" borderId="0" xfId="12" applyNumberFormat="1" applyFont="1" applyAlignment="1">
      <alignment horizontal="center" wrapText="1"/>
    </xf>
    <xf numFmtId="41" fontId="72" fillId="0" borderId="0" xfId="12" applyNumberFormat="1" applyFont="1" applyAlignment="1">
      <alignment horizontal="center" vertical="center"/>
    </xf>
    <xf numFmtId="41" fontId="73" fillId="0" borderId="0" xfId="12" quotePrefix="1" applyNumberFormat="1" applyFont="1" applyAlignment="1">
      <alignment horizontal="center"/>
    </xf>
    <xf numFmtId="2" fontId="72" fillId="0" borderId="0" xfId="4" applyNumberFormat="1" applyFont="1" applyFill="1" applyBorder="1" applyAlignment="1" applyProtection="1">
      <alignment horizontal="center"/>
    </xf>
    <xf numFmtId="41" fontId="71" fillId="0" borderId="13" xfId="12" applyNumberFormat="1" applyFont="1" applyBorder="1"/>
    <xf numFmtId="41" fontId="72" fillId="0" borderId="0" xfId="12" applyNumberFormat="1" applyFont="1" applyAlignment="1">
      <alignment horizontal="right"/>
    </xf>
    <xf numFmtId="41" fontId="72" fillId="0" borderId="0" xfId="12" applyNumberFormat="1" applyFont="1" applyAlignment="1">
      <alignment horizontal="center"/>
    </xf>
    <xf numFmtId="3" fontId="71" fillId="0" borderId="0" xfId="13" applyNumberFormat="1" applyFont="1" applyAlignment="1">
      <alignment horizontal="center"/>
    </xf>
    <xf numFmtId="41" fontId="74" fillId="0" borderId="0" xfId="12" applyNumberFormat="1" applyFont="1"/>
    <xf numFmtId="3" fontId="72" fillId="0" borderId="0" xfId="13" applyNumberFormat="1" applyFont="1" applyAlignment="1">
      <alignment vertical="center"/>
    </xf>
    <xf numFmtId="41" fontId="72" fillId="0" borderId="0" xfId="12" applyNumberFormat="1" applyFont="1" applyAlignment="1">
      <alignment vertical="center" wrapText="1"/>
    </xf>
    <xf numFmtId="3" fontId="72" fillId="0" borderId="0" xfId="13" applyNumberFormat="1" applyFont="1" applyAlignment="1">
      <alignment horizontal="center"/>
    </xf>
    <xf numFmtId="41" fontId="71" fillId="0" borderId="0" xfId="12" applyNumberFormat="1" applyFont="1" applyAlignment="1">
      <alignment horizontal="center"/>
    </xf>
    <xf numFmtId="41" fontId="72" fillId="0" borderId="0" xfId="12" applyNumberFormat="1" applyFont="1" applyAlignment="1">
      <alignment wrapText="1"/>
    </xf>
    <xf numFmtId="41" fontId="71" fillId="0" borderId="0" xfId="12" applyNumberFormat="1" applyFont="1" applyAlignment="1">
      <alignment vertical="top"/>
    </xf>
    <xf numFmtId="41" fontId="71" fillId="0" borderId="0" xfId="12" applyNumberFormat="1" applyFont="1" applyAlignment="1">
      <alignment horizontal="right"/>
    </xf>
    <xf numFmtId="41" fontId="75" fillId="0" borderId="0" xfId="12" applyNumberFormat="1" applyFont="1" applyAlignment="1">
      <alignment vertical="top"/>
    </xf>
    <xf numFmtId="41" fontId="13" fillId="0" borderId="6" xfId="12" applyNumberFormat="1" applyFont="1" applyBorder="1" applyAlignment="1">
      <alignment vertical="top" wrapText="1"/>
    </xf>
    <xf numFmtId="41" fontId="13" fillId="0" borderId="9" xfId="13" applyNumberFormat="1" applyFont="1" applyBorder="1" applyAlignment="1">
      <alignment horizontal="center"/>
    </xf>
    <xf numFmtId="41" fontId="13" fillId="0" borderId="0" xfId="12" applyNumberFormat="1" applyFont="1" applyAlignment="1">
      <alignment vertical="top"/>
    </xf>
    <xf numFmtId="2" fontId="14" fillId="0" borderId="0" xfId="4" applyNumberFormat="1" applyFont="1" applyFill="1" applyAlignment="1" applyProtection="1">
      <alignment horizontal="right"/>
    </xf>
    <xf numFmtId="41" fontId="76" fillId="0" borderId="0" xfId="12" applyNumberFormat="1" applyFont="1"/>
    <xf numFmtId="3" fontId="14" fillId="0" borderId="10" xfId="13" applyNumberFormat="1" applyFont="1" applyBorder="1" applyAlignment="1">
      <alignment horizontal="center"/>
    </xf>
    <xf numFmtId="41" fontId="14" fillId="0" borderId="0" xfId="12" applyNumberFormat="1" applyFont="1" applyAlignment="1">
      <alignment vertical="top" wrapText="1"/>
    </xf>
    <xf numFmtId="6" fontId="13" fillId="0" borderId="10" xfId="12" applyNumberFormat="1" applyFont="1" applyBorder="1"/>
    <xf numFmtId="41" fontId="14" fillId="0" borderId="0" xfId="12" applyNumberFormat="1" applyFont="1" applyAlignment="1">
      <alignment horizontal="right"/>
    </xf>
    <xf numFmtId="41" fontId="18" fillId="0" borderId="0" xfId="12" applyNumberFormat="1" applyFont="1" applyAlignment="1">
      <alignment vertical="top"/>
    </xf>
    <xf numFmtId="41" fontId="77" fillId="0" borderId="0" xfId="12" quotePrefix="1" applyNumberFormat="1" applyFont="1" applyAlignment="1">
      <alignment horizontal="center"/>
    </xf>
    <xf numFmtId="168" fontId="13" fillId="0" borderId="0" xfId="1" applyNumberFormat="1" applyFont="1" applyFill="1" applyBorder="1"/>
    <xf numFmtId="41" fontId="14" fillId="7" borderId="5" xfId="12" applyNumberFormat="1" applyFont="1" applyFill="1" applyBorder="1"/>
    <xf numFmtId="5" fontId="14" fillId="7" borderId="5" xfId="12" applyNumberFormat="1" applyFont="1" applyFill="1" applyBorder="1"/>
    <xf numFmtId="41" fontId="14" fillId="7" borderId="8" xfId="12" applyNumberFormat="1" applyFont="1" applyFill="1" applyBorder="1"/>
    <xf numFmtId="37" fontId="14" fillId="0" borderId="0" xfId="12" applyNumberFormat="1" applyFont="1"/>
    <xf numFmtId="1" fontId="14" fillId="0" borderId="0" xfId="9" applyNumberFormat="1" applyFont="1" applyAlignment="1">
      <alignment horizontal="center"/>
    </xf>
    <xf numFmtId="5" fontId="13" fillId="0" borderId="16" xfId="12" applyNumberFormat="1" applyFont="1" applyBorder="1"/>
    <xf numFmtId="2" fontId="14" fillId="7" borderId="5" xfId="4" applyNumberFormat="1" applyFont="1" applyFill="1" applyBorder="1" applyAlignment="1" applyProtection="1">
      <alignment horizontal="center"/>
    </xf>
    <xf numFmtId="41" fontId="14" fillId="7" borderId="35" xfId="12" applyNumberFormat="1" applyFont="1" applyFill="1" applyBorder="1"/>
    <xf numFmtId="37" fontId="14" fillId="7" borderId="5" xfId="12" applyNumberFormat="1" applyFont="1" applyFill="1" applyBorder="1"/>
    <xf numFmtId="37" fontId="14" fillId="7" borderId="8" xfId="12" applyNumberFormat="1" applyFont="1" applyFill="1" applyBorder="1"/>
    <xf numFmtId="37" fontId="14" fillId="7" borderId="1" xfId="12" applyNumberFormat="1" applyFont="1" applyFill="1" applyBorder="1"/>
    <xf numFmtId="5" fontId="14" fillId="7" borderId="35" xfId="12" applyNumberFormat="1" applyFont="1" applyFill="1" applyBorder="1"/>
    <xf numFmtId="41" fontId="14" fillId="0" borderId="0" xfId="13" applyNumberFormat="1" applyFont="1" applyAlignment="1">
      <alignment wrapText="1"/>
    </xf>
    <xf numFmtId="3" fontId="15" fillId="0" borderId="0" xfId="13" applyNumberFormat="1" applyFont="1" applyAlignment="1">
      <alignment horizontal="center"/>
    </xf>
    <xf numFmtId="41" fontId="77" fillId="0" borderId="0" xfId="12" quotePrefix="1" applyNumberFormat="1" applyFont="1" applyAlignment="1">
      <alignment wrapText="1"/>
    </xf>
    <xf numFmtId="10" fontId="35" fillId="0" borderId="10" xfId="14" applyNumberFormat="1" applyFont="1" applyFill="1" applyBorder="1"/>
    <xf numFmtId="41" fontId="13" fillId="0" borderId="0" xfId="12" applyNumberFormat="1" applyFont="1" applyAlignment="1">
      <alignment horizontal="center"/>
    </xf>
    <xf numFmtId="43" fontId="17" fillId="0" borderId="0" xfId="1" applyFont="1" applyAlignment="1">
      <alignment horizontal="center" vertical="center"/>
    </xf>
    <xf numFmtId="4" fontId="17" fillId="0" borderId="0" xfId="11" applyNumberFormat="1" applyFont="1" applyAlignment="1">
      <alignment horizontal="center" vertical="center"/>
    </xf>
    <xf numFmtId="4" fontId="33" fillId="0" borderId="0" xfId="11" applyNumberFormat="1" applyFont="1" applyAlignment="1">
      <alignment horizontal="center" vertical="center"/>
    </xf>
    <xf numFmtId="4" fontId="18" fillId="0" borderId="0" xfId="11" applyNumberFormat="1" applyFont="1" applyAlignment="1">
      <alignment horizontal="center" vertical="center"/>
    </xf>
    <xf numFmtId="4" fontId="27" fillId="0" borderId="0" xfId="11" applyNumberFormat="1" applyFont="1" applyAlignment="1">
      <alignment horizontal="center" vertical="center"/>
    </xf>
    <xf numFmtId="41" fontId="17" fillId="0" borderId="10" xfId="0" applyNumberFormat="1" applyFont="1" applyBorder="1" applyAlignment="1">
      <alignment horizontal="center" wrapText="1"/>
    </xf>
    <xf numFmtId="166" fontId="13" fillId="0" borderId="0" xfId="0" applyNumberFormat="1" applyFont="1" applyAlignment="1">
      <alignment horizontal="left"/>
    </xf>
    <xf numFmtId="173" fontId="17" fillId="0" borderId="0" xfId="2" applyNumberFormat="1" applyFont="1" applyFill="1"/>
    <xf numFmtId="173" fontId="17" fillId="0" borderId="12" xfId="2" applyNumberFormat="1" applyFont="1" applyFill="1" applyBorder="1"/>
    <xf numFmtId="173" fontId="17" fillId="0" borderId="16" xfId="2" applyNumberFormat="1" applyFont="1" applyBorder="1"/>
    <xf numFmtId="173" fontId="17" fillId="0" borderId="41" xfId="2" applyNumberFormat="1" applyFont="1" applyFill="1" applyBorder="1"/>
    <xf numFmtId="10" fontId="17" fillId="0" borderId="10" xfId="0" applyNumberFormat="1" applyFont="1" applyBorder="1" applyAlignment="1">
      <alignment horizontal="center"/>
    </xf>
    <xf numFmtId="10" fontId="18" fillId="0" borderId="39" xfId="0" applyNumberFormat="1" applyFont="1" applyBorder="1" applyAlignment="1">
      <alignment horizontal="left"/>
    </xf>
    <xf numFmtId="6" fontId="17" fillId="0" borderId="16" xfId="0" applyNumberFormat="1" applyFont="1" applyBorder="1"/>
    <xf numFmtId="2" fontId="17" fillId="0" borderId="0" xfId="0" applyNumberFormat="1" applyFont="1"/>
    <xf numFmtId="168" fontId="20" fillId="0" borderId="0" xfId="0" applyNumberFormat="1" applyFont="1"/>
    <xf numFmtId="41" fontId="13" fillId="0" borderId="9" xfId="12" applyNumberFormat="1" applyFont="1" applyBorder="1"/>
    <xf numFmtId="41" fontId="13" fillId="0" borderId="6" xfId="12" applyNumberFormat="1" applyFont="1" applyBorder="1"/>
    <xf numFmtId="14" fontId="50" fillId="7" borderId="10" xfId="0" quotePrefix="1" applyNumberFormat="1" applyFont="1" applyFill="1" applyBorder="1" applyAlignment="1">
      <alignment horizontal="center"/>
    </xf>
    <xf numFmtId="14" fontId="35" fillId="0" borderId="10" xfId="0" quotePrefix="1" applyNumberFormat="1" applyFont="1" applyBorder="1" applyAlignment="1">
      <alignment horizontal="center"/>
    </xf>
    <xf numFmtId="0" fontId="19" fillId="0" borderId="0" xfId="0" applyFont="1" applyAlignment="1">
      <alignment horizontal="center"/>
    </xf>
    <xf numFmtId="3" fontId="14" fillId="0" borderId="5" xfId="13" applyNumberFormat="1" applyFont="1" applyBorder="1" applyAlignment="1">
      <alignment horizontal="center"/>
    </xf>
    <xf numFmtId="3" fontId="70" fillId="0" borderId="5" xfId="13" applyNumberFormat="1" applyFont="1" applyBorder="1" applyAlignment="1">
      <alignment horizontal="center"/>
    </xf>
    <xf numFmtId="0" fontId="13" fillId="0" borderId="8" xfId="12" applyFont="1" applyBorder="1" applyAlignment="1">
      <alignment horizontal="center"/>
    </xf>
    <xf numFmtId="172" fontId="39" fillId="5" borderId="0" xfId="0" applyNumberFormat="1" applyFont="1" applyFill="1" applyAlignment="1">
      <alignment horizontal="left"/>
    </xf>
    <xf numFmtId="3" fontId="39" fillId="5" borderId="0" xfId="0" applyNumberFormat="1" applyFont="1" applyFill="1"/>
    <xf numFmtId="0" fontId="39" fillId="5" borderId="0" xfId="0" applyFont="1" applyFill="1"/>
    <xf numFmtId="3" fontId="13" fillId="5" borderId="0" xfId="6" applyNumberFormat="1" applyFont="1" applyFill="1"/>
    <xf numFmtId="3" fontId="15" fillId="0" borderId="0" xfId="6" applyNumberFormat="1" applyFont="1" applyAlignment="1">
      <alignment horizontal="center"/>
    </xf>
    <xf numFmtId="4" fontId="17" fillId="0" borderId="0" xfId="11" applyNumberFormat="1" applyFont="1" applyAlignment="1">
      <alignment horizontal="center"/>
    </xf>
    <xf numFmtId="168" fontId="55" fillId="0" borderId="10" xfId="1" applyNumberFormat="1" applyFont="1" applyFill="1" applyBorder="1"/>
    <xf numFmtId="43" fontId="17" fillId="0" borderId="0" xfId="1" applyFont="1" applyAlignment="1">
      <alignment horizontal="right" vertical="center"/>
    </xf>
    <xf numFmtId="168" fontId="41" fillId="0" borderId="0" xfId="1" applyNumberFormat="1" applyFont="1" applyFill="1"/>
    <xf numFmtId="3" fontId="41" fillId="0" borderId="0" xfId="11" applyNumberFormat="1" applyFont="1"/>
    <xf numFmtId="3" fontId="80" fillId="0" borderId="0" xfId="13" applyNumberFormat="1" applyFont="1"/>
    <xf numFmtId="3" fontId="43" fillId="0" borderId="0" xfId="13" applyNumberFormat="1" applyFont="1"/>
    <xf numFmtId="3" fontId="81" fillId="0" borderId="0" xfId="54" applyNumberFormat="1" applyFont="1"/>
    <xf numFmtId="166" fontId="55" fillId="0" borderId="0" xfId="54" applyNumberFormat="1" applyFont="1"/>
    <xf numFmtId="3" fontId="55" fillId="0" borderId="0" xfId="54" applyNumberFormat="1" applyFont="1"/>
    <xf numFmtId="3" fontId="55" fillId="0" borderId="10" xfId="54" applyNumberFormat="1" applyFont="1" applyBorder="1"/>
    <xf numFmtId="166" fontId="82" fillId="0" borderId="0" xfId="54" applyNumberFormat="1" applyFont="1"/>
    <xf numFmtId="10" fontId="83" fillId="0" borderId="0" xfId="54" applyNumberFormat="1" applyFont="1"/>
    <xf numFmtId="3" fontId="13" fillId="0" borderId="0" xfId="13" quotePrefix="1" applyNumberFormat="1" applyFont="1" applyAlignment="1">
      <alignment horizontal="center"/>
    </xf>
    <xf numFmtId="41" fontId="13" fillId="0" borderId="10" xfId="12" applyNumberFormat="1" applyFont="1" applyBorder="1" applyAlignment="1">
      <alignment horizontal="center" vertical="top"/>
    </xf>
    <xf numFmtId="0" fontId="25" fillId="0" borderId="0" xfId="0" applyFont="1" applyAlignment="1">
      <alignment horizontal="right"/>
    </xf>
    <xf numFmtId="41" fontId="78" fillId="0" borderId="0" xfId="12" applyNumberFormat="1" applyFont="1" applyAlignment="1">
      <alignment horizontal="center"/>
    </xf>
    <xf numFmtId="10" fontId="18" fillId="0" borderId="0" xfId="14" applyNumberFormat="1" applyFont="1" applyAlignment="1">
      <alignment vertical="top"/>
    </xf>
    <xf numFmtId="0" fontId="11" fillId="0" borderId="0" xfId="0" applyFont="1" applyAlignment="1">
      <alignment horizontal="center"/>
    </xf>
    <xf numFmtId="41" fontId="72" fillId="0" borderId="10" xfId="12" applyNumberFormat="1" applyFont="1" applyBorder="1" applyAlignment="1">
      <alignment horizontal="center" vertical="top"/>
    </xf>
    <xf numFmtId="7" fontId="17" fillId="0" borderId="0" xfId="0" applyNumberFormat="1" applyFont="1"/>
    <xf numFmtId="173" fontId="53" fillId="0" borderId="0" xfId="2" applyNumberFormat="1" applyFont="1" applyFill="1" applyBorder="1" applyAlignment="1">
      <alignment horizontal="right"/>
    </xf>
    <xf numFmtId="5" fontId="35" fillId="0" borderId="0" xfId="0" applyNumberFormat="1" applyFont="1" applyAlignment="1">
      <alignment horizontal="left"/>
    </xf>
    <xf numFmtId="176" fontId="17" fillId="0" borderId="0" xfId="14" applyNumberFormat="1" applyFont="1" applyFill="1" applyBorder="1" applyAlignment="1">
      <alignment horizontal="right"/>
    </xf>
    <xf numFmtId="10" fontId="17" fillId="0" borderId="0" xfId="14" applyNumberFormat="1" applyFont="1" applyFill="1" applyBorder="1" applyAlignment="1">
      <alignment horizontal="right"/>
    </xf>
    <xf numFmtId="5" fontId="35" fillId="0" borderId="10" xfId="0" applyNumberFormat="1" applyFont="1" applyBorder="1"/>
    <xf numFmtId="5" fontId="35" fillId="0" borderId="16" xfId="0" applyNumberFormat="1" applyFont="1" applyBorder="1"/>
    <xf numFmtId="5" fontId="35" fillId="0" borderId="0" xfId="0" applyNumberFormat="1" applyFont="1" applyAlignment="1">
      <alignment horizontal="right"/>
    </xf>
    <xf numFmtId="5" fontId="35" fillId="0" borderId="10" xfId="0" applyNumberFormat="1" applyFont="1" applyBorder="1" applyAlignment="1">
      <alignment horizontal="right"/>
    </xf>
    <xf numFmtId="7" fontId="35" fillId="0" borderId="0" xfId="0" applyNumberFormat="1" applyFont="1" applyAlignment="1">
      <alignment horizontal="left"/>
    </xf>
    <xf numFmtId="165" fontId="50" fillId="0" borderId="16" xfId="14" applyNumberFormat="1" applyFont="1" applyBorder="1"/>
    <xf numFmtId="165" fontId="50" fillId="0" borderId="16" xfId="14" applyNumberFormat="1" applyFont="1" applyFill="1" applyBorder="1"/>
    <xf numFmtId="5" fontId="0" fillId="0" borderId="0" xfId="0" applyNumberFormat="1"/>
    <xf numFmtId="2" fontId="17" fillId="0" borderId="21" xfId="0" applyNumberFormat="1" applyFont="1" applyBorder="1" applyAlignment="1">
      <alignment horizontal="center"/>
    </xf>
    <xf numFmtId="7" fontId="17" fillId="0" borderId="10" xfId="0" applyNumberFormat="1" applyFont="1" applyBorder="1"/>
    <xf numFmtId="0" fontId="23" fillId="0" borderId="0" xfId="0" applyFont="1"/>
    <xf numFmtId="5" fontId="26" fillId="0" borderId="10" xfId="0" applyNumberFormat="1" applyFont="1" applyBorder="1"/>
    <xf numFmtId="6" fontId="52" fillId="0" borderId="16" xfId="2" applyNumberFormat="1" applyFont="1" applyBorder="1"/>
    <xf numFmtId="6" fontId="52" fillId="0" borderId="16" xfId="0" applyNumberFormat="1" applyFont="1" applyBorder="1"/>
    <xf numFmtId="5" fontId="17" fillId="0" borderId="0" xfId="2" applyNumberFormat="1" applyFont="1" applyFill="1"/>
    <xf numFmtId="0" fontId="84" fillId="0" borderId="0" xfId="0" applyFont="1" applyAlignment="1">
      <alignment horizontal="centerContinuous"/>
    </xf>
    <xf numFmtId="168" fontId="35" fillId="0" borderId="0" xfId="1" applyNumberFormat="1" applyFont="1"/>
    <xf numFmtId="0" fontId="50" fillId="0" borderId="2" xfId="0" applyFont="1" applyBorder="1" applyAlignment="1">
      <alignment horizontal="center"/>
    </xf>
    <xf numFmtId="0" fontId="84" fillId="0" borderId="0" xfId="0" applyFont="1" applyAlignment="1">
      <alignment horizontal="center"/>
    </xf>
    <xf numFmtId="168" fontId="50" fillId="0" borderId="0" xfId="1" applyNumberFormat="1" applyFont="1" applyAlignment="1">
      <alignment horizontal="center"/>
    </xf>
    <xf numFmtId="0" fontId="50" fillId="0" borderId="9" xfId="0" applyFont="1" applyBorder="1" applyAlignment="1">
      <alignment horizontal="center"/>
    </xf>
    <xf numFmtId="0" fontId="84" fillId="0" borderId="10" xfId="0" applyFont="1" applyBorder="1" applyAlignment="1">
      <alignment horizontal="center"/>
    </xf>
    <xf numFmtId="0" fontId="85" fillId="0" borderId="0" xfId="0" applyFont="1"/>
    <xf numFmtId="175" fontId="85" fillId="0" borderId="0" xfId="0" applyNumberFormat="1" applyFont="1"/>
    <xf numFmtId="5" fontId="35" fillId="0" borderId="0" xfId="1" applyNumberFormat="1" applyFont="1"/>
    <xf numFmtId="166" fontId="50" fillId="0" borderId="0" xfId="0" applyNumberFormat="1" applyFont="1"/>
    <xf numFmtId="166" fontId="85" fillId="0" borderId="0" xfId="0" applyNumberFormat="1" applyFont="1"/>
    <xf numFmtId="166" fontId="35" fillId="0" borderId="0" xfId="0" quotePrefix="1" applyNumberFormat="1" applyFont="1" applyAlignment="1">
      <alignment horizontal="right"/>
    </xf>
    <xf numFmtId="0" fontId="85" fillId="0" borderId="0" xfId="0" applyFont="1" applyAlignment="1">
      <alignment horizontal="left"/>
    </xf>
    <xf numFmtId="166" fontId="85" fillId="0" borderId="0" xfId="0" applyNumberFormat="1" applyFont="1" applyAlignment="1">
      <alignment horizontal="left"/>
    </xf>
    <xf numFmtId="166" fontId="85" fillId="0" borderId="12" xfId="0" applyNumberFormat="1" applyFont="1" applyBorder="1"/>
    <xf numFmtId="168" fontId="35" fillId="0" borderId="12" xfId="1" applyNumberFormat="1" applyFont="1" applyBorder="1"/>
    <xf numFmtId="168" fontId="35" fillId="0" borderId="0" xfId="1" applyNumberFormat="1" applyFont="1" applyBorder="1"/>
    <xf numFmtId="10" fontId="86" fillId="0" borderId="0" xfId="0" applyNumberFormat="1" applyFont="1"/>
    <xf numFmtId="166" fontId="85" fillId="0" borderId="10" xfId="0" applyNumberFormat="1" applyFont="1" applyBorder="1"/>
    <xf numFmtId="168" fontId="35" fillId="0" borderId="10" xfId="1" applyNumberFormat="1" applyFont="1" applyBorder="1"/>
    <xf numFmtId="166" fontId="85" fillId="0" borderId="13" xfId="0" applyNumberFormat="1" applyFont="1" applyBorder="1"/>
    <xf numFmtId="168" fontId="35" fillId="0" borderId="13" xfId="1" applyNumberFormat="1" applyFont="1" applyBorder="1"/>
    <xf numFmtId="0" fontId="13" fillId="0" borderId="1" xfId="12" applyFont="1" applyBorder="1" applyAlignment="1">
      <alignment horizontal="center"/>
    </xf>
    <xf numFmtId="0" fontId="13" fillId="0" borderId="2" xfId="12" applyFont="1" applyBorder="1" applyAlignment="1">
      <alignment horizontal="center"/>
    </xf>
    <xf numFmtId="0" fontId="13" fillId="0" borderId="3" xfId="12" applyFont="1" applyBorder="1" applyAlignment="1">
      <alignment horizontal="center"/>
    </xf>
    <xf numFmtId="41" fontId="13" fillId="0" borderId="4" xfId="12" applyNumberFormat="1" applyFont="1" applyBorder="1" applyAlignment="1">
      <alignment horizontal="center"/>
    </xf>
    <xf numFmtId="41" fontId="13" fillId="0" borderId="1" xfId="13" applyNumberFormat="1" applyFont="1" applyBorder="1" applyAlignment="1">
      <alignment horizontal="center"/>
    </xf>
    <xf numFmtId="41" fontId="71" fillId="0" borderId="1" xfId="13" applyNumberFormat="1" applyFont="1" applyBorder="1" applyAlignment="1">
      <alignment horizontal="center"/>
    </xf>
    <xf numFmtId="41" fontId="71" fillId="0" borderId="1" xfId="10" applyNumberFormat="1" applyFont="1" applyBorder="1" applyAlignment="1">
      <alignment horizontal="center"/>
    </xf>
    <xf numFmtId="41" fontId="13" fillId="0" borderId="1" xfId="12" applyNumberFormat="1" applyFont="1" applyBorder="1" applyAlignment="1">
      <alignment horizontal="center"/>
    </xf>
    <xf numFmtId="41" fontId="13" fillId="0" borderId="1" xfId="23" applyNumberFormat="1" applyFont="1" applyBorder="1" applyAlignment="1">
      <alignment horizontal="center"/>
    </xf>
    <xf numFmtId="41" fontId="71" fillId="0" borderId="1" xfId="12" applyNumberFormat="1" applyFont="1" applyBorder="1" applyAlignment="1">
      <alignment horizontal="center"/>
    </xf>
    <xf numFmtId="41" fontId="71" fillId="0" borderId="2" xfId="10" applyNumberFormat="1" applyFont="1" applyBorder="1" applyAlignment="1">
      <alignment horizontal="center"/>
    </xf>
    <xf numFmtId="41" fontId="13" fillId="7" borderId="1" xfId="12" applyNumberFormat="1" applyFont="1" applyFill="1" applyBorder="1" applyAlignment="1">
      <alignment horizontal="center"/>
    </xf>
    <xf numFmtId="41" fontId="13" fillId="0" borderId="3" xfId="10" applyNumberFormat="1" applyFont="1" applyBorder="1" applyAlignment="1">
      <alignment horizontal="center"/>
    </xf>
    <xf numFmtId="41" fontId="13" fillId="0" borderId="2" xfId="10" applyNumberFormat="1" applyFont="1" applyBorder="1" applyAlignment="1">
      <alignment horizontal="center"/>
    </xf>
    <xf numFmtId="3" fontId="13" fillId="0" borderId="1" xfId="13" applyNumberFormat="1" applyFont="1" applyBorder="1" applyAlignment="1">
      <alignment horizontal="center"/>
    </xf>
    <xf numFmtId="3" fontId="13" fillId="0" borderId="1" xfId="123" applyNumberFormat="1" applyFont="1" applyBorder="1" applyAlignment="1">
      <alignment horizontal="center"/>
    </xf>
    <xf numFmtId="41" fontId="13" fillId="7" borderId="1" xfId="12" quotePrefix="1" applyNumberFormat="1" applyFont="1" applyFill="1" applyBorder="1" applyAlignment="1">
      <alignment horizontal="center"/>
    </xf>
    <xf numFmtId="41" fontId="13" fillId="0" borderId="1" xfId="10" applyNumberFormat="1" applyFont="1" applyBorder="1" applyAlignment="1">
      <alignment horizontal="center"/>
    </xf>
    <xf numFmtId="41" fontId="71" fillId="0" borderId="1" xfId="12" quotePrefix="1" applyNumberFormat="1" applyFont="1" applyBorder="1" applyAlignment="1">
      <alignment horizontal="center"/>
    </xf>
    <xf numFmtId="49" fontId="13" fillId="0" borderId="1" xfId="123" applyNumberFormat="1" applyFont="1" applyBorder="1" applyAlignment="1">
      <alignment horizontal="center"/>
    </xf>
    <xf numFmtId="41" fontId="13" fillId="5" borderId="1" xfId="12" quotePrefix="1" applyNumberFormat="1" applyFont="1" applyFill="1" applyBorder="1" applyAlignment="1">
      <alignment horizontal="center"/>
    </xf>
    <xf numFmtId="0" fontId="13" fillId="0" borderId="5" xfId="12" applyFont="1" applyBorder="1" applyAlignment="1">
      <alignment horizontal="center"/>
    </xf>
    <xf numFmtId="0" fontId="13" fillId="0" borderId="6" xfId="12" applyFont="1" applyBorder="1" applyAlignment="1">
      <alignment horizontal="center"/>
    </xf>
    <xf numFmtId="41" fontId="13" fillId="0" borderId="5" xfId="12" applyNumberFormat="1" applyFont="1" applyBorder="1" applyAlignment="1">
      <alignment horizontal="center"/>
    </xf>
    <xf numFmtId="41" fontId="13" fillId="0" borderId="7" xfId="12" applyNumberFormat="1" applyFont="1" applyBorder="1" applyAlignment="1">
      <alignment horizontal="center"/>
    </xf>
    <xf numFmtId="41" fontId="13" fillId="0" borderId="5" xfId="13" applyNumberFormat="1" applyFont="1" applyBorder="1" applyAlignment="1">
      <alignment horizontal="center"/>
    </xf>
    <xf numFmtId="41" fontId="71" fillId="0" borderId="5" xfId="13" applyNumberFormat="1" applyFont="1" applyBorder="1" applyAlignment="1">
      <alignment horizontal="center"/>
    </xf>
    <xf numFmtId="41" fontId="71" fillId="0" borderId="5" xfId="12" applyNumberFormat="1" applyFont="1" applyBorder="1" applyAlignment="1">
      <alignment horizontal="center"/>
    </xf>
    <xf numFmtId="41" fontId="13" fillId="0" borderId="5" xfId="23" quotePrefix="1" applyNumberFormat="1" applyFont="1" applyBorder="1" applyAlignment="1">
      <alignment horizontal="center"/>
    </xf>
    <xf numFmtId="41" fontId="71" fillId="0" borderId="6" xfId="10" applyNumberFormat="1" applyFont="1" applyBorder="1" applyAlignment="1">
      <alignment horizontal="center"/>
    </xf>
    <xf numFmtId="41" fontId="13" fillId="0" borderId="5" xfId="123" applyNumberFormat="1" applyFont="1" applyBorder="1" applyAlignment="1">
      <alignment horizontal="center"/>
    </xf>
    <xf numFmtId="41" fontId="13" fillId="7" borderId="5" xfId="12" applyNumberFormat="1" applyFont="1" applyFill="1" applyBorder="1" applyAlignment="1">
      <alignment horizontal="center"/>
    </xf>
    <xf numFmtId="41" fontId="13" fillId="0" borderId="6" xfId="12" applyNumberFormat="1" applyFont="1" applyBorder="1" applyAlignment="1">
      <alignment horizontal="center"/>
    </xf>
    <xf numFmtId="3" fontId="13" fillId="0" borderId="5" xfId="13" applyNumberFormat="1" applyFont="1" applyBorder="1" applyAlignment="1">
      <alignment horizontal="center"/>
    </xf>
    <xf numFmtId="41" fontId="13" fillId="0" borderId="0" xfId="10" applyNumberFormat="1" applyFont="1" applyAlignment="1">
      <alignment horizontal="center"/>
    </xf>
    <xf numFmtId="41" fontId="13" fillId="5" borderId="5" xfId="12" applyNumberFormat="1" applyFont="1" applyFill="1" applyBorder="1" applyAlignment="1">
      <alignment horizontal="center"/>
    </xf>
    <xf numFmtId="0" fontId="13" fillId="0" borderId="9" xfId="12" applyFont="1" applyBorder="1" applyAlignment="1">
      <alignment horizontal="center"/>
    </xf>
    <xf numFmtId="0" fontId="13" fillId="0" borderId="10" xfId="12" applyFont="1" applyBorder="1" applyAlignment="1">
      <alignment horizontal="center"/>
    </xf>
    <xf numFmtId="41" fontId="13" fillId="0" borderId="8" xfId="12" applyNumberFormat="1" applyFont="1" applyBorder="1" applyAlignment="1">
      <alignment horizontal="center"/>
    </xf>
    <xf numFmtId="41" fontId="13" fillId="0" borderId="11" xfId="12" applyNumberFormat="1" applyFont="1" applyBorder="1" applyAlignment="1">
      <alignment horizontal="center"/>
    </xf>
    <xf numFmtId="41" fontId="13" fillId="0" borderId="8" xfId="13" applyNumberFormat="1" applyFont="1" applyBorder="1" applyAlignment="1">
      <alignment horizontal="center"/>
    </xf>
    <xf numFmtId="41" fontId="71" fillId="0" borderId="8" xfId="13" applyNumberFormat="1" applyFont="1" applyBorder="1" applyAlignment="1">
      <alignment horizontal="center"/>
    </xf>
    <xf numFmtId="41" fontId="71" fillId="0" borderId="8" xfId="12" applyNumberFormat="1" applyFont="1" applyBorder="1" applyAlignment="1">
      <alignment horizontal="center"/>
    </xf>
    <xf numFmtId="41" fontId="13" fillId="0" borderId="8" xfId="23" applyNumberFormat="1" applyFont="1" applyBorder="1" applyAlignment="1">
      <alignment horizontal="center"/>
    </xf>
    <xf numFmtId="41" fontId="71" fillId="0" borderId="9" xfId="12" applyNumberFormat="1" applyFont="1" applyBorder="1" applyAlignment="1">
      <alignment horizontal="center"/>
    </xf>
    <xf numFmtId="41" fontId="13" fillId="0" borderId="8" xfId="123" applyNumberFormat="1" applyFont="1" applyBorder="1" applyAlignment="1">
      <alignment horizontal="center"/>
    </xf>
    <xf numFmtId="41" fontId="13" fillId="7" borderId="8" xfId="12" applyNumberFormat="1" applyFont="1" applyFill="1" applyBorder="1" applyAlignment="1">
      <alignment horizontal="center"/>
    </xf>
    <xf numFmtId="41" fontId="13" fillId="0" borderId="10" xfId="12" applyNumberFormat="1" applyFont="1" applyBorder="1" applyAlignment="1">
      <alignment horizontal="center"/>
    </xf>
    <xf numFmtId="41" fontId="13" fillId="0" borderId="9" xfId="12" applyNumberFormat="1" applyFont="1" applyBorder="1" applyAlignment="1">
      <alignment horizontal="center"/>
    </xf>
    <xf numFmtId="3" fontId="13" fillId="0" borderId="8" xfId="13" applyNumberFormat="1" applyFont="1" applyBorder="1" applyAlignment="1">
      <alignment horizontal="center"/>
    </xf>
    <xf numFmtId="41" fontId="13" fillId="5" borderId="8" xfId="12" applyNumberFormat="1" applyFont="1" applyFill="1" applyBorder="1" applyAlignment="1">
      <alignment horizontal="center"/>
    </xf>
    <xf numFmtId="2" fontId="13" fillId="0" borderId="0" xfId="12" applyNumberFormat="1" applyFont="1" applyAlignment="1">
      <alignment horizontal="center"/>
    </xf>
    <xf numFmtId="2" fontId="13" fillId="0" borderId="0" xfId="4" applyNumberFormat="1" applyFont="1" applyAlignment="1" applyProtection="1">
      <alignment horizontal="center"/>
    </xf>
    <xf numFmtId="2" fontId="13" fillId="0" borderId="0" xfId="4" applyNumberFormat="1" applyFont="1" applyFill="1" applyAlignment="1" applyProtection="1">
      <alignment horizontal="center"/>
    </xf>
    <xf numFmtId="2" fontId="71" fillId="0" borderId="0" xfId="4" applyNumberFormat="1" applyFont="1" applyFill="1" applyAlignment="1" applyProtection="1">
      <alignment horizontal="center"/>
    </xf>
    <xf numFmtId="2" fontId="13" fillId="7" borderId="5" xfId="4" applyNumberFormat="1" applyFont="1" applyFill="1" applyBorder="1" applyAlignment="1" applyProtection="1">
      <alignment horizontal="center"/>
    </xf>
    <xf numFmtId="2" fontId="13" fillId="7" borderId="6" xfId="12" applyNumberFormat="1" applyFont="1" applyFill="1" applyBorder="1" applyAlignment="1">
      <alignment horizontal="center"/>
    </xf>
    <xf numFmtId="2" fontId="13" fillId="7" borderId="5" xfId="12" applyNumberFormat="1" applyFont="1" applyFill="1" applyBorder="1" applyAlignment="1">
      <alignment horizontal="center"/>
    </xf>
    <xf numFmtId="2" fontId="13" fillId="5" borderId="0" xfId="12" applyNumberFormat="1" applyFont="1" applyFill="1" applyAlignment="1">
      <alignment horizontal="center"/>
    </xf>
    <xf numFmtId="2" fontId="71" fillId="0" borderId="0" xfId="4" applyNumberFormat="1" applyFont="1" applyFill="1" applyBorder="1" applyAlignment="1" applyProtection="1">
      <alignment horizontal="center"/>
    </xf>
    <xf numFmtId="2" fontId="13" fillId="0" borderId="0" xfId="4" applyNumberFormat="1" applyFont="1" applyFill="1" applyBorder="1" applyAlignment="1" applyProtection="1">
      <alignment horizontal="center"/>
    </xf>
    <xf numFmtId="41" fontId="18" fillId="4" borderId="10" xfId="0" applyNumberFormat="1" applyFont="1" applyFill="1" applyBorder="1" applyAlignment="1">
      <alignment horizontal="center"/>
    </xf>
    <xf numFmtId="41" fontId="0" fillId="0" borderId="0" xfId="0" applyNumberFormat="1"/>
    <xf numFmtId="0" fontId="17" fillId="4" borderId="10" xfId="0" applyFont="1" applyFill="1" applyBorder="1"/>
    <xf numFmtId="0" fontId="18" fillId="0" borderId="0" xfId="533" applyFont="1"/>
    <xf numFmtId="0" fontId="17" fillId="0" borderId="0" xfId="533" applyFont="1"/>
    <xf numFmtId="0" fontId="23" fillId="0" borderId="0" xfId="533" applyFont="1"/>
    <xf numFmtId="0" fontId="17" fillId="0" borderId="0" xfId="533" applyFont="1" applyAlignment="1">
      <alignment horizontal="center"/>
    </xf>
    <xf numFmtId="0" fontId="23" fillId="0" borderId="6" xfId="533" applyFont="1" applyBorder="1"/>
    <xf numFmtId="0" fontId="87" fillId="0" borderId="0" xfId="533" applyFont="1"/>
    <xf numFmtId="0" fontId="17" fillId="0" borderId="10" xfId="533" applyFont="1" applyBorder="1"/>
    <xf numFmtId="0" fontId="27" fillId="0" borderId="10" xfId="533" applyFont="1" applyBorder="1"/>
    <xf numFmtId="0" fontId="18" fillId="0" borderId="10" xfId="533" applyFont="1" applyBorder="1"/>
    <xf numFmtId="0" fontId="19" fillId="0" borderId="10" xfId="533" applyFont="1" applyBorder="1" applyAlignment="1">
      <alignment horizontal="center"/>
    </xf>
    <xf numFmtId="0" fontId="87" fillId="0" borderId="10" xfId="533" applyFont="1" applyBorder="1"/>
    <xf numFmtId="0" fontId="23" fillId="0" borderId="10" xfId="533" applyFont="1" applyBorder="1"/>
    <xf numFmtId="0" fontId="18" fillId="0" borderId="0" xfId="533" applyFont="1" applyAlignment="1">
      <alignment horizontal="center"/>
    </xf>
    <xf numFmtId="167" fontId="17" fillId="0" borderId="0" xfId="533" applyNumberFormat="1" applyFont="1"/>
    <xf numFmtId="0" fontId="18" fillId="0" borderId="10" xfId="533" applyFont="1" applyBorder="1" applyAlignment="1">
      <alignment horizontal="center"/>
    </xf>
    <xf numFmtId="0" fontId="17" fillId="0" borderId="10" xfId="533" applyFont="1" applyBorder="1" applyAlignment="1">
      <alignment horizontal="center"/>
    </xf>
    <xf numFmtId="9" fontId="17" fillId="0" borderId="0" xfId="533" applyNumberFormat="1" applyFont="1"/>
    <xf numFmtId="41" fontId="18" fillId="0" borderId="0" xfId="533" applyNumberFormat="1" applyFont="1"/>
    <xf numFmtId="41" fontId="17" fillId="0" borderId="0" xfId="533" applyNumberFormat="1" applyFont="1"/>
    <xf numFmtId="5" fontId="18" fillId="0" borderId="0" xfId="533" applyNumberFormat="1" applyFont="1"/>
    <xf numFmtId="2" fontId="17" fillId="0" borderId="0" xfId="533" applyNumberFormat="1" applyFont="1"/>
    <xf numFmtId="41" fontId="23" fillId="0" borderId="0" xfId="533" applyNumberFormat="1" applyFont="1"/>
    <xf numFmtId="0" fontId="17" fillId="4" borderId="2" xfId="533" applyFont="1" applyFill="1" applyBorder="1" applyAlignment="1">
      <alignment horizontal="center"/>
    </xf>
    <xf numFmtId="0" fontId="17" fillId="4" borderId="3" xfId="533" applyFont="1" applyFill="1" applyBorder="1" applyAlignment="1">
      <alignment horizontal="center"/>
    </xf>
    <xf numFmtId="0" fontId="17" fillId="4" borderId="4" xfId="533" applyFont="1" applyFill="1" applyBorder="1" applyAlignment="1">
      <alignment horizontal="center"/>
    </xf>
    <xf numFmtId="2" fontId="17" fillId="0" borderId="0" xfId="533" quotePrefix="1" applyNumberFormat="1" applyFont="1"/>
    <xf numFmtId="0" fontId="17" fillId="4" borderId="10" xfId="533" applyFont="1" applyFill="1" applyBorder="1" applyAlignment="1">
      <alignment horizontal="center"/>
    </xf>
    <xf numFmtId="0" fontId="17" fillId="4" borderId="11" xfId="533" applyFont="1" applyFill="1" applyBorder="1" applyAlignment="1">
      <alignment horizontal="center"/>
    </xf>
    <xf numFmtId="0" fontId="17" fillId="4" borderId="6" xfId="533" applyFont="1" applyFill="1" applyBorder="1"/>
    <xf numFmtId="10" fontId="17" fillId="4" borderId="0" xfId="533" applyNumberFormat="1" applyFont="1" applyFill="1"/>
    <xf numFmtId="10" fontId="17" fillId="4" borderId="7" xfId="534" applyNumberFormat="1" applyFont="1" applyFill="1" applyBorder="1"/>
    <xf numFmtId="10" fontId="17" fillId="4" borderId="10" xfId="533" applyNumberFormat="1" applyFont="1" applyFill="1" applyBorder="1"/>
    <xf numFmtId="0" fontId="17" fillId="4" borderId="9" xfId="533" applyFont="1" applyFill="1" applyBorder="1"/>
    <xf numFmtId="0" fontId="17" fillId="4" borderId="10" xfId="533" applyFont="1" applyFill="1" applyBorder="1"/>
    <xf numFmtId="10" fontId="17" fillId="4" borderId="15" xfId="534" applyNumberFormat="1" applyFont="1" applyFill="1" applyBorder="1"/>
    <xf numFmtId="0" fontId="88" fillId="0" borderId="0" xfId="533" applyFont="1"/>
    <xf numFmtId="0" fontId="17" fillId="0" borderId="0" xfId="533" applyFont="1" applyAlignment="1">
      <alignment horizontal="right"/>
    </xf>
    <xf numFmtId="0" fontId="89" fillId="0" borderId="0" xfId="533" applyFont="1"/>
    <xf numFmtId="0" fontId="90" fillId="0" borderId="0" xfId="533" applyFont="1"/>
    <xf numFmtId="41" fontId="89" fillId="0" borderId="0" xfId="533" applyNumberFormat="1" applyFont="1"/>
    <xf numFmtId="0" fontId="89" fillId="0" borderId="0" xfId="533" applyFont="1" applyAlignment="1">
      <alignment horizontal="center"/>
    </xf>
    <xf numFmtId="41" fontId="90" fillId="0" borderId="0" xfId="533" applyNumberFormat="1" applyFont="1"/>
    <xf numFmtId="41" fontId="18" fillId="0" borderId="3" xfId="533" applyNumberFormat="1" applyFont="1" applyBorder="1"/>
    <xf numFmtId="41" fontId="17" fillId="0" borderId="3" xfId="533" applyNumberFormat="1" applyFont="1" applyBorder="1"/>
    <xf numFmtId="41" fontId="18" fillId="0" borderId="13" xfId="533" applyNumberFormat="1" applyFont="1" applyBorder="1"/>
    <xf numFmtId="0" fontId="52" fillId="0" borderId="0" xfId="533" applyFont="1"/>
    <xf numFmtId="41" fontId="17" fillId="0" borderId="0" xfId="533" applyNumberFormat="1" applyFont="1" applyAlignment="1">
      <alignment horizontal="right"/>
    </xf>
    <xf numFmtId="41" fontId="88" fillId="0" borderId="0" xfId="533" applyNumberFormat="1" applyFont="1"/>
    <xf numFmtId="2" fontId="23" fillId="0" borderId="0" xfId="533" applyNumberFormat="1" applyFont="1"/>
    <xf numFmtId="41" fontId="88" fillId="0" borderId="3" xfId="533" applyNumberFormat="1" applyFont="1" applyBorder="1"/>
    <xf numFmtId="41" fontId="23" fillId="0" borderId="3" xfId="533" applyNumberFormat="1" applyFont="1" applyBorder="1"/>
    <xf numFmtId="0" fontId="17" fillId="4" borderId="9" xfId="533" applyFont="1" applyFill="1" applyBorder="1" applyAlignment="1">
      <alignment horizontal="center"/>
    </xf>
    <xf numFmtId="41" fontId="88" fillId="0" borderId="16" xfId="533" applyNumberFormat="1" applyFont="1" applyBorder="1"/>
    <xf numFmtId="7" fontId="17" fillId="0" borderId="0" xfId="533" applyNumberFormat="1" applyFont="1"/>
    <xf numFmtId="0" fontId="17" fillId="4" borderId="0" xfId="0" applyFont="1" applyFill="1"/>
    <xf numFmtId="41" fontId="18" fillId="4" borderId="0" xfId="0" applyNumberFormat="1" applyFont="1" applyFill="1" applyAlignment="1">
      <alignment horizontal="center"/>
    </xf>
    <xf numFmtId="0" fontId="17" fillId="4" borderId="0" xfId="0" applyFont="1" applyFill="1" applyAlignment="1">
      <alignment horizontal="center"/>
    </xf>
    <xf numFmtId="0" fontId="18" fillId="4" borderId="0" xfId="0" applyFont="1" applyFill="1"/>
    <xf numFmtId="5" fontId="18" fillId="4" borderId="0" xfId="0" applyNumberFormat="1" applyFont="1" applyFill="1"/>
    <xf numFmtId="41" fontId="18" fillId="4" borderId="0" xfId="0" applyNumberFormat="1" applyFont="1" applyFill="1"/>
    <xf numFmtId="41" fontId="17" fillId="4" borderId="0" xfId="0" applyNumberFormat="1" applyFont="1" applyFill="1"/>
    <xf numFmtId="0" fontId="18" fillId="4" borderId="0" xfId="0" applyFont="1" applyFill="1" applyAlignment="1">
      <alignment horizontal="left"/>
    </xf>
    <xf numFmtId="0" fontId="17" fillId="4" borderId="42" xfId="0" applyFont="1" applyFill="1" applyBorder="1"/>
    <xf numFmtId="0" fontId="0" fillId="4" borderId="2" xfId="0" applyFill="1" applyBorder="1"/>
    <xf numFmtId="0" fontId="0" fillId="4" borderId="3" xfId="0" applyFill="1" applyBorder="1"/>
    <xf numFmtId="0" fontId="0" fillId="4" borderId="44" xfId="0" applyFill="1" applyBorder="1"/>
    <xf numFmtId="0" fontId="0" fillId="4" borderId="6" xfId="0" applyFill="1" applyBorder="1"/>
    <xf numFmtId="0" fontId="0" fillId="4" borderId="9" xfId="0" applyFill="1" applyBorder="1"/>
    <xf numFmtId="0" fontId="0" fillId="4" borderId="10" xfId="0" applyFill="1" applyBorder="1"/>
    <xf numFmtId="0" fontId="0" fillId="4" borderId="43" xfId="0" applyFill="1" applyBorder="1"/>
    <xf numFmtId="0" fontId="0" fillId="4" borderId="0" xfId="0" applyFill="1"/>
    <xf numFmtId="0" fontId="0" fillId="4" borderId="42" xfId="0" applyFill="1" applyBorder="1"/>
    <xf numFmtId="0" fontId="0" fillId="4" borderId="0" xfId="0" applyFill="1" applyAlignment="1">
      <alignment horizontal="centerContinuous"/>
    </xf>
    <xf numFmtId="0" fontId="18" fillId="4" borderId="10" xfId="0" applyFont="1" applyFill="1" applyBorder="1" applyAlignment="1">
      <alignment horizontal="centerContinuous"/>
    </xf>
    <xf numFmtId="0" fontId="0" fillId="4" borderId="10" xfId="0" applyFill="1" applyBorder="1" applyAlignment="1">
      <alignment horizontal="centerContinuous"/>
    </xf>
    <xf numFmtId="0" fontId="17" fillId="4" borderId="2" xfId="0" applyFont="1" applyFill="1" applyBorder="1"/>
    <xf numFmtId="0" fontId="17" fillId="4" borderId="3" xfId="0" applyFont="1" applyFill="1" applyBorder="1"/>
    <xf numFmtId="0" fontId="17" fillId="4" borderId="44" xfId="0" applyFont="1" applyFill="1" applyBorder="1"/>
    <xf numFmtId="0" fontId="17" fillId="4" borderId="6" xfId="0" applyFont="1" applyFill="1" applyBorder="1"/>
    <xf numFmtId="0" fontId="17" fillId="4" borderId="9" xfId="0" applyFont="1" applyFill="1" applyBorder="1"/>
    <xf numFmtId="0" fontId="17" fillId="4" borderId="43" xfId="0" applyFont="1" applyFill="1" applyBorder="1"/>
    <xf numFmtId="0" fontId="18" fillId="4" borderId="10" xfId="0" applyFont="1" applyFill="1" applyBorder="1" applyAlignment="1">
      <alignment horizontal="center"/>
    </xf>
    <xf numFmtId="0" fontId="18" fillId="4" borderId="0" xfId="0" applyFont="1" applyFill="1" applyAlignment="1">
      <alignment horizontal="center"/>
    </xf>
    <xf numFmtId="0" fontId="91" fillId="0" borderId="0" xfId="533" applyFont="1"/>
    <xf numFmtId="2" fontId="89" fillId="0" borderId="0" xfId="533" applyNumberFormat="1" applyFont="1"/>
    <xf numFmtId="2" fontId="89" fillId="0" borderId="0" xfId="533" quotePrefix="1" applyNumberFormat="1" applyFont="1"/>
    <xf numFmtId="0" fontId="18" fillId="0" borderId="0" xfId="533" quotePrefix="1" applyFont="1" applyAlignment="1">
      <alignment horizontal="center"/>
    </xf>
    <xf numFmtId="0" fontId="18" fillId="0" borderId="0" xfId="533" applyFont="1" applyAlignment="1">
      <alignment horizontal="right" indent="1"/>
    </xf>
    <xf numFmtId="0" fontId="17" fillId="8" borderId="0" xfId="0" applyFont="1" applyFill="1"/>
    <xf numFmtId="41" fontId="17" fillId="8" borderId="0" xfId="0" applyNumberFormat="1" applyFont="1" applyFill="1"/>
    <xf numFmtId="0" fontId="18" fillId="8" borderId="0" xfId="0" applyFont="1" applyFill="1" applyAlignment="1">
      <alignment horizontal="left"/>
    </xf>
    <xf numFmtId="0" fontId="18" fillId="8" borderId="0" xfId="0" applyFont="1" applyFill="1"/>
    <xf numFmtId="41" fontId="18" fillId="8" borderId="0" xfId="0" applyNumberFormat="1" applyFont="1" applyFill="1"/>
    <xf numFmtId="0" fontId="17" fillId="4" borderId="0" xfId="0" applyFont="1" applyFill="1" applyAlignment="1">
      <alignment horizontal="left" indent="1"/>
    </xf>
    <xf numFmtId="41" fontId="89" fillId="0" borderId="38" xfId="533" applyNumberFormat="1" applyFont="1" applyBorder="1"/>
    <xf numFmtId="0" fontId="44" fillId="4" borderId="0" xfId="0" applyFont="1" applyFill="1"/>
    <xf numFmtId="0" fontId="44" fillId="8" borderId="0" xfId="0" applyFont="1" applyFill="1" applyAlignment="1">
      <alignment horizontal="center"/>
    </xf>
    <xf numFmtId="0" fontId="44" fillId="4" borderId="0" xfId="0" applyFont="1" applyFill="1" applyAlignment="1">
      <alignment horizontal="center"/>
    </xf>
    <xf numFmtId="0" fontId="44" fillId="4" borderId="0" xfId="0" quotePrefix="1" applyFont="1" applyFill="1" applyAlignment="1">
      <alignment horizontal="center"/>
    </xf>
    <xf numFmtId="0" fontId="44" fillId="8" borderId="0" xfId="0" quotePrefix="1" applyFont="1" applyFill="1" applyAlignment="1">
      <alignment horizontal="center"/>
    </xf>
    <xf numFmtId="0" fontId="23" fillId="4" borderId="0" xfId="0" applyFont="1" applyFill="1"/>
    <xf numFmtId="0" fontId="23" fillId="8" borderId="0" xfId="0" applyFont="1" applyFill="1"/>
    <xf numFmtId="0" fontId="42" fillId="4" borderId="0" xfId="0" applyFont="1" applyFill="1" applyAlignment="1">
      <alignment horizontal="center"/>
    </xf>
    <xf numFmtId="0" fontId="42" fillId="8" borderId="0" xfId="0" applyFont="1" applyFill="1" applyAlignment="1">
      <alignment horizontal="center"/>
    </xf>
    <xf numFmtId="0" fontId="42" fillId="4" borderId="0" xfId="0" quotePrefix="1" applyFont="1" applyFill="1" applyAlignment="1">
      <alignment horizontal="center"/>
    </xf>
    <xf numFmtId="0" fontId="42" fillId="8" borderId="0" xfId="0" quotePrefix="1" applyFont="1" applyFill="1" applyAlignment="1">
      <alignment horizontal="center"/>
    </xf>
    <xf numFmtId="15" fontId="43" fillId="7" borderId="14" xfId="0" quotePrefix="1" applyNumberFormat="1" applyFont="1" applyFill="1" applyBorder="1" applyAlignment="1">
      <alignment horizontal="center"/>
    </xf>
    <xf numFmtId="15" fontId="43" fillId="7" borderId="12" xfId="0" quotePrefix="1" applyNumberFormat="1" applyFont="1" applyFill="1" applyBorder="1" applyAlignment="1">
      <alignment horizontal="center"/>
    </xf>
    <xf numFmtId="41" fontId="43" fillId="7" borderId="12" xfId="0" quotePrefix="1" applyNumberFormat="1" applyFont="1" applyFill="1" applyBorder="1" applyAlignment="1">
      <alignment horizontal="center"/>
    </xf>
    <xf numFmtId="41" fontId="43" fillId="7" borderId="15" xfId="0" quotePrefix="1" applyNumberFormat="1" applyFont="1" applyFill="1" applyBorder="1" applyAlignment="1">
      <alignment horizontal="center"/>
    </xf>
    <xf numFmtId="0" fontId="44" fillId="0" borderId="0" xfId="12" applyFont="1" applyAlignment="1">
      <alignment horizontal="left" vertical="top" wrapText="1"/>
    </xf>
    <xf numFmtId="3" fontId="18" fillId="0" borderId="0" xfId="0" applyNumberFormat="1" applyFont="1" applyAlignment="1">
      <alignment horizontal="center" vertical="center"/>
    </xf>
    <xf numFmtId="0" fontId="13" fillId="0" borderId="0" xfId="12" applyFont="1" applyAlignment="1">
      <alignment horizontal="left"/>
    </xf>
    <xf numFmtId="41" fontId="14" fillId="0" borderId="14" xfId="0" applyNumberFormat="1" applyFont="1" applyBorder="1" applyAlignment="1">
      <alignment horizontal="center" wrapText="1"/>
    </xf>
    <xf numFmtId="41" fontId="14" fillId="0" borderId="15" xfId="0" applyNumberFormat="1" applyFont="1" applyBorder="1" applyAlignment="1">
      <alignment horizontal="center" wrapText="1"/>
    </xf>
    <xf numFmtId="41" fontId="14" fillId="0" borderId="14" xfId="0" applyNumberFormat="1" applyFont="1" applyBorder="1" applyAlignment="1">
      <alignment horizontal="center"/>
    </xf>
    <xf numFmtId="41" fontId="14" fillId="0" borderId="39" xfId="0" applyNumberFormat="1" applyFont="1" applyBorder="1" applyAlignment="1">
      <alignment horizontal="center"/>
    </xf>
    <xf numFmtId="41" fontId="14" fillId="0" borderId="15" xfId="0" applyNumberFormat="1" applyFont="1" applyBorder="1" applyAlignment="1">
      <alignment horizontal="center"/>
    </xf>
    <xf numFmtId="15" fontId="43" fillId="7" borderId="39" xfId="0" quotePrefix="1" applyNumberFormat="1" applyFont="1" applyFill="1" applyBorder="1" applyAlignment="1">
      <alignment horizontal="center"/>
    </xf>
    <xf numFmtId="15" fontId="43" fillId="7" borderId="15" xfId="0" quotePrefix="1" applyNumberFormat="1" applyFont="1" applyFill="1" applyBorder="1" applyAlignment="1">
      <alignment horizontal="center"/>
    </xf>
    <xf numFmtId="0" fontId="35" fillId="0" borderId="0" xfId="12" applyFont="1" applyAlignment="1">
      <alignment horizontal="left" wrapText="1"/>
    </xf>
    <xf numFmtId="3" fontId="50" fillId="0" borderId="0" xfId="0" applyNumberFormat="1" applyFont="1" applyAlignment="1">
      <alignment horizontal="center"/>
    </xf>
    <xf numFmtId="0" fontId="50" fillId="4" borderId="32" xfId="0" applyFont="1" applyFill="1" applyBorder="1" applyAlignment="1">
      <alignment horizontal="center"/>
    </xf>
    <xf numFmtId="0" fontId="50" fillId="4" borderId="33" xfId="0" applyFont="1" applyFill="1" applyBorder="1" applyAlignment="1">
      <alignment horizontal="center"/>
    </xf>
    <xf numFmtId="0" fontId="50" fillId="4" borderId="34" xfId="0" applyFont="1" applyFill="1" applyBorder="1" applyAlignment="1">
      <alignment horizontal="center"/>
    </xf>
    <xf numFmtId="0" fontId="50" fillId="4" borderId="21" xfId="0" applyFont="1" applyFill="1" applyBorder="1" applyAlignment="1">
      <alignment horizontal="center"/>
    </xf>
    <xf numFmtId="0" fontId="50" fillId="4" borderId="0" xfId="0" applyFont="1" applyFill="1" applyAlignment="1">
      <alignment horizontal="center"/>
    </xf>
    <xf numFmtId="0" fontId="50" fillId="4" borderId="22" xfId="0" applyFont="1" applyFill="1" applyBorder="1" applyAlignment="1">
      <alignment horizontal="center"/>
    </xf>
    <xf numFmtId="0" fontId="50" fillId="0" borderId="21" xfId="0" applyFont="1" applyBorder="1" applyAlignment="1">
      <alignment horizontal="center"/>
    </xf>
    <xf numFmtId="0" fontId="50" fillId="0" borderId="0" xfId="0" applyFont="1" applyAlignment="1">
      <alignment horizontal="center"/>
    </xf>
    <xf numFmtId="0" fontId="50" fillId="0" borderId="22" xfId="0" applyFont="1" applyBorder="1" applyAlignment="1">
      <alignment horizontal="center"/>
    </xf>
    <xf numFmtId="0" fontId="50" fillId="7" borderId="0" xfId="0" applyFont="1" applyFill="1" applyAlignment="1">
      <alignment horizontal="center" wrapText="1"/>
    </xf>
    <xf numFmtId="166" fontId="50" fillId="0" borderId="0" xfId="0" applyNumberFormat="1" applyFont="1" applyAlignment="1">
      <alignment horizontal="center"/>
    </xf>
    <xf numFmtId="41" fontId="13" fillId="0" borderId="0" xfId="12" applyNumberFormat="1" applyFont="1" applyAlignment="1">
      <alignment horizontal="center" wrapText="1"/>
    </xf>
    <xf numFmtId="0" fontId="18" fillId="0" borderId="0" xfId="0" applyFont="1" applyAlignment="1">
      <alignment horizontal="center"/>
    </xf>
    <xf numFmtId="0" fontId="17" fillId="0" borderId="0" xfId="0" applyFont="1" applyAlignment="1">
      <alignment horizontal="center"/>
    </xf>
    <xf numFmtId="0" fontId="19" fillId="0" borderId="0" xfId="0" applyFont="1" applyAlignment="1">
      <alignment horizontal="center"/>
    </xf>
    <xf numFmtId="41" fontId="17" fillId="0" borderId="10" xfId="0" applyNumberFormat="1" applyFont="1" applyBorder="1" applyAlignment="1">
      <alignment horizontal="center"/>
    </xf>
    <xf numFmtId="166" fontId="17" fillId="0" borderId="0" xfId="54" applyNumberFormat="1" applyFont="1" applyAlignment="1">
      <alignment horizontal="left" wrapText="1"/>
    </xf>
    <xf numFmtId="0" fontId="17" fillId="0" borderId="26" xfId="11" applyFont="1" applyBorder="1" applyAlignment="1">
      <alignment horizontal="center"/>
    </xf>
    <xf numFmtId="0" fontId="17" fillId="0" borderId="27" xfId="11" applyFont="1" applyBorder="1" applyAlignment="1">
      <alignment horizontal="center"/>
    </xf>
    <xf numFmtId="0" fontId="17" fillId="0" borderId="28" xfId="11" applyFont="1" applyBorder="1" applyAlignment="1">
      <alignment horizontal="center"/>
    </xf>
    <xf numFmtId="4" fontId="18" fillId="0" borderId="0" xfId="11" applyNumberFormat="1" applyFont="1" applyAlignment="1">
      <alignment horizontal="center"/>
    </xf>
    <xf numFmtId="4" fontId="19" fillId="0" borderId="0" xfId="11" applyNumberFormat="1" applyFont="1" applyAlignment="1">
      <alignment horizontal="center"/>
    </xf>
    <xf numFmtId="4" fontId="17" fillId="0" borderId="0" xfId="11" applyNumberFormat="1" applyFont="1" applyAlignment="1">
      <alignment horizontal="center"/>
    </xf>
    <xf numFmtId="3" fontId="17" fillId="0" borderId="0" xfId="0" applyNumberFormat="1" applyFont="1" applyAlignment="1">
      <alignment horizontal="left"/>
    </xf>
    <xf numFmtId="0" fontId="28" fillId="0" borderId="0" xfId="0" applyFont="1" applyAlignment="1">
      <alignment horizontal="center"/>
    </xf>
    <xf numFmtId="0" fontId="17" fillId="0" borderId="10" xfId="0" applyFont="1" applyBorder="1" applyAlignment="1">
      <alignment horizontal="center"/>
    </xf>
    <xf numFmtId="0" fontId="0" fillId="0" borderId="0" xfId="0" applyFill="1" applyBorder="1"/>
    <xf numFmtId="10" fontId="0" fillId="0" borderId="0" xfId="0" applyNumberFormat="1" applyFill="1" applyBorder="1"/>
    <xf numFmtId="41" fontId="0" fillId="0" borderId="0" xfId="0" applyNumberFormat="1" applyFill="1" applyBorder="1"/>
    <xf numFmtId="41" fontId="17" fillId="0" borderId="0" xfId="0" applyNumberFormat="1" applyFont="1" applyFill="1" applyBorder="1"/>
  </cellXfs>
  <cellStyles count="535">
    <cellStyle name="Comma" xfId="1" builtinId="3"/>
    <cellStyle name="Comma 10" xfId="101" xr:uid="{4C6F1EF9-67E1-4FA8-A091-5B7D33805E26}"/>
    <cellStyle name="Comma 10 2" xfId="223" xr:uid="{A18150C6-E375-4F10-94E6-AAD4992EC5CC}"/>
    <cellStyle name="Comma 10 2 2" xfId="472" xr:uid="{033BDF73-6C20-4379-AA19-9917715979B4}"/>
    <cellStyle name="Comma 10 2 3" xfId="327" xr:uid="{E107A6FC-76E5-4651-81C6-2BE1BA404258}"/>
    <cellStyle name="Comma 10 3" xfId="264" xr:uid="{E8419EC8-5108-4650-8FE6-035F8512C896}"/>
    <cellStyle name="Comma 10 3 2" xfId="513" xr:uid="{7009A5A3-CF5A-4600-AB85-646F0C84D9C8}"/>
    <cellStyle name="Comma 10 3 3" xfId="368" xr:uid="{EF3E1E43-794D-4185-B5D0-98D570917D8B}"/>
    <cellStyle name="Comma 10 4" xfId="172" xr:uid="{AEFA24A6-891A-4872-A80D-FABE2A48E876}"/>
    <cellStyle name="Comma 10 4 2" xfId="447" xr:uid="{1D095EFD-F3F7-45B7-9163-E987F4E0A25F}"/>
    <cellStyle name="Comma 10 5" xfId="409" xr:uid="{6178EDD5-8BFB-4A08-94C4-33BFF4689217}"/>
    <cellStyle name="Comma 10 6" xfId="302" xr:uid="{85A599FC-42FB-438D-89C6-B127390D9434}"/>
    <cellStyle name="Comma 11" xfId="117" xr:uid="{01D37127-9C22-47B0-93D5-E16BC40339C9}"/>
    <cellStyle name="Comma 11 2" xfId="238" xr:uid="{1D4D3180-2E39-4028-BCFF-C73D965074E5}"/>
    <cellStyle name="Comma 11 2 2" xfId="487" xr:uid="{662B802D-990C-44E8-B0E6-F0EEAE713084}"/>
    <cellStyle name="Comma 11 2 3" xfId="342" xr:uid="{078C88AC-7AD8-4742-9A3C-84315C55A81E}"/>
    <cellStyle name="Comma 11 3" xfId="279" xr:uid="{ED459779-CCAE-4FB9-9397-5CA9A1BC9C6C}"/>
    <cellStyle name="Comma 11 3 2" xfId="528" xr:uid="{8087BA20-6F03-44D0-812D-D4C6ECF88FC3}"/>
    <cellStyle name="Comma 11 3 3" xfId="383" xr:uid="{B2EA60B3-7533-4914-9CEF-78107CC0D45A}"/>
    <cellStyle name="Comma 11 4" xfId="175" xr:uid="{14851336-F92A-4560-B334-E95614211F91}"/>
    <cellStyle name="Comma 11 4 2" xfId="450" xr:uid="{521904D0-B020-407A-AC4D-C82BCE9AB680}"/>
    <cellStyle name="Comma 11 5" xfId="424" xr:uid="{112BCF42-F94C-48A1-BA03-7581551BF654}"/>
    <cellStyle name="Comma 11 6" xfId="305" xr:uid="{5011B954-A172-4794-874A-BC38D4D8C839}"/>
    <cellStyle name="Comma 12" xfId="121" xr:uid="{9A85E201-77D2-46DE-9CF6-1B662C6CBFE2}"/>
    <cellStyle name="Comma 12 2" xfId="282" xr:uid="{506E810E-5C4A-44B5-AC2F-F5C8EF439A37}"/>
    <cellStyle name="Comma 12 2 2" xfId="531" xr:uid="{FF08405E-6F9C-4BD6-B0A4-1EC0CAF7E2C0}"/>
    <cellStyle name="Comma 12 2 3" xfId="386" xr:uid="{29446482-4D69-4AA0-8A9F-A974C73CAB54}"/>
    <cellStyle name="Comma 12 3" xfId="241" xr:uid="{8C20C588-7D07-4269-8060-6499D95EAA07}"/>
    <cellStyle name="Comma 12 3 2" xfId="490" xr:uid="{8CEC1789-71DD-4BFA-A6A2-AA6A0D59BB33}"/>
    <cellStyle name="Comma 12 4" xfId="427" xr:uid="{F3AEF256-A3C0-4B14-8F5D-F07ECA2801E9}"/>
    <cellStyle name="Comma 12 5" xfId="345" xr:uid="{D8965866-2040-492F-A9E0-276A34C73F46}"/>
    <cellStyle name="Comma 14" xfId="113" xr:uid="{82F41F39-5553-4D21-94F3-EFECE66AF850}"/>
    <cellStyle name="Comma 14 2" xfId="275" xr:uid="{BA989F09-4861-4F82-91D1-FA9F559809F6}"/>
    <cellStyle name="Comma 14 2 2" xfId="524" xr:uid="{11345C39-100A-4C2E-BA6A-42312576A7A2}"/>
    <cellStyle name="Comma 14 2 3" xfId="379" xr:uid="{180DE1D0-AA0C-434E-8DFB-64B1E8D12C4F}"/>
    <cellStyle name="Comma 14 3" xfId="234" xr:uid="{A22A7B26-CF66-4A7C-ABB8-AB83C246CF86}"/>
    <cellStyle name="Comma 14 3 2" xfId="483" xr:uid="{3508EEE3-2A82-4D4D-AB97-327EFBD7F9CB}"/>
    <cellStyle name="Comma 14 4" xfId="420" xr:uid="{CF5E9A61-8907-4C92-92EB-822090A6B134}"/>
    <cellStyle name="Comma 14 5" xfId="338" xr:uid="{2C96AF8A-DC82-4E26-8FAE-423024156848}"/>
    <cellStyle name="Comma 2" xfId="18" xr:uid="{00000000-0005-0000-0000-000001000000}"/>
    <cellStyle name="Comma 2 2" xfId="36" xr:uid="{54C6F439-F1EF-442B-8877-652FE571D4B2}"/>
    <cellStyle name="Comma 2 2 2" xfId="155" xr:uid="{6BB0D6A1-F1A2-49E9-A671-0942FE8FED09}"/>
    <cellStyle name="Comma 2 2 3" xfId="130" xr:uid="{49B8846F-8CF4-4F9C-B6AD-B8FD60C43A3E}"/>
    <cellStyle name="Comma 2 2 3 2" xfId="431" xr:uid="{902C01DE-E020-4905-AEF1-12A40F8BA880}"/>
    <cellStyle name="Comma 2 2 4" xfId="286" xr:uid="{9AE605DC-C1A0-4CA0-AEC6-289D6238BA83}"/>
    <cellStyle name="Comma 2 3" xfId="55" xr:uid="{59756260-8E9A-41EF-A3F4-5781048EEFDB}"/>
    <cellStyle name="Comma 2 3 2" xfId="200" xr:uid="{E7813D4D-23FC-4EE6-8997-C701BBB92C6D}"/>
    <cellStyle name="Comma 2 3 2 2" xfId="458" xr:uid="{6DE66D42-F7D6-4BE9-8CCB-77966E734FB9}"/>
    <cellStyle name="Comma 2 3 2 3" xfId="313" xr:uid="{A619AAE7-1845-42FA-B23A-463E9DD5A507}"/>
    <cellStyle name="Comma 2 3 3" xfId="250" xr:uid="{016C3B59-CB47-4F3F-8433-97B7B6D55295}"/>
    <cellStyle name="Comma 2 3 3 2" xfId="499" xr:uid="{1885B197-82DC-4071-8CDB-6F0BB17CE693}"/>
    <cellStyle name="Comma 2 3 3 3" xfId="354" xr:uid="{36ADDB4B-6BC0-48A0-B2A9-52EFC6D042EA}"/>
    <cellStyle name="Comma 2 3 4" xfId="139" xr:uid="{021435D1-2720-4386-A989-81A4F4B2525E}"/>
    <cellStyle name="Comma 2 3 5" xfId="395" xr:uid="{EA96FA38-C681-4AFC-80B9-949B356294EC}"/>
    <cellStyle name="Comma 2 4" xfId="60" xr:uid="{F4B45EA4-2DAB-47F3-823C-88969533BE99}"/>
    <cellStyle name="Comma 2 4 2" xfId="204" xr:uid="{C3BACFE9-8FB0-4025-8776-6ED787F92025}"/>
    <cellStyle name="Comma 2 4 2 2" xfId="462" xr:uid="{831255D7-E297-4110-9C3C-B61BB0A40116}"/>
    <cellStyle name="Comma 2 4 2 3" xfId="317" xr:uid="{63CD834C-2F17-4666-AEC9-328D8ED20A0D}"/>
    <cellStyle name="Comma 2 4 3" xfId="254" xr:uid="{64C09325-0538-41D6-92BB-4236CBFE0CEF}"/>
    <cellStyle name="Comma 2 4 3 2" xfId="503" xr:uid="{04B1A9AF-E16E-4525-9724-B322ED3F8EDA}"/>
    <cellStyle name="Comma 2 4 3 3" xfId="358" xr:uid="{44E263B2-E0DE-4453-A2F4-29CE6202AD0E}"/>
    <cellStyle name="Comma 2 4 4" xfId="162" xr:uid="{AD234235-DD78-42DC-9218-B5CD8576813D}"/>
    <cellStyle name="Comma 2 4 5" xfId="399" xr:uid="{1B2D899F-7F66-4BAB-8DEC-8DE406CA0632}"/>
    <cellStyle name="Comma 2 5" xfId="63" xr:uid="{586C2F45-99C6-4C8D-8CA6-748EB7413F5D}"/>
    <cellStyle name="Comma 2 6" xfId="93" xr:uid="{C0B42ACD-F6FF-4A5B-A6F4-F1DD474D4F22}"/>
    <cellStyle name="Comma 2 7" xfId="103" xr:uid="{0D9FD938-CE54-4FC6-A8B5-DBFDFD62F35A}"/>
    <cellStyle name="Comma 2 7 2" xfId="266" xr:uid="{5441EA6E-3324-4F9D-B8BE-20429BADA93D}"/>
    <cellStyle name="Comma 2 7 2 2" xfId="515" xr:uid="{295DB216-B84E-468E-89FC-67DE2FEE2E86}"/>
    <cellStyle name="Comma 2 7 2 3" xfId="370" xr:uid="{87A5C8A8-098E-49B6-9380-72DDD09776C2}"/>
    <cellStyle name="Comma 2 7 3" xfId="225" xr:uid="{9493F79B-F44C-455E-8D51-39072F11900A}"/>
    <cellStyle name="Comma 2 7 3 2" xfId="474" xr:uid="{89148158-73DA-4B07-9EB3-F967F4336B8D}"/>
    <cellStyle name="Comma 2 7 4" xfId="411" xr:uid="{42FD2F94-CC5E-4808-B567-C91572592F62}"/>
    <cellStyle name="Comma 2 7 5" xfId="329" xr:uid="{30502410-0027-4353-9C3A-68DE3BAC3842}"/>
    <cellStyle name="Comma 3" xfId="20" xr:uid="{00000000-0005-0000-0000-000002000000}"/>
    <cellStyle name="Comma 3 10" xfId="389" xr:uid="{99404A33-593E-49F4-B5F2-EADBA7BFF5AE}"/>
    <cellStyle name="Comma 3 2" xfId="27" xr:uid="{2724E0FD-1B24-48A3-AC0E-1A298D895F44}"/>
    <cellStyle name="Comma 3 2 2" xfId="182" xr:uid="{C4738562-1E0E-45CC-9167-D607CE6F4C8B}"/>
    <cellStyle name="Comma 3 2 3" xfId="136" xr:uid="{477C88B3-5841-4103-89E9-D56598697A8E}"/>
    <cellStyle name="Comma 3 3" xfId="34" xr:uid="{0C86E9D8-4CFE-4FC6-B437-FB95397DB5CF}"/>
    <cellStyle name="Comma 3 3 2" xfId="188" xr:uid="{FA5F731E-1413-4918-B844-BF1006D36A8C}"/>
    <cellStyle name="Comma 3 3 3" xfId="148" xr:uid="{35B0F0F9-5FEF-43CC-8EA8-0B5500AA4F9F}"/>
    <cellStyle name="Comma 3 4" xfId="57" xr:uid="{3C2F77B5-DBA0-4155-AB98-422FA7EA8966}"/>
    <cellStyle name="Comma 3 4 2" xfId="201" xr:uid="{F51EAC98-06FF-4B9D-BCB0-62F50C367219}"/>
    <cellStyle name="Comma 3 4 2 2" xfId="459" xr:uid="{D7A03509-D806-4CAE-8445-0146D7B31925}"/>
    <cellStyle name="Comma 3 4 2 3" xfId="314" xr:uid="{FB1B6C4B-5C75-4D9B-B515-2976B0F93393}"/>
    <cellStyle name="Comma 3 4 3" xfId="251" xr:uid="{C4275E87-DE18-488B-89CA-A76119407EB3}"/>
    <cellStyle name="Comma 3 4 3 2" xfId="500" xr:uid="{754BDDA0-5BCB-40B3-BFF8-FADD6A77A593}"/>
    <cellStyle name="Comma 3 4 3 3" xfId="355" xr:uid="{DAC41A84-3FE8-4A06-BAE2-D901CD885EE3}"/>
    <cellStyle name="Comma 3 4 4" xfId="150" xr:uid="{9DD8059A-A401-4627-921F-E0729B13026F}"/>
    <cellStyle name="Comma 3 4 5" xfId="396" xr:uid="{1CF153D8-D7C7-444D-9D3E-84A0BE7292FD}"/>
    <cellStyle name="Comma 3 5" xfId="84" xr:uid="{0B098789-D5A4-4039-B0BD-B6A742B72EDA}"/>
    <cellStyle name="Comma 3 5 2" xfId="217" xr:uid="{CBF93B38-13FA-4CBC-810D-F911CF9E3C1C}"/>
    <cellStyle name="Comma 3 5 3" xfId="156" xr:uid="{6D0EB977-0627-425C-9A24-6F4C19ED45E4}"/>
    <cellStyle name="Comma 3 5 3 2" xfId="439" xr:uid="{4BBC1570-1963-4EDD-8BA7-84327990CFD4}"/>
    <cellStyle name="Comma 3 5 4" xfId="294" xr:uid="{DFA74DF4-E8A1-40EE-83A4-432E5EA67251}"/>
    <cellStyle name="Comma 3 6" xfId="114" xr:uid="{E5B5644A-3F94-4E6E-8CC6-1900C822F9E4}"/>
    <cellStyle name="Comma 3 6 2" xfId="276" xr:uid="{5F2469E8-60A5-40D5-AB80-BE70ED47C560}"/>
    <cellStyle name="Comma 3 6 2 2" xfId="525" xr:uid="{8CF49F2B-939E-4F35-9FFB-3A5FBD3A4BA7}"/>
    <cellStyle name="Comma 3 6 2 3" xfId="380" xr:uid="{000CD21A-D623-4F17-8D17-0014F46AF3E4}"/>
    <cellStyle name="Comma 3 6 3" xfId="235" xr:uid="{098110D6-3788-4767-941C-52770F2E0D23}"/>
    <cellStyle name="Comma 3 6 3 2" xfId="484" xr:uid="{447405A7-BAF4-44BA-AB87-FB4D00DD71F2}"/>
    <cellStyle name="Comma 3 6 4" xfId="421" xr:uid="{AF0BFC50-8618-429B-BCD6-2AD44F263519}"/>
    <cellStyle name="Comma 3 6 5" xfId="339" xr:uid="{49CDD0F8-96C3-4593-93BA-BDDDFC366AA2}"/>
    <cellStyle name="Comma 3 7" xfId="177" xr:uid="{A9636D14-76D4-4D0E-99D4-095E9E123F60}"/>
    <cellStyle name="Comma 3 7 2" xfId="452" xr:uid="{B8CAA4EB-5140-45F9-BC42-E403359C155A}"/>
    <cellStyle name="Comma 3 7 3" xfId="307" xr:uid="{9F32CA24-ED5F-4A82-ABB3-3003E0F58F19}"/>
    <cellStyle name="Comma 3 8" xfId="244" xr:uid="{F819DD9B-E731-442D-A0C4-9C3D847DF07B}"/>
    <cellStyle name="Comma 3 8 2" xfId="493" xr:uid="{FF031067-8167-4689-A97E-50CA4A1166EE}"/>
    <cellStyle name="Comma 3 8 3" xfId="348" xr:uid="{37F3F56D-D8AC-436F-9D24-63AAAAEECE63}"/>
    <cellStyle name="Comma 3 9" xfId="134" xr:uid="{C5B72B04-9A97-4D70-BD88-55F0CF59FE0E}"/>
    <cellStyle name="Comma 4" xfId="29" xr:uid="{05738F35-6FB9-468E-AE55-7B388138D50D}"/>
    <cellStyle name="Comma 4 2" xfId="80" xr:uid="{ECCACA60-553E-4AF1-B2C9-93300A1AF7BD}"/>
    <cellStyle name="Comma 4 3" xfId="86" xr:uid="{01201052-E5A1-48CA-B6D3-C6B4D10B826F}"/>
    <cellStyle name="Comma 4 3 2" xfId="261" xr:uid="{1DD786F8-CC5E-43BD-80D1-BC2423CF32BE}"/>
    <cellStyle name="Comma 4 3 2 2" xfId="510" xr:uid="{721093DC-D8ED-4839-A155-1892CD61F6C6}"/>
    <cellStyle name="Comma 4 3 2 3" xfId="365" xr:uid="{171DCA47-A917-4C2E-BF00-2FA228995718}"/>
    <cellStyle name="Comma 4 3 3" xfId="219" xr:uid="{B2BC2B0D-6369-4C71-A58F-C450EDD0797E}"/>
    <cellStyle name="Comma 4 3 3 2" xfId="469" xr:uid="{2935599F-714B-48E6-A60C-D6A9F7EA07FC}"/>
    <cellStyle name="Comma 4 3 4" xfId="406" xr:uid="{FCDA5B7A-3EE1-4ED5-8D7C-DCF5095972FC}"/>
    <cellStyle name="Comma 4 3 5" xfId="324" xr:uid="{3F9CCA52-1D5D-4042-AEA2-237B50FBF568}"/>
    <cellStyle name="Comma 4 4" xfId="110" xr:uid="{F71691D1-AC0F-420C-A643-51D70BCF560D}"/>
    <cellStyle name="Comma 4 4 2" xfId="272" xr:uid="{18F2C667-D7A3-4B74-92EB-9001489E8423}"/>
    <cellStyle name="Comma 4 4 2 2" xfId="521" xr:uid="{3DDEBFAB-1F35-48E0-AD47-511ABA59E82E}"/>
    <cellStyle name="Comma 4 4 2 3" xfId="376" xr:uid="{B5A68A22-A7D2-4048-8EB0-2CC5FC039046}"/>
    <cellStyle name="Comma 4 4 3" xfId="231" xr:uid="{1D8DC0C9-1513-4478-B2C0-6CC792539C23}"/>
    <cellStyle name="Comma 4 4 3 2" xfId="480" xr:uid="{8E6135AB-AB2E-4859-93F4-B60DD21B5182}"/>
    <cellStyle name="Comma 4 4 4" xfId="417" xr:uid="{706FAA89-A156-4F20-BAB6-69D8A2F5A41A}"/>
    <cellStyle name="Comma 4 4 5" xfId="335" xr:uid="{72B04501-58AA-4B9E-BBA8-C4699BC7A51D}"/>
    <cellStyle name="Comma 4 5" xfId="184" xr:uid="{8EFE5FC8-E2CA-4FE2-B3D5-571D65A3D998}"/>
    <cellStyle name="Comma 4 6" xfId="138" xr:uid="{C7E9F524-30B2-4709-9AAC-DEF374072777}"/>
    <cellStyle name="Comma 4 6 2" xfId="436" xr:uid="{B35AA648-A844-4C6F-9C5C-7AE9E3FE56E1}"/>
    <cellStyle name="Comma 4 7" xfId="291" xr:uid="{046E1EC8-33D5-4234-8C1E-3321C099C485}"/>
    <cellStyle name="Comma 5" xfId="35" xr:uid="{563B0792-10D0-4166-ACCB-A23CD03CA8F8}"/>
    <cellStyle name="Comma 6" xfId="42" xr:uid="{83088F5E-7582-4CFC-A8AC-3F45C9EEFD86}"/>
    <cellStyle name="Comma 6 2" xfId="97" xr:uid="{B5A15DAD-A5CC-4390-AE76-ACC92490E9D5}"/>
    <cellStyle name="Comma 6 3" xfId="191" xr:uid="{8E9DED2C-3716-411E-9952-4C91864E869B}"/>
    <cellStyle name="Comma 7" xfId="50" xr:uid="{14A5DBFF-8C69-44D8-8968-44E43ACC0CDC}"/>
    <cellStyle name="Comma 7 2" xfId="197" xr:uid="{B5E87B87-406A-4F29-B280-6D198A1AD470}"/>
    <cellStyle name="Comma 7 2 2" xfId="456" xr:uid="{F559C835-8902-406E-9E07-8CE0E4EB30FC}"/>
    <cellStyle name="Comma 7 2 3" xfId="311" xr:uid="{D9D76BF9-9D56-4D4B-B36E-4425A3182F74}"/>
    <cellStyle name="Comma 7 3" xfId="248" xr:uid="{607EFAF6-4166-4C7A-BC65-B1345454429C}"/>
    <cellStyle name="Comma 7 3 2" xfId="497" xr:uid="{7497EC3D-58C8-4468-8398-7FADEFE4F907}"/>
    <cellStyle name="Comma 7 3 3" xfId="352" xr:uid="{B3AFF47C-5245-4641-9D5A-F10988FB2AA7}"/>
    <cellStyle name="Comma 7 4" xfId="153" xr:uid="{2824E48F-F91E-4292-B1D6-9D87F04DC49F}"/>
    <cellStyle name="Comma 7 5" xfId="393" xr:uid="{C3CBA747-FA5C-411A-85C5-3DE568A5E9A1}"/>
    <cellStyle name="Comma 8" xfId="74" xr:uid="{6DB8E091-B0BC-4074-B10F-A969830E9ED1}"/>
    <cellStyle name="Comma 9" xfId="83" xr:uid="{85A24EBF-57CB-42E3-89B6-30BD05912B69}"/>
    <cellStyle name="Comma 9 2" xfId="216" xr:uid="{9D0FCF7F-54A6-4B2B-931A-D9FFDC597E5F}"/>
    <cellStyle name="Comma 9 3" xfId="166" xr:uid="{B76C6368-91BC-407C-9CB9-51E903997926}"/>
    <cellStyle name="Currency" xfId="2" builtinId="4"/>
    <cellStyle name="Currency 10" xfId="88" xr:uid="{6177D67B-7E3E-4814-B462-0AE111D1A2E7}"/>
    <cellStyle name="Currency 11" xfId="90" xr:uid="{2683B9A1-CA7B-4A39-AB73-71FC68F60453}"/>
    <cellStyle name="Currency 12" xfId="118" xr:uid="{6C4BEE2B-D191-47AF-B613-FF1E168116F4}"/>
    <cellStyle name="Currency 12 2" xfId="280" xr:uid="{D5C06594-BDF7-468B-B44D-E16607788A7C}"/>
    <cellStyle name="Currency 12 2 2" xfId="529" xr:uid="{81F87352-3C55-4AC1-BAB6-E9D1BF28645C}"/>
    <cellStyle name="Currency 12 2 3" xfId="384" xr:uid="{6E6906CD-3177-44C6-BA44-AC10F4AD21C3}"/>
    <cellStyle name="Currency 12 3" xfId="239" xr:uid="{6B5649B8-52A2-4E40-8413-1D9E01887CDE}"/>
    <cellStyle name="Currency 12 3 2" xfId="488" xr:uid="{341D1F23-B123-4069-9D8A-EF3E290EE42C}"/>
    <cellStyle name="Currency 12 4" xfId="425" xr:uid="{68BAE4EA-F342-491E-9D04-BD2874A26C19}"/>
    <cellStyle name="Currency 12 5" xfId="343" xr:uid="{89581685-30CB-4FC3-A431-50313961F869}"/>
    <cellStyle name="Currency 13" xfId="122" xr:uid="{DBDBDF77-EDE4-497A-A368-4A270C45F5A4}"/>
    <cellStyle name="Currency 13 2" xfId="283" xr:uid="{972A9575-FEA6-4B4C-9E1A-D2197476B3EB}"/>
    <cellStyle name="Currency 13 2 2" xfId="532" xr:uid="{F44F99BF-8B56-437D-8E01-170A841B5B87}"/>
    <cellStyle name="Currency 13 2 3" xfId="387" xr:uid="{4A446060-FC98-4FCE-825B-9FF8AD6D863F}"/>
    <cellStyle name="Currency 13 3" xfId="242" xr:uid="{000F442C-2704-40D4-B968-AEF9F3EAA1CB}"/>
    <cellStyle name="Currency 13 3 2" xfId="491" xr:uid="{725D2051-4BF3-4638-A358-E06DB541DF5F}"/>
    <cellStyle name="Currency 13 4" xfId="428" xr:uid="{F5C45754-4641-4D5F-B349-56FB97B9EC07}"/>
    <cellStyle name="Currency 13 5" xfId="346" xr:uid="{48B6152A-F49C-4047-B5A9-2AC8C60BA77B}"/>
    <cellStyle name="Currency 2" xfId="3" xr:uid="{00000000-0005-0000-0000-000004000000}"/>
    <cellStyle name="Currency 2 2" xfId="37" xr:uid="{87CB8EE6-CC26-4CA3-9A77-E1887D44FE79}"/>
    <cellStyle name="Currency 2 2 2" xfId="105" xr:uid="{B2246478-8ECA-42F8-A91E-931E358827E9}"/>
    <cellStyle name="Currency 2 3" xfId="78" xr:uid="{EEDC41D4-0DD0-4BAF-825B-93F890778BFB}"/>
    <cellStyle name="Currency 2 3 2" xfId="213" xr:uid="{9DBD5327-0B5C-4EAB-B41C-681458183243}"/>
    <cellStyle name="Currency 2 3 2 2" xfId="467" xr:uid="{CF7BEA5A-2F00-4A39-B0B3-4C822F45314F}"/>
    <cellStyle name="Currency 2 3 2 3" xfId="322" xr:uid="{B414C9FE-548A-4CAC-AED2-34186F43CE4B}"/>
    <cellStyle name="Currency 2 3 3" xfId="259" xr:uid="{271F3562-835E-440C-9C5F-2B1BA70A6483}"/>
    <cellStyle name="Currency 2 3 3 2" xfId="508" xr:uid="{5FA0B803-474D-4C95-ACAC-82D6E5A25491}"/>
    <cellStyle name="Currency 2 3 3 3" xfId="363" xr:uid="{D6D3BB48-B723-4731-BDEA-4C0C2574A9C2}"/>
    <cellStyle name="Currency 2 3 4" xfId="165" xr:uid="{FFCEF630-062A-4E22-8B74-1CD07DFF9511}"/>
    <cellStyle name="Currency 2 3 4 2" xfId="441" xr:uid="{D7CD7ED3-102C-4C9B-98C7-FDBE46E8C23F}"/>
    <cellStyle name="Currency 2 3 5" xfId="404" xr:uid="{69A56C55-719B-4F48-96B4-EADC122BFCF9}"/>
    <cellStyle name="Currency 2 3 6" xfId="296" xr:uid="{1403EA34-D8F3-4F9C-A17C-38E8F91FE078}"/>
    <cellStyle name="Currency 3" xfId="30" xr:uid="{84ECCECA-FF66-457C-BA09-9FC37977AE17}"/>
    <cellStyle name="Currency 3 2" xfId="45" xr:uid="{8E7CE415-1104-4454-AD89-A20425214112}"/>
    <cellStyle name="Currency 3 2 2" xfId="70" xr:uid="{0F12E8EB-3468-4BDA-8F18-52EC02FA0F8E}"/>
    <cellStyle name="Currency 3 3" xfId="96" xr:uid="{04FB327E-4B4B-40BD-87B8-3EA48F46B24C}"/>
    <cellStyle name="Currency 3 4" xfId="115" xr:uid="{A54F7122-8A9F-423C-BE95-8C6C0AFCFDD3}"/>
    <cellStyle name="Currency 3 4 2" xfId="277" xr:uid="{A92AEA67-793C-4789-AD99-129DAA86F8E3}"/>
    <cellStyle name="Currency 3 4 2 2" xfId="526" xr:uid="{E1E1B3DD-B0E5-4854-8F72-A69E7027F6DC}"/>
    <cellStyle name="Currency 3 4 2 3" xfId="381" xr:uid="{76E178EB-DAA6-4569-A32D-57271B7B48BA}"/>
    <cellStyle name="Currency 3 4 3" xfId="236" xr:uid="{C00730B1-0467-4CFE-B6B7-60BFCE8756DF}"/>
    <cellStyle name="Currency 3 4 3 2" xfId="485" xr:uid="{03755552-33D4-4568-A159-B75FA4E5B4E6}"/>
    <cellStyle name="Currency 3 4 4" xfId="422" xr:uid="{B9126733-266A-4ACF-A474-A2E89E2B294D}"/>
    <cellStyle name="Currency 3 4 5" xfId="340" xr:uid="{2017E45C-A4AA-4CAA-AFE3-ACA1B310BC89}"/>
    <cellStyle name="Currency 3 5" xfId="185" xr:uid="{295AE917-4E0E-418C-95C6-62A05FE01DF8}"/>
    <cellStyle name="Currency 3 6" xfId="140" xr:uid="{5765A699-50EE-4E29-8B47-07EDEF4569B9}"/>
    <cellStyle name="Currency 4" xfId="41" xr:uid="{F566133D-94A2-4D11-B47D-0483B3713930}"/>
    <cellStyle name="Currency 4 2" xfId="72" xr:uid="{A3EB2344-468D-4CF2-A565-013D12D96A43}"/>
    <cellStyle name="Currency 4 3" xfId="99" xr:uid="{CF20CAA3-8757-4756-84FF-4F741817BBE0}"/>
    <cellStyle name="Currency 4 4" xfId="190" xr:uid="{6F66E7AF-7653-43DB-98F5-CCE16C5CB1E8}"/>
    <cellStyle name="Currency 4 5" xfId="142" xr:uid="{E700B39C-BCEE-4B54-81EB-57BE0B5FC88C}"/>
    <cellStyle name="Currency 5" xfId="48" xr:uid="{6DAAAA12-45BB-45B2-A526-C28FA5D7BC6C}"/>
    <cellStyle name="Currency 5 2" xfId="195" xr:uid="{5D5BF128-CD25-4D1F-8D3C-4163DC6069CE}"/>
    <cellStyle name="Currency 5 3" xfId="143" xr:uid="{D2B7E15A-A5E4-4626-BAE7-4794F0AF698B}"/>
    <cellStyle name="Currency 5 3 2" xfId="438" xr:uid="{A8B3939C-0041-423E-9DBE-B656DDBBE2B7}"/>
    <cellStyle name="Currency 5 4" xfId="293" xr:uid="{F3549CA4-9E84-49B3-B9B5-9982E29D9BAD}"/>
    <cellStyle name="Currency 6" xfId="52" xr:uid="{DC127EEC-261F-48DB-99A4-819A98B2F4E0}"/>
    <cellStyle name="Currency 6 2" xfId="199" xr:uid="{8AC62CB4-0A3D-4C4B-ABBF-5343B087DFBB}"/>
    <cellStyle name="Currency 6 2 2" xfId="457" xr:uid="{F188EA10-DD1E-4626-A2AD-B1CC866AFBC5}"/>
    <cellStyle name="Currency 6 2 3" xfId="312" xr:uid="{3E83B1A7-BF87-4E77-940C-6AEB9A3D4D3B}"/>
    <cellStyle name="Currency 6 3" xfId="249" xr:uid="{AE425EE0-9585-4C24-A81E-83047EEACC49}"/>
    <cellStyle name="Currency 6 3 2" xfId="498" xr:uid="{36A27479-5D8C-4CA6-B6D3-8D0841DC17D9}"/>
    <cellStyle name="Currency 6 3 3" xfId="353" xr:uid="{66B19E17-E918-4131-81C9-F82B623E39FD}"/>
    <cellStyle name="Currency 6 4" xfId="144" xr:uid="{01771B1E-9B28-4F40-87E1-60F57668363F}"/>
    <cellStyle name="Currency 6 5" xfId="394" xr:uid="{5F8D801A-4313-4257-BBF4-C57F1617CF37}"/>
    <cellStyle name="Currency 7" xfId="64" xr:uid="{54633DA9-61DF-4C97-A3A0-BFD0967DC9A7}"/>
    <cellStyle name="Currency 7 2" xfId="207" xr:uid="{F3491FD6-3ACC-450D-AEB1-2C9A80059779}"/>
    <cellStyle name="Currency 7 2 2" xfId="465" xr:uid="{8962B67D-8896-4F67-A44D-4DFF7CFC82F5}"/>
    <cellStyle name="Currency 7 2 3" xfId="320" xr:uid="{4219B197-C288-4AF9-AB8E-7E5171256A19}"/>
    <cellStyle name="Currency 7 3" xfId="257" xr:uid="{6B649983-7231-46A0-8072-06A28F928599}"/>
    <cellStyle name="Currency 7 3 2" xfId="506" xr:uid="{65019F11-0380-4B59-BA7E-DCAFD4FB0659}"/>
    <cellStyle name="Currency 7 3 3" xfId="361" xr:uid="{63131AD5-9683-467A-A52D-E4B1DBBDC9EE}"/>
    <cellStyle name="Currency 7 4" xfId="152" xr:uid="{2BFA0B3A-137C-4145-982B-746CF8457254}"/>
    <cellStyle name="Currency 7 5" xfId="402" xr:uid="{7D9D0B18-B2AC-4DA9-BAF6-E5AF9CD085E0}"/>
    <cellStyle name="Currency 8" xfId="68" xr:uid="{BB1822A9-1506-4127-A7C2-972EEFEB10EA}"/>
    <cellStyle name="Currency 9" xfId="79" xr:uid="{CFFE9D8F-E3C6-4B84-8D56-F302E9939A3B}"/>
    <cellStyle name="Currency 9 2" xfId="214" xr:uid="{3DAA478C-935E-48ED-B901-3852D9AB9857}"/>
    <cellStyle name="Currency 9 3" xfId="173" xr:uid="{F9ECA7E8-704A-4767-B329-F48C2BDA6C1D}"/>
    <cellStyle name="Currency 9 3 2" xfId="448" xr:uid="{BADA61A8-42F3-4188-BF13-F1217AE17DF6}"/>
    <cellStyle name="Currency 9 4" xfId="303" xr:uid="{B31ED97E-5C78-4987-B854-135CF0E7511F}"/>
    <cellStyle name="Followed Hyperlink" xfId="4" builtinId="9" customBuiltin="1"/>
    <cellStyle name="Followed Hyperlink 2" xfId="126" xr:uid="{CADF696A-36F5-4A8F-AA72-78DF7AC09D5D}"/>
    <cellStyle name="Followed Hyperlink 3" xfId="125" xr:uid="{6D4D9128-791D-41A1-85E2-0DC7F021E87E}"/>
    <cellStyle name="Hyperlink" xfId="5" builtinId="8" customBuiltin="1"/>
    <cellStyle name="Hyperlink 2" xfId="127" xr:uid="{D49BD441-C257-4E34-94B8-5B3707302802}"/>
    <cellStyle name="Hyperlink 3" xfId="124" xr:uid="{38DBD1BF-31FD-4227-8688-3A90DC9A23CE}"/>
    <cellStyle name="Manual-Input" xfId="17" xr:uid="{00000000-0005-0000-0000-000007000000}"/>
    <cellStyle name="Normal" xfId="0" builtinId="0"/>
    <cellStyle name="Normal 10" xfId="89" xr:uid="{12A1E5A9-0BF5-403C-ADDC-227D9E2843B5}"/>
    <cellStyle name="Normal 10 2" xfId="221" xr:uid="{37931A97-BA6A-43FE-8550-CADFAD1C10B6}"/>
    <cellStyle name="Normal 10 3" xfId="157" xr:uid="{9733158F-4515-497B-8D5D-E3A909418C05}"/>
    <cellStyle name="Normal 11" xfId="100" xr:uid="{1E5A451B-5A9C-4DD4-A8AD-D3BD668AD312}"/>
    <cellStyle name="Normal 11 2" xfId="222" xr:uid="{CD3C65B2-5EBF-4A50-B418-987F0007E6B1}"/>
    <cellStyle name="Normal 11 2 2" xfId="471" xr:uid="{8C310B7E-A607-4725-B228-987B61EC2BBA}"/>
    <cellStyle name="Normal 11 2 3" xfId="326" xr:uid="{85ED82B9-CBCC-40D7-B9F1-6E6187AED3C7}"/>
    <cellStyle name="Normal 11 3" xfId="263" xr:uid="{383DA189-243D-4B9A-8AF4-8D7063541D1A}"/>
    <cellStyle name="Normal 11 3 2" xfId="512" xr:uid="{6346BF8B-0D19-417D-9CE5-9AA988638700}"/>
    <cellStyle name="Normal 11 3 3" xfId="367" xr:uid="{66C4ABB5-0691-4AD0-A5C1-24B48E4B7552}"/>
    <cellStyle name="Normal 11 4" xfId="171" xr:uid="{E058FFAC-AA0D-4829-898E-20F84EECD304}"/>
    <cellStyle name="Normal 11 4 2" xfId="446" xr:uid="{FBB94BAD-2A0D-4BA6-A667-4FE5DCDADA37}"/>
    <cellStyle name="Normal 11 5" xfId="408" xr:uid="{B81A3CEE-0265-4007-A0F0-E8FB1CB800FD}"/>
    <cellStyle name="Normal 11 6" xfId="301" xr:uid="{B39F744E-B04A-4320-881B-498A443C403A}"/>
    <cellStyle name="Normal 12" xfId="116" xr:uid="{7DF3E21C-D574-45A4-AB1C-3AAD85D883DB}"/>
    <cellStyle name="Normal 12 2" xfId="237" xr:uid="{CF3E6B84-0C49-41B9-9848-E7645DDD00BC}"/>
    <cellStyle name="Normal 12 2 2" xfId="486" xr:uid="{A2D7EB6B-CC10-497D-95E2-D8CDE9A62088}"/>
    <cellStyle name="Normal 12 2 3" xfId="341" xr:uid="{44ED8854-F9A5-4B94-9847-9EFAA32278DE}"/>
    <cellStyle name="Normal 12 3" xfId="278" xr:uid="{F5D7D99D-FC1B-426F-8247-D15E85A7B128}"/>
    <cellStyle name="Normal 12 3 2" xfId="527" xr:uid="{C3001CAE-1551-42B5-AA0F-AD01C3ADF4F1}"/>
    <cellStyle name="Normal 12 3 3" xfId="382" xr:uid="{BF892FF3-9759-4723-8A0C-FF7AD0B512B2}"/>
    <cellStyle name="Normal 12 4" xfId="174" xr:uid="{8EBF7D02-A359-4010-87A0-7804ECBB3658}"/>
    <cellStyle name="Normal 12 4 2" xfId="449" xr:uid="{640245C3-E3F2-4766-AD9A-636F48CFC7B6}"/>
    <cellStyle name="Normal 12 5" xfId="423" xr:uid="{E2DBC4EF-A83D-4CDD-AB70-BB70B0AD7AAE}"/>
    <cellStyle name="Normal 12 6" xfId="304" xr:uid="{9A017E7A-E235-4CBE-BB36-EDE8D91EBD63}"/>
    <cellStyle name="Normal 13" xfId="120" xr:uid="{9F5A81E8-F80B-4215-9DC8-0D380769BF02}"/>
    <cellStyle name="Normal 13 2" xfId="281" xr:uid="{4BB79537-33E2-4794-8741-7BE6D82DAE7E}"/>
    <cellStyle name="Normal 13 2 2" xfId="530" xr:uid="{28EEA33D-3535-4130-B4C3-A56315ADE8BF}"/>
    <cellStyle name="Normal 13 2 3" xfId="385" xr:uid="{291A12D9-EBA5-4812-B55C-41B47EFDF584}"/>
    <cellStyle name="Normal 13 3" xfId="240" xr:uid="{E24E2BCD-A78C-427F-96D7-D1EA52AF0EA9}"/>
    <cellStyle name="Normal 13 3 2" xfId="489" xr:uid="{A18743BE-F736-4E7E-9C5B-ECA90DC630D9}"/>
    <cellStyle name="Normal 13 4" xfId="426" xr:uid="{1A7558EC-E567-4259-B3AC-C9CA8F6D8B65}"/>
    <cellStyle name="Normal 13 5" xfId="344" xr:uid="{1CCABABA-598C-4B39-8921-1AB6657096EE}"/>
    <cellStyle name="Normal 16" xfId="54" xr:uid="{9A140913-1FF0-4050-AF17-3F725168255D}"/>
    <cellStyle name="Normal 2" xfId="16" xr:uid="{00000000-0005-0000-0000-000009000000}"/>
    <cellStyle name="Normal 2 10" xfId="92" xr:uid="{87F7C32E-602C-48EC-A92B-335B4D5D476C}"/>
    <cellStyle name="Normal 2 10 3 8 2" xfId="22" xr:uid="{00000000-0005-0000-0000-00000A000000}"/>
    <cellStyle name="Normal 2 10 3 8 2 2" xfId="246" xr:uid="{AE089D8B-2C28-45F8-BDB0-1233045D922F}"/>
    <cellStyle name="Normal 2 10 3 8 2 2 2" xfId="495" xr:uid="{F0AC0E08-4D9C-4ABD-A70E-E814D2896EAE}"/>
    <cellStyle name="Normal 2 10 3 8 2 2 3" xfId="350" xr:uid="{139631D2-9EF7-4032-B4EE-4D014BD51B18}"/>
    <cellStyle name="Normal 2 10 3 8 2 3" xfId="179" xr:uid="{311262DB-F7FD-42F2-88FA-51D26C9DC1AF}"/>
    <cellStyle name="Normal 2 10 3 8 2 3 2" xfId="454" xr:uid="{51548EF7-1DD9-4872-B983-879C302D8EA1}"/>
    <cellStyle name="Normal 2 10 3 8 2 4" xfId="391" xr:uid="{2102E35F-41BB-4C67-A215-E644BEFA6A19}"/>
    <cellStyle name="Normal 2 10 3 8 2 5" xfId="309" xr:uid="{63B892F8-A6FF-476B-AA53-FADD7446DF09}"/>
    <cellStyle name="Normal 2 11" xfId="102" xr:uid="{98B19B0D-6D27-440E-908E-2D4A355F7032}"/>
    <cellStyle name="Normal 2 11 2" xfId="265" xr:uid="{7AAEC802-6465-49A5-AB46-9302252F23ED}"/>
    <cellStyle name="Normal 2 11 2 2" xfId="514" xr:uid="{7F66682B-FF40-4297-A367-C3CF09394C45}"/>
    <cellStyle name="Normal 2 11 2 3" xfId="369" xr:uid="{768214F8-9DAD-47EA-9C0D-B32B1179C2B4}"/>
    <cellStyle name="Normal 2 11 3" xfId="224" xr:uid="{3023EF69-328E-462E-A910-3824707226E7}"/>
    <cellStyle name="Normal 2 11 3 2" xfId="473" xr:uid="{5DB2AD84-5C5E-421B-8FB5-55BE5986FBB5}"/>
    <cellStyle name="Normal 2 11 4" xfId="410" xr:uid="{542BB4DD-00C8-42AC-B0B6-2588AEC4791B}"/>
    <cellStyle name="Normal 2 11 5" xfId="328" xr:uid="{E630722D-AB00-4663-9993-C06965A03F08}"/>
    <cellStyle name="Normal 2 12" xfId="119" xr:uid="{6A2996A0-4A04-4EB1-87C0-57179ED12413}"/>
    <cellStyle name="Normal 2 2" xfId="6" xr:uid="{00000000-0005-0000-0000-00000B000000}"/>
    <cellStyle name="Normal 2 2 2" xfId="33" xr:uid="{995E8FC5-F1D5-4E9A-9256-0506B9782D06}"/>
    <cellStyle name="Normal 2 2 2 2" xfId="107" xr:uid="{6F85171D-8EF1-486B-82E8-FDAD0943DFDE}"/>
    <cellStyle name="Normal 2 2 2 2 2" xfId="228" xr:uid="{96686C61-51FA-4467-A653-ED7D0665AF2B}"/>
    <cellStyle name="Normal 2 2 2 2 2 2" xfId="477" xr:uid="{00CA8AE7-F4BE-4B47-8F00-08AEFC716872}"/>
    <cellStyle name="Normal 2 2 2 2 2 3" xfId="332" xr:uid="{3FF0591F-5D10-41F9-8A72-D475D518EA07}"/>
    <cellStyle name="Normal 2 2 2 2 3" xfId="269" xr:uid="{2E1E7F57-C9AE-4017-9BE8-E7BB97EA5B29}"/>
    <cellStyle name="Normal 2 2 2 2 3 2" xfId="518" xr:uid="{A9D0513C-95E8-433D-AA56-DB2C26341AAA}"/>
    <cellStyle name="Normal 2 2 2 2 3 3" xfId="373" xr:uid="{7BD2832B-F13B-4B5F-9FA1-BF8A35D24F78}"/>
    <cellStyle name="Normal 2 2 2 2 4" xfId="169" xr:uid="{35DA75C6-BC64-421B-AD0B-8F9175EC506F}"/>
    <cellStyle name="Normal 2 2 2 2 4 2" xfId="444" xr:uid="{633C9D4C-535F-445A-B6E3-F562B78FA731}"/>
    <cellStyle name="Normal 2 2 2 2 4 3" xfId="533" xr:uid="{3F423E0F-F019-43F2-9514-748FBD1AE977}"/>
    <cellStyle name="Normal 2 2 2 2 5" xfId="414" xr:uid="{25F1740A-7839-47C7-879E-8BB9679E4A3B}"/>
    <cellStyle name="Normal 2 2 2 2 6" xfId="299" xr:uid="{7A59D4EA-63DE-4500-BC50-0825558AF162}"/>
    <cellStyle name="Normal 2 2 3" xfId="104" xr:uid="{F87584F3-393C-47DC-B139-6E5F93599796}"/>
    <cellStyle name="Normal 2 2 3 2" xfId="226" xr:uid="{A382B013-CE3C-43CC-A19C-AB30B36800EE}"/>
    <cellStyle name="Normal 2 2 3 2 2" xfId="475" xr:uid="{34E2531C-9074-457D-B8C7-058C7BEECE07}"/>
    <cellStyle name="Normal 2 2 3 2 3" xfId="330" xr:uid="{F3364504-719B-4644-BA7E-79482C1024CC}"/>
    <cellStyle name="Normal 2 2 3 3" xfId="267" xr:uid="{CDF38931-D794-41D1-9ADF-01B5FF976BE9}"/>
    <cellStyle name="Normal 2 2 3 3 2" xfId="516" xr:uid="{614FB660-1E76-4A2D-9D03-207CECFAC046}"/>
    <cellStyle name="Normal 2 2 3 3 3" xfId="371" xr:uid="{A52D18B0-B4AF-40C7-8037-EFAF9C0E58BB}"/>
    <cellStyle name="Normal 2 2 3 4" xfId="167" xr:uid="{2514823E-44E3-400D-BF5F-98AF15F1DA05}"/>
    <cellStyle name="Normal 2 2 3 4 2" xfId="442" xr:uid="{813CA415-3596-4474-8FFB-572D009D7C01}"/>
    <cellStyle name="Normal 2 2 3 5" xfId="412" xr:uid="{6F6043CF-402E-4442-8C13-BE8F041F190B}"/>
    <cellStyle name="Normal 2 2 3 6" xfId="297" xr:uid="{DB37ED9B-1F03-4CE5-9631-CADB89C5866F}"/>
    <cellStyle name="Normal 2 3" xfId="7" xr:uid="{00000000-0005-0000-0000-00000C000000}"/>
    <cellStyle name="Normal 2 3 2" xfId="131" xr:uid="{FF86457C-F612-4C4F-A454-53F19A169EB3}"/>
    <cellStyle name="Normal 2 3 2 2" xfId="432" xr:uid="{0A19BF9A-D7E0-4BED-903A-23D8292EC82E}"/>
    <cellStyle name="Normal 2 3 2 3" xfId="287" xr:uid="{04BD9ED6-9F3A-4AC8-A1CA-E4A0F5480525}"/>
    <cellStyle name="Normal 2 4" xfId="24" xr:uid="{D05E2371-8351-48E0-9DC9-F5A796FE0EC6}"/>
    <cellStyle name="Normal 2 4 2" xfId="180" xr:uid="{3DCF7B06-860B-47DA-85F3-EEA8B36C2283}"/>
    <cellStyle name="Normal 2 4 3" xfId="128" xr:uid="{A931C357-ABAE-4DB4-A67A-35A1F41BD692}"/>
    <cellStyle name="Normal 2 4 3 2" xfId="429" xr:uid="{77C1E9C2-D72F-4A8F-90A1-1408119765C3}"/>
    <cellStyle name="Normal 2 4 4" xfId="284" xr:uid="{601BBAAB-B074-4777-88DC-8282AD8BC771}"/>
    <cellStyle name="Normal 2 5" xfId="43" xr:uid="{8884734F-0EEE-4646-A7C8-6F018E0E0D71}"/>
    <cellStyle name="Normal 2 5 2" xfId="95" xr:uid="{40790F91-8D70-4AE0-B1A4-37AF9F11A3C6}"/>
    <cellStyle name="Normal 2 5 3" xfId="192" xr:uid="{91402E3A-A5C0-47DB-8579-EC0D7057505A}"/>
    <cellStyle name="Normal 2 6" xfId="47" xr:uid="{F25FFFBC-24F0-4FE1-835E-868EE86BCC13}"/>
    <cellStyle name="Normal 2 6 2" xfId="194" xr:uid="{BB09688B-CC3C-4D88-A4A1-F198FA3F03C6}"/>
    <cellStyle name="Normal 2 6 3" xfId="154" xr:uid="{FF2B14B7-AF9E-4F38-AEDE-C44A762B97BF}"/>
    <cellStyle name="Normal 2 7" xfId="51" xr:uid="{D1881FCF-1D19-4E2A-A6FC-9BA00A0D0423}"/>
    <cellStyle name="Normal 2 7 2" xfId="198" xr:uid="{BF56AFBF-BD6F-410A-9601-1665824CB3F4}"/>
    <cellStyle name="Normal 2 7 3" xfId="161" xr:uid="{2131156D-5A21-4B72-9053-B34F5CCBC7E2}"/>
    <cellStyle name="Normal 2 8" xfId="58" xr:uid="{C9223291-4F2A-4D9C-B1E0-6FA0F3329FD3}"/>
    <cellStyle name="Normal 2 8 2" xfId="202" xr:uid="{E53FC024-812B-4FF3-850F-28E3998A9A7E}"/>
    <cellStyle name="Normal 2 8 2 2" xfId="460" xr:uid="{743CD283-0B63-4355-A62B-D02DF11838B7}"/>
    <cellStyle name="Normal 2 8 2 3" xfId="315" xr:uid="{C1B77351-85F6-438B-8FCF-FABD16C5B510}"/>
    <cellStyle name="Normal 2 8 3" xfId="252" xr:uid="{F74A241C-73D3-48B9-9567-3CB631F30C70}"/>
    <cellStyle name="Normal 2 8 3 2" xfId="501" xr:uid="{E8EAA0D2-B42B-43B2-8EDA-166BC53098CE}"/>
    <cellStyle name="Normal 2 8 3 3" xfId="356" xr:uid="{E96DF6E5-4671-4835-928C-1F5F4DE6EAEA}"/>
    <cellStyle name="Normal 2 8 4" xfId="163" xr:uid="{5E63546B-537E-4740-A13C-2D3D8D70FC52}"/>
    <cellStyle name="Normal 2 8 5" xfId="397" xr:uid="{D311DE9B-984D-4952-AB70-A5C1574D8839}"/>
    <cellStyle name="Normal 2 9" xfId="76" xr:uid="{FD7AC96A-BF65-40C1-BD19-EC814476D0B3}"/>
    <cellStyle name="Normal 3" xfId="19" xr:uid="{00000000-0005-0000-0000-00000D000000}"/>
    <cellStyle name="Normal 3 2" xfId="26" xr:uid="{9151D792-0A8F-4FDB-AD2F-2E3D6B47A5BE}"/>
    <cellStyle name="Normal 3 2 2" xfId="71" xr:uid="{B0862CD5-64B8-4A0A-B488-D9BD7A6B1322}"/>
    <cellStyle name="Normal 3 2 2 2" xfId="211" xr:uid="{CA7E147D-C23E-458E-BBE5-B25F53D58089}"/>
    <cellStyle name="Normal 3 2 2 3" xfId="145" xr:uid="{07FF9602-7C50-46AB-8104-FB5222BB5388}"/>
    <cellStyle name="Normal 3 2 3" xfId="82" xr:uid="{884C6879-9F35-4F40-B3E3-A5256B73E04E}"/>
    <cellStyle name="Normal 3 2 3 2" xfId="215" xr:uid="{ADE7EC23-FA9A-4FAA-9039-C4CE727C7252}"/>
    <cellStyle name="Normal 3 2 3 3" xfId="159" xr:uid="{74C31DD3-5DC2-4564-A3B0-D360E8BEE6FB}"/>
    <cellStyle name="Normal 3 2 4" xfId="94" xr:uid="{CD6FACB2-B9BC-4F32-9E72-D56D7672F9E2}"/>
    <cellStyle name="Normal 3 2 5" xfId="181" xr:uid="{D9B0C30E-FD1E-48FF-AA7D-47867E8C5F51}"/>
    <cellStyle name="Normal 3 3" xfId="73" xr:uid="{FA19EB06-738C-4F2D-A58E-21A01FD0E2AB}"/>
    <cellStyle name="Normal 3 4" xfId="77" xr:uid="{3C0B7455-AE6A-48F0-A700-1AB5BE573C30}"/>
    <cellStyle name="Normal 3 4 2" xfId="212" xr:uid="{5B87F943-2048-49F8-A076-26664AEF3AAB}"/>
    <cellStyle name="Normal 3 4 2 2" xfId="466" xr:uid="{097FFBCE-0411-49CF-942E-99397C8F02EC}"/>
    <cellStyle name="Normal 3 4 2 3" xfId="321" xr:uid="{08AD3A38-A6BA-49AE-B548-B9E464735538}"/>
    <cellStyle name="Normal 3 4 3" xfId="258" xr:uid="{ACFFF254-F3AC-440D-BC94-776667A51920}"/>
    <cellStyle name="Normal 3 4 3 2" xfId="507" xr:uid="{D0BA53AE-CDD2-4737-B6E0-C16B2D3D9B58}"/>
    <cellStyle name="Normal 3 4 3 3" xfId="362" xr:uid="{70140252-A4EE-4453-AF4A-C4F486468D4C}"/>
    <cellStyle name="Normal 3 4 4" xfId="164" xr:uid="{B03D78AA-1096-4C70-A4E8-64FDAB6621F5}"/>
    <cellStyle name="Normal 3 4 4 2" xfId="440" xr:uid="{75701785-E316-453D-90EE-8899EBC31DDD}"/>
    <cellStyle name="Normal 3 4 5" xfId="403" xr:uid="{695914C4-2A9D-43BA-8212-635B861EED16}"/>
    <cellStyle name="Normal 3 4 6" xfId="295" xr:uid="{66C0D9A3-1C31-4A00-8D12-04DCED82DB88}"/>
    <cellStyle name="Normal 3 5" xfId="176" xr:uid="{9AAC6BA8-5F6C-4F7A-B4FB-92620DEB2508}"/>
    <cellStyle name="Normal 3 5 2" xfId="451" xr:uid="{A1A74219-715A-4B7C-98D0-3F4AE3423643}"/>
    <cellStyle name="Normal 3 5 3" xfId="306" xr:uid="{B3734A8D-B629-446D-B21E-938FABCE4053}"/>
    <cellStyle name="Normal 3 6" xfId="243" xr:uid="{6D282071-A375-45CE-8DF8-E24A3FE93B0C}"/>
    <cellStyle name="Normal 3 6 2" xfId="492" xr:uid="{51053DAA-B229-47AB-92CD-F9A72EB9C2E5}"/>
    <cellStyle name="Normal 3 6 3" xfId="347" xr:uid="{4F837485-0466-4E95-9FAF-A8910EF161BC}"/>
    <cellStyle name="Normal 3 7" xfId="388" xr:uid="{878024B0-E9ED-47BE-8BCE-75DC0C466A7E}"/>
    <cellStyle name="Normal 4" xfId="32" xr:uid="{4B27C634-7EA7-418B-8165-4D5A70805AB8}"/>
    <cellStyle name="Normal 4 2" xfId="38" xr:uid="{E39F1F54-701F-48DD-B4B2-A8F007961161}"/>
    <cellStyle name="Normal 4 3" xfId="109" xr:uid="{DAB7B0A1-6FA0-47A2-B7C2-F78C59B89615}"/>
    <cellStyle name="Normal 4 3 2" xfId="271" xr:uid="{1F795732-15F9-4DEF-B981-6D3CC8EFD043}"/>
    <cellStyle name="Normal 4 3 2 2" xfId="520" xr:uid="{5BD31F14-0316-42FE-AB8F-A56F2B86DD9A}"/>
    <cellStyle name="Normal 4 3 2 3" xfId="375" xr:uid="{C41FBEB4-9156-4CBD-B026-D07768A85209}"/>
    <cellStyle name="Normal 4 3 3" xfId="230" xr:uid="{2B308340-C6FD-4046-AB80-4E71B1630FDA}"/>
    <cellStyle name="Normal 4 3 3 2" xfId="479" xr:uid="{EF9B1F29-5B81-4429-ABF6-19A84C154011}"/>
    <cellStyle name="Normal 4 3 4" xfId="416" xr:uid="{09064985-D531-45CB-9710-E6AF9DBE582C}"/>
    <cellStyle name="Normal 4 3 5" xfId="334" xr:uid="{B043C7A6-AE4F-4D5D-BBE3-17FD43D70FB7}"/>
    <cellStyle name="Normal 4 4" xfId="187" xr:uid="{A9B07987-8AF0-492E-B70A-F15C0C183664}"/>
    <cellStyle name="Normal 48" xfId="61" xr:uid="{D559CB68-ADDA-4E46-9760-F433A2E3695C}"/>
    <cellStyle name="Normal 48 2" xfId="205" xr:uid="{D84BD5D7-D692-4A1A-9380-9F892608122B}"/>
    <cellStyle name="Normal 48 2 2" xfId="463" xr:uid="{2EDDE6D6-415D-48D1-B001-ACAF8FDB455A}"/>
    <cellStyle name="Normal 48 2 3" xfId="318" xr:uid="{6EA591BC-9228-4E3A-A6E7-9B038779175B}"/>
    <cellStyle name="Normal 48 3" xfId="255" xr:uid="{743EC0CC-25E7-42C5-BA75-AC73B494EB56}"/>
    <cellStyle name="Normal 48 3 2" xfId="504" xr:uid="{573965DE-D7A8-41C2-B3D1-1EB3468A2034}"/>
    <cellStyle name="Normal 48 3 3" xfId="359" xr:uid="{F3FF3160-DBF7-4594-AA92-EDA3AEA2A233}"/>
    <cellStyle name="Normal 48 4" xfId="132" xr:uid="{406CEA3C-2594-4949-BE65-155EA5A5813A}"/>
    <cellStyle name="Normal 48 4 2" xfId="433" xr:uid="{C35F626A-AE1E-40CE-836E-F4A2C27AA6F5}"/>
    <cellStyle name="Normal 48 5" xfId="400" xr:uid="{8CB728E9-8B2C-4997-9CC1-6FEF4A2D78CF}"/>
    <cellStyle name="Normal 48 6" xfId="288" xr:uid="{F212E431-FC65-4EBB-9261-1C0F081E46B4}"/>
    <cellStyle name="Normal 5" xfId="40" xr:uid="{C36E02FA-0361-4F2A-824D-9D21C2DCE895}"/>
    <cellStyle name="Normal 5 2" xfId="81" xr:uid="{297DAEED-2C13-4F46-915D-C742488C358A}"/>
    <cellStyle name="Normal 5 3" xfId="85" xr:uid="{E6D019F9-3853-454A-A68C-2ED5DA49B616}"/>
    <cellStyle name="Normal 5 3 2" xfId="260" xr:uid="{15DC49D1-B834-435E-BEBE-D943FD64C916}"/>
    <cellStyle name="Normal 5 3 2 2" xfId="509" xr:uid="{EF7E05DC-3EA0-4CB1-AB4B-A7570D3A1C33}"/>
    <cellStyle name="Normal 5 3 2 3" xfId="364" xr:uid="{C15F929C-CAC6-41ED-8FC6-B5AAC0BF5A0A}"/>
    <cellStyle name="Normal 5 3 3" xfId="218" xr:uid="{E408C60F-B7F7-447E-8D06-A79A377B6C66}"/>
    <cellStyle name="Normal 5 3 3 2" xfId="468" xr:uid="{AD84C87D-8233-4EEB-9916-8CF07F19D707}"/>
    <cellStyle name="Normal 5 3 4" xfId="405" xr:uid="{C29C0152-DD74-4FBD-AA1D-18330C946216}"/>
    <cellStyle name="Normal 5 3 5" xfId="323" xr:uid="{B06F9AA0-87F4-48F5-A65B-A3EA38F0451F}"/>
    <cellStyle name="Normal 5 4" xfId="189" xr:uid="{BF781992-F70B-44C2-888A-C7D2CC8E218D}"/>
    <cellStyle name="Normal 5 5" xfId="137" xr:uid="{86ACEB49-243D-4591-A4F9-AAFD41C46ABB}"/>
    <cellStyle name="Normal 5 5 2" xfId="435" xr:uid="{C9B2FB10-4CB9-46C2-BAAC-04B0BA35AE0F}"/>
    <cellStyle name="Normal 5 6" xfId="290" xr:uid="{AC19A155-2964-4120-9FB1-FF6EF64AA022}"/>
    <cellStyle name="Normal 6" xfId="8" xr:uid="{00000000-0005-0000-0000-00000E000000}"/>
    <cellStyle name="Normal 6 2" xfId="67" xr:uid="{893B1297-DB91-4862-91FB-75675FA4E0B4}"/>
    <cellStyle name="Normal 6 2 2" xfId="108" xr:uid="{9104CE72-EB10-4F3A-9599-BBF661F40372}"/>
    <cellStyle name="Normal 6 2 2 2" xfId="229" xr:uid="{72A5387B-0E93-40B0-9DD5-73099D24FCBB}"/>
    <cellStyle name="Normal 6 2 2 2 2" xfId="478" xr:uid="{46BFA0DA-2F64-4D38-A126-90BA91B1B293}"/>
    <cellStyle name="Normal 6 2 2 2 3" xfId="333" xr:uid="{90D18F43-29BF-4D0A-AD9E-36DC57C91E9C}"/>
    <cellStyle name="Normal 6 2 2 3" xfId="270" xr:uid="{64FD0A79-E5AA-4565-91DA-2C302CAFF46D}"/>
    <cellStyle name="Normal 6 2 2 3 2" xfId="519" xr:uid="{48CDA873-0985-4AB6-9760-10148AB30300}"/>
    <cellStyle name="Normal 6 2 2 3 3" xfId="374" xr:uid="{0B84BAE2-AA24-4E52-AB4B-42629F5A1F33}"/>
    <cellStyle name="Normal 6 2 2 4" xfId="170" xr:uid="{2D08D788-E1CB-4285-82A5-1A798A0DCDA6}"/>
    <cellStyle name="Normal 6 2 2 4 2" xfId="445" xr:uid="{EC1058DD-28E6-43E3-B331-6E1EB885AB03}"/>
    <cellStyle name="Normal 6 2 2 5" xfId="415" xr:uid="{670744C0-E689-413D-819C-41D037D0A050}"/>
    <cellStyle name="Normal 6 2 2 6" xfId="300" xr:uid="{B4E94788-E8B7-43AF-B51B-5F173FB7DF46}"/>
    <cellStyle name="Normal 6 3" xfId="106" xr:uid="{DE36A383-E003-4375-B82A-99697B50F189}"/>
    <cellStyle name="Normal 6 3 2" xfId="227" xr:uid="{FF3353A0-01A5-4BFC-B589-8489039C0A3E}"/>
    <cellStyle name="Normal 6 3 2 2" xfId="476" xr:uid="{5B65EC24-8B83-4CC0-A101-B654154329FD}"/>
    <cellStyle name="Normal 6 3 2 3" xfId="331" xr:uid="{6B78131A-334D-4F0C-9771-B629EB397D68}"/>
    <cellStyle name="Normal 6 3 3" xfId="268" xr:uid="{40356713-4E9D-4991-9450-ED6135B8FCA7}"/>
    <cellStyle name="Normal 6 3 3 2" xfId="517" xr:uid="{6FF63AE7-21DD-4FF3-AA47-D1A7F6B95791}"/>
    <cellStyle name="Normal 6 3 3 3" xfId="372" xr:uid="{674587AD-5D14-4FBE-AF12-F10D3C761084}"/>
    <cellStyle name="Normal 6 3 4" xfId="168" xr:uid="{31EEA926-EA74-4ACD-897A-65BF1029A804}"/>
    <cellStyle name="Normal 6 3 4 2" xfId="443" xr:uid="{05FCF02A-F003-41E8-9BE2-D730DE82E7D2}"/>
    <cellStyle name="Normal 6 3 5" xfId="413" xr:uid="{E3918F55-5909-4F20-80E2-6C3185813236}"/>
    <cellStyle name="Normal 6 3 6" xfId="298" xr:uid="{8FDEA2C1-0F7A-4352-92EE-6F9791EF7BD4}"/>
    <cellStyle name="Normal 7" xfId="46" xr:uid="{0A7B3410-5993-4F52-8CBF-E2C6B3C3AF36}"/>
    <cellStyle name="Normal 7 2" xfId="193" xr:uid="{55CE8DB7-2484-4B69-8FD8-6218356E43B7}"/>
    <cellStyle name="Normal 7 3" xfId="146" xr:uid="{D15E873E-9B2A-4273-9134-F7054BD3D3AE}"/>
    <cellStyle name="Normal 73" xfId="87" xr:uid="{8F6C7311-7CF2-4C22-A836-78E41F7CC18E}"/>
    <cellStyle name="Normal 73 2" xfId="220" xr:uid="{E57CAAB3-7F17-478C-A7D4-CD3661CF1976}"/>
    <cellStyle name="Normal 73 2 2" xfId="470" xr:uid="{4FB78F26-2276-477F-9D53-1EDF17A542B8}"/>
    <cellStyle name="Normal 73 2 3" xfId="325" xr:uid="{0123E9BD-2150-4D4A-BCDB-2059F9D9F7FC}"/>
    <cellStyle name="Normal 73 3" xfId="262" xr:uid="{DAC0B6BA-7928-41D7-AEB7-5C02657B5683}"/>
    <cellStyle name="Normal 73 3 2" xfId="511" xr:uid="{493A5954-520E-4D0C-B9CD-71F3F0BAAB13}"/>
    <cellStyle name="Normal 73 3 3" xfId="366" xr:uid="{10CEC422-4D02-4ED6-9B52-96542C07E5B7}"/>
    <cellStyle name="Normal 73 4" xfId="141" xr:uid="{B6AC2AB5-3CB5-4E5A-9023-BE0868D5B958}"/>
    <cellStyle name="Normal 73 4 2" xfId="437" xr:uid="{5CE1990B-98DA-457A-86FB-46FB0CFA38ED}"/>
    <cellStyle name="Normal 73 5" xfId="407" xr:uid="{D7130224-B326-498E-8ADB-DF30118D63F7}"/>
    <cellStyle name="Normal 73 6" xfId="292" xr:uid="{B3F04535-392D-4BF2-B21F-C6FD82CBAF38}"/>
    <cellStyle name="Normal 77 2" xfId="112" xr:uid="{59A80A87-7271-47A3-81D6-436B119E2623}"/>
    <cellStyle name="Normal 77 2 2" xfId="274" xr:uid="{8E3049CC-E488-4EC1-8FC5-72B7E5292EF0}"/>
    <cellStyle name="Normal 77 2 2 2" xfId="523" xr:uid="{FCF0A831-5623-4A65-973A-9183E5CD8211}"/>
    <cellStyle name="Normal 77 2 2 3" xfId="378" xr:uid="{B93F3CE6-6EE2-4CCA-8147-6EDCA9D89880}"/>
    <cellStyle name="Normal 77 2 3" xfId="233" xr:uid="{FE407E42-5C41-4C4C-8F37-4FE9B6C8FC87}"/>
    <cellStyle name="Normal 77 2 3 2" xfId="482" xr:uid="{B60A1E24-BEF8-46FC-9205-3F3136F08979}"/>
    <cellStyle name="Normal 77 2 4" xfId="419" xr:uid="{AFA69C91-F9B4-4999-8C89-6655FC312520}"/>
    <cellStyle name="Normal 77 2 5" xfId="337" xr:uid="{AE48A955-84AB-478C-80E3-5FBA6E010389}"/>
    <cellStyle name="Normal 8" xfId="49" xr:uid="{00562EE2-4A99-4B53-B9D1-9F12695692C2}"/>
    <cellStyle name="Normal 8 2" xfId="53" xr:uid="{36819F9D-D0A3-4698-88B4-DC7BCF4D30C8}"/>
    <cellStyle name="Normal 8 3" xfId="196" xr:uid="{BECF3D4E-7724-49A3-B41F-6DA161E6DC7D}"/>
    <cellStyle name="Normal 8 3 2" xfId="455" xr:uid="{6B06B929-6153-474E-809E-98C16E9F50CD}"/>
    <cellStyle name="Normal 8 3 3" xfId="310" xr:uid="{A39363C0-9EDE-4E32-839B-373E332B1467}"/>
    <cellStyle name="Normal 8 4" xfId="247" xr:uid="{19AAFD0C-8219-4585-BCA0-80DE36340A43}"/>
    <cellStyle name="Normal 8 4 2" xfId="496" xr:uid="{7985AC2A-8BA3-44B5-A281-6B6FE539CCD8}"/>
    <cellStyle name="Normal 8 4 3" xfId="351" xr:uid="{A9079DDC-DEFB-4FED-AC4E-9C875D0C1D25}"/>
    <cellStyle name="Normal 8 5" xfId="392" xr:uid="{56D111FC-8277-4684-A44F-3C3478DA9449}"/>
    <cellStyle name="Normal 9" xfId="66" xr:uid="{FF8127B8-8C96-4F00-B623-E3D1B6C81C5F}"/>
    <cellStyle name="Normal 9 2" xfId="209" xr:uid="{4B13107F-3EC2-4F87-8FBC-82F553A7EB27}"/>
    <cellStyle name="Normal 9 3" xfId="151" xr:uid="{3C6F59FD-E263-48DE-AAE5-7FAF20A84EB2}"/>
    <cellStyle name="Normal_DFIT-WaEle_SUM" xfId="9" xr:uid="{00000000-0005-0000-0000-000010000000}"/>
    <cellStyle name="Normal_IDGas6_97" xfId="10" xr:uid="{00000000-0005-0000-0000-000011000000}"/>
    <cellStyle name="Normal_RestateDebtInt1200case" xfId="11" xr:uid="{00000000-0005-0000-0000-000012000000}"/>
    <cellStyle name="Normal_WAElec6_97" xfId="12" xr:uid="{00000000-0005-0000-0000-000013000000}"/>
    <cellStyle name="Normal_WAElec6_97 2" xfId="23" xr:uid="{00000000-0005-0000-0000-000014000000}"/>
    <cellStyle name="Normal_WAGas6_97" xfId="13" xr:uid="{00000000-0005-0000-0000-000015000000}"/>
    <cellStyle name="Normal_WAGas6_97 2" xfId="123" xr:uid="{C6360322-990B-4EF2-82B4-C4EB78FA43E9}"/>
    <cellStyle name="Percent" xfId="14" builtinId="5"/>
    <cellStyle name="Percent 10" xfId="91" xr:uid="{67EBFA3D-59DE-40A6-87EF-8C10F6D8A767}"/>
    <cellStyle name="Percent 2" xfId="15" xr:uid="{00000000-0005-0000-0000-000017000000}"/>
    <cellStyle name="Percent 2 12" xfId="534" xr:uid="{17F084F8-D4AC-4A18-A099-73DC7074850E}"/>
    <cellStyle name="Percent 2 2" xfId="28" xr:uid="{371E6140-36CF-4787-B78E-2BE1960677E7}"/>
    <cellStyle name="Percent 2 2 2" xfId="56" xr:uid="{1E1CF987-9B20-4FF4-ADCD-CB8E37456A52}"/>
    <cellStyle name="Percent 2 2 3" xfId="183" xr:uid="{FD990299-7C2C-4BF3-99FD-B3EB44B21F8C}"/>
    <cellStyle name="Percent 2 2 4" xfId="129" xr:uid="{1FE41F66-D504-44C9-81F9-64ACF164294D}"/>
    <cellStyle name="Percent 2 2 4 2" xfId="430" xr:uid="{019E9654-52F8-4418-BE32-250CDC106B3A}"/>
    <cellStyle name="Percent 2 2 5" xfId="285" xr:uid="{F1BD56B1-841D-4EE4-A402-9F60F2D421D5}"/>
    <cellStyle name="Percent 2 3" xfId="59" xr:uid="{5F535453-382A-405E-A3CD-A2020EC3BAE6}"/>
    <cellStyle name="Percent 2 3 2" xfId="203" xr:uid="{B6C7D858-D0AA-44E9-9A65-A626509EE0D0}"/>
    <cellStyle name="Percent 2 3 2 2" xfId="461" xr:uid="{5967EE42-871F-4462-A2CC-A28759B03C2B}"/>
    <cellStyle name="Percent 2 3 2 3" xfId="316" xr:uid="{044E497B-0A93-4ED0-81B2-EFCD5067674B}"/>
    <cellStyle name="Percent 2 3 3" xfId="253" xr:uid="{158C3897-7886-40A7-B145-BB4A2694C2A5}"/>
    <cellStyle name="Percent 2 3 3 2" xfId="502" xr:uid="{42A81190-CE12-444A-A284-C200AF6DD6A1}"/>
    <cellStyle name="Percent 2 3 3 3" xfId="357" xr:uid="{7FA717B7-AB0A-477F-A905-8FF978E9DD48}"/>
    <cellStyle name="Percent 2 3 4" xfId="149" xr:uid="{26E917A9-573F-4386-9914-B2D31CD09BA3}"/>
    <cellStyle name="Percent 2 3 5" xfId="398" xr:uid="{A19C3030-E46C-4193-9D79-63FD3FD61692}"/>
    <cellStyle name="Percent 3" xfId="21" xr:uid="{00000000-0005-0000-0000-000018000000}"/>
    <cellStyle name="Percent 3 2" xfId="75" xr:uid="{D45C38B8-CB8E-47D2-834C-3D2DB1FB99AA}"/>
    <cellStyle name="Percent 3 3" xfId="98" xr:uid="{A3705D7E-99C4-4F0C-B002-06CCC1417C02}"/>
    <cellStyle name="Percent 3 4" xfId="178" xr:uid="{8F558B02-A995-489B-AE4E-481B3E639863}"/>
    <cellStyle name="Percent 3 4 2" xfId="453" xr:uid="{2B4A4404-C3CB-46D7-8FDC-6770EB567744}"/>
    <cellStyle name="Percent 3 4 3" xfId="308" xr:uid="{A760E67D-E9FD-414F-8323-7D106CF54D5C}"/>
    <cellStyle name="Percent 3 5" xfId="245" xr:uid="{FF2A8414-348F-4A01-8ECC-6998CB3D9B35}"/>
    <cellStyle name="Percent 3 5 2" xfId="494" xr:uid="{5EAF9786-E86D-496B-9480-91D9C7572AA0}"/>
    <cellStyle name="Percent 3 5 3" xfId="349" xr:uid="{73C9EE46-2B31-46C1-B6C7-3E6F57061F8D}"/>
    <cellStyle name="Percent 3 6" xfId="135" xr:uid="{0C6908BE-FD47-4EB5-9B63-39713E92519B}"/>
    <cellStyle name="Percent 3 7" xfId="390" xr:uid="{F3163F01-BF5C-4ED7-A734-F697DB256037}"/>
    <cellStyle name="Percent 35" xfId="62" xr:uid="{54B1A122-7D7C-4E8F-A47F-077E5B72A9F4}"/>
    <cellStyle name="Percent 35 2" xfId="206" xr:uid="{3F26C41E-A53F-482C-A42C-658CA9BE7CB0}"/>
    <cellStyle name="Percent 35 2 2" xfId="464" xr:uid="{8EAB33B4-22FC-4813-AE14-4B8938FCA4DB}"/>
    <cellStyle name="Percent 35 2 3" xfId="319" xr:uid="{FA11873C-1024-40E4-96BA-699A34482E4C}"/>
    <cellStyle name="Percent 35 3" xfId="256" xr:uid="{FEBDEAD3-18AD-499B-83C8-400A4BA6D17A}"/>
    <cellStyle name="Percent 35 3 2" xfId="505" xr:uid="{E3656E03-FD53-4272-8521-15B7231C304C}"/>
    <cellStyle name="Percent 35 3 3" xfId="360" xr:uid="{4A949865-DD22-41AD-BDA2-FA442E51C8EA}"/>
    <cellStyle name="Percent 35 4" xfId="133" xr:uid="{9D62E3F6-DF4A-40E5-88DA-BF1B5D3F783F}"/>
    <cellStyle name="Percent 35 4 2" xfId="434" xr:uid="{C4A98B27-9B7A-46A3-B172-D6DE09B194A3}"/>
    <cellStyle name="Percent 35 5" xfId="401" xr:uid="{D9F18B8E-32A0-47DD-98D3-4796B25BE2D6}"/>
    <cellStyle name="Percent 35 6" xfId="289" xr:uid="{519E93E1-BA23-44E8-ADE8-F6FC70A9A3EC}"/>
    <cellStyle name="Percent 4" xfId="25" xr:uid="{BCF4B526-26A7-4A30-965B-11B52E609739}"/>
    <cellStyle name="Percent 4 2" xfId="111" xr:uid="{16506E3E-2952-4B2B-AD80-9845C00378E7}"/>
    <cellStyle name="Percent 4 2 2" xfId="273" xr:uid="{9474F52D-5A1A-4ADA-978A-56C0C54B47A1}"/>
    <cellStyle name="Percent 4 2 2 2" xfId="522" xr:uid="{5779D7BA-C033-4648-967B-3B51E3A81B19}"/>
    <cellStyle name="Percent 4 2 2 3" xfId="377" xr:uid="{39D08406-F352-4516-B4FA-F83E7902B441}"/>
    <cellStyle name="Percent 4 2 3" xfId="232" xr:uid="{F347ED60-048E-48AB-BD0C-ABA162EE9B8B}"/>
    <cellStyle name="Percent 4 2 3 2" xfId="481" xr:uid="{123284D9-EEB3-496E-9B47-305888979A84}"/>
    <cellStyle name="Percent 4 2 4" xfId="418" xr:uid="{01716E04-D076-43C4-BD26-6727D41CEA2D}"/>
    <cellStyle name="Percent 4 2 5" xfId="336" xr:uid="{510BE3DF-B501-4558-8DF2-C6ADBD55209C}"/>
    <cellStyle name="Percent 5" xfId="31" xr:uid="{0AAD14B4-24A4-47E9-95D7-DA51B07F15BF}"/>
    <cellStyle name="Percent 5 2" xfId="186" xr:uid="{76C668E9-7D99-4B1A-B33F-272267520282}"/>
    <cellStyle name="Percent 5 3" xfId="147" xr:uid="{CA5681F0-D604-40C3-86E1-9147A132C3D3}"/>
    <cellStyle name="Percent 6" xfId="39" xr:uid="{D688978D-F5FB-44B2-B088-FE6932B14056}"/>
    <cellStyle name="Percent 7" xfId="44" xr:uid="{4F9EBE74-6685-4EF5-9A1A-DECD934E8494}"/>
    <cellStyle name="Percent 8" xfId="65" xr:uid="{B6F73998-690F-41DD-B386-3244C00136AD}"/>
    <cellStyle name="Percent 8 2" xfId="208" xr:uid="{4D724EA2-83DC-46D0-9E70-407219F55500}"/>
    <cellStyle name="Percent 8 3" xfId="158" xr:uid="{FF0B058F-4050-47C0-A763-C94E669DDE7B}"/>
    <cellStyle name="Percent 9" xfId="69" xr:uid="{5E49280E-CAB7-4763-90EA-2AE88BC7C539}"/>
    <cellStyle name="Percent 9 2" xfId="210" xr:uid="{83BEBB17-F0B2-4817-9FC0-F6951BFF05C4}"/>
    <cellStyle name="Percent 9 3" xfId="160" xr:uid="{5F7120B5-EBB9-40C2-BA68-5BADCBCF23CD}"/>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color rgb="FF0033CC"/>
      <color rgb="FFFFFF99"/>
      <color rgb="FFFD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theme" Target="theme/theme1.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sharedStrings" Target="sharedStrings.xml"/><Relationship Id="rId35" Type="http://schemas.openxmlformats.org/officeDocument/2006/relationships/customXml" Target="../customXml/item3.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21</xdr:col>
      <xdr:colOff>38100</xdr:colOff>
      <xdr:row>82</xdr:row>
      <xdr:rowOff>17953</xdr:rowOff>
    </xdr:from>
    <xdr:to>
      <xdr:col>29</xdr:col>
      <xdr:colOff>601345</xdr:colOff>
      <xdr:row>83</xdr:row>
      <xdr:rowOff>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3639800" y="12267103"/>
          <a:ext cx="5182870" cy="524972"/>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0">
              <a:solidFill>
                <a:schemeClr val="dk1"/>
              </a:solidFill>
              <a:effectLst/>
              <a:latin typeface="+mn-lt"/>
              <a:ea typeface="+mn-ea"/>
              <a:cs typeface="+mn-cs"/>
            </a:rPr>
            <a:t>(1) The Restated TOTAL column does not represent 06/30/2023</a:t>
          </a:r>
          <a:r>
            <a:rPr lang="en-US" sz="900" b="0" baseline="0">
              <a:solidFill>
                <a:schemeClr val="dk1"/>
              </a:solidFill>
              <a:effectLst/>
              <a:latin typeface="+mn-lt"/>
              <a:ea typeface="+mn-ea"/>
              <a:cs typeface="+mn-cs"/>
            </a:rPr>
            <a:t> </a:t>
          </a:r>
          <a:r>
            <a:rPr lang="en-US" sz="900" b="0">
              <a:solidFill>
                <a:schemeClr val="dk1"/>
              </a:solidFill>
              <a:effectLst/>
              <a:latin typeface="+mn-lt"/>
              <a:ea typeface="+mn-ea"/>
              <a:cs typeface="+mn-cs"/>
            </a:rPr>
            <a:t>Test Period Commission Basis results of operation on a normalized basis (CBR basis). Differences</a:t>
          </a:r>
          <a:r>
            <a:rPr lang="en-US" sz="900" b="0" baseline="0">
              <a:solidFill>
                <a:schemeClr val="dk1"/>
              </a:solidFill>
              <a:effectLst/>
              <a:latin typeface="+mn-lt"/>
              <a:ea typeface="+mn-ea"/>
              <a:cs typeface="+mn-cs"/>
            </a:rPr>
            <a:t> exist due to: </a:t>
          </a:r>
          <a:r>
            <a:rPr lang="en-US" sz="900" b="0">
              <a:solidFill>
                <a:schemeClr val="dk1"/>
              </a:solidFill>
              <a:effectLst/>
              <a:latin typeface="+mn-lt"/>
              <a:ea typeface="+mn-ea"/>
              <a:cs typeface="+mn-cs"/>
            </a:rPr>
            <a:t>1) </a:t>
          </a:r>
          <a:r>
            <a:rPr lang="en-US" sz="900" b="0" baseline="0">
              <a:solidFill>
                <a:schemeClr val="dk1"/>
              </a:solidFill>
              <a:effectLst/>
              <a:latin typeface="+mn-lt"/>
              <a:ea typeface="+mn-ea"/>
              <a:cs typeface="+mn-cs"/>
            </a:rPr>
            <a:t>inclusion of proposed (Pro Forma) cost of debt (pro forma versus CBR actual cost of debt) impacting Adj. 2.14; and 2) </a:t>
          </a:r>
          <a:r>
            <a:rPr lang="en-US" sz="900">
              <a:solidFill>
                <a:schemeClr val="dk1"/>
              </a:solidFill>
              <a:effectLst/>
              <a:latin typeface="+mn-lt"/>
              <a:ea typeface="+mn-ea"/>
              <a:cs typeface="+mn-cs"/>
            </a:rPr>
            <a:t>the inclusion</a:t>
          </a:r>
          <a:r>
            <a:rPr lang="en-US" sz="900" baseline="0">
              <a:solidFill>
                <a:schemeClr val="dk1"/>
              </a:solidFill>
              <a:effectLst/>
              <a:latin typeface="+mn-lt"/>
              <a:ea typeface="+mn-ea"/>
              <a:cs typeface="+mn-cs"/>
            </a:rPr>
            <a:t> of Restate 06.30.2023 AMA Rate base to EOP adjustment 2.15.</a:t>
          </a:r>
          <a:endParaRPr lang="en-US" sz="900" b="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nwrk\30_ava\AV17%20-%20UE-240006%202024%20WA%20GRC\dir\exh\240006%2007-AWEC-Mullins-Exh-BGM-4-07-03-2024.xlsx" TargetMode="External"/><Relationship Id="rId1" Type="http://schemas.openxmlformats.org/officeDocument/2006/relationships/externalLinkPath" Target="240006%2007-AWEC-Mullins-Exh-BGM-4-07-03-20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E:\nwrk\30_ava\AV17%20-%20UE-240006%202024%20WA%20GRC\dir\exh\240006%2007-AWEC-Mullins-Exh-BGM-6-07-03-2024.xlsx" TargetMode="External"/><Relationship Id="rId1" Type="http://schemas.openxmlformats.org/officeDocument/2006/relationships/externalLinkPath" Target="240006%2007-AWEC-Mullins-Exh-BGM-6-07-03-2024.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E:\nwrk\30_ava\AV17%20-%20UE-240006%202024%20WA%20GRC\dir\_wps\final\240006%2007-AWEC-BGM-WP05-MarginAccountISWCAdj-07-04-2024.xlsx" TargetMode="External"/><Relationship Id="rId1" Type="http://schemas.openxmlformats.org/officeDocument/2006/relationships/externalLinkPath" Target="/nwrk/30_ava/AV17%20-%20UE-240006%202024%20WA%20GRC/dir/_wps/final/240006%2007-AWEC-BGM-WP05-MarginAccountISWCAdj-07-04-2024.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E:\nwrk\30_ava\AV17%20-%20UE-240006%202024%20WA%20GRC\dir\_wps\final\(C)%20240006%2007-AWEC-BGM-WP06C-BODFees-07-04-2024.xlsx" TargetMode="External"/><Relationship Id="rId1" Type="http://schemas.openxmlformats.org/officeDocument/2006/relationships/externalLinkPath" Target="/nwrk/30_ava/AV17%20-%20UE-240006%202024%20WA%20GRC/dir/_wps/final/(C)%20240006%2007-AWEC-BGM-WP06C-BODFees-07-04-2024.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E:\wrk_BkUp\30_ava\AV17%20-%20UE-240006%202024%20WA%20GRC\dir\_ana\Pension%20Expense.xlsx" TargetMode="External"/><Relationship Id="rId1" Type="http://schemas.openxmlformats.org/officeDocument/2006/relationships/externalLinkPath" Target="/wrk_BkUp/30_ava/AV17%20-%20UE-240006%202024%20WA%20GRC/dir/_ana/Pension%20Expense.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E:\nwrk\30_ava\AV17%20-%20UE-240006%202024%20WA%20GRC\dir\_wps\Pro%20Forma%20Misc%20OandM%20-%202024.xlsx" TargetMode="External"/><Relationship Id="rId1" Type="http://schemas.openxmlformats.org/officeDocument/2006/relationships/externalLinkPath" Target="/nwrk/30_ava/AV17%20-%20UE-240006%202024%20WA%20GRC/dir/_wps/Pro%20Forma%20Misc%20OandM%20-%202024.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E:\nwrk\30_ava\AV17%20-%20UE-240006%202024%20WA%20GRC\dir\_wps\final\240006%2007-AWEC-BGM-WP06-BODFees-07-04-2024.xlsx" TargetMode="External"/><Relationship Id="rId1" Type="http://schemas.openxmlformats.org/officeDocument/2006/relationships/externalLinkPath" Target="/nwrk/30_ava/AV17%20-%20UE-240006%202024%20WA%20GRC/dir/_wps/final/240006%2007-AWEC-BGM-WP06-BODFees-07-04-2024.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E:\nwrk\30_ava\AV17%20-%20UE-240006%202024%20WA%20GRC\dir\_wps\final\240006%2007-AWEC-BGM-WP01-UsedAndUsefullAnalysis-07-04-2024.xlsx" TargetMode="External"/><Relationship Id="rId1" Type="http://schemas.openxmlformats.org/officeDocument/2006/relationships/externalLinkPath" Target="/nwrk/30_ava/AV17%20-%20UE-240006%202024%20WA%20GRC/dir/_wps/final/240006%2007-AWEC-BGM-WP01-UsedAndUsefullAnalysis-07-04-2024.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E:\nwrk\30_ava\AV17%20-%20UE-240006%202024%20WA%20GRC\dir\_wps\final\240006%2007-AWEC-BGM-WP03-FERC454Analysis-07-04-2024.xlsx" TargetMode="External"/><Relationship Id="rId1" Type="http://schemas.openxmlformats.org/officeDocument/2006/relationships/externalLinkPath" Target="/nwrk/30_ava/AV17%20-%20UE-240006%202024%20WA%20GRC/dir/_wps/final/240006%2007-AWEC-BGM-WP03-FERC454Analysis-07-04-2024.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E:\nwrk\30_ava\AV17%20-%20UE-240006%202024%20WA%20GRC\init\UE__AVA%20WP's%20(Jan24)%20(C)\10.%20UE__Kalich%20WP(AVA-Jan24)\565%20Transmission%20Expense.xlsx" TargetMode="External"/><Relationship Id="rId1" Type="http://schemas.openxmlformats.org/officeDocument/2006/relationships/externalLinkPath" Target="/nwrk/30_ava/AV17%20-%20UE-240006%202024%20WA%20GRC/init/UE__AVA%20WP's%20(Jan24)%20(C)/10.%20UE__Kalich%20WP(AVA-Jan24)/565%20Transmission%20Expen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cerno_Cache_XXXXX"/>
      <sheetName val="Exh. BGM-4 (Sum)"/>
      <sheetName val="Exh. BGM-4 (Detail)"/>
      <sheetName val="AVA Model (Per Filing) -&gt;"/>
      <sheetName val="PROPOSED RATES-12.2024"/>
      <sheetName val="PROPOSED RATES-12.2025"/>
      <sheetName val="RR SUMMARY"/>
      <sheetName val="CF"/>
      <sheetName val="ADJ DETAIL INPUT"/>
      <sheetName val="ADJ SUMMARY"/>
      <sheetName val="CF WA Gas"/>
      <sheetName val="ROO INPUT 1.00"/>
      <sheetName val="DEBT CALC 2.14"/>
      <sheetName val="Recap Summary"/>
      <sheetName val="LEAD SHEETS-DO NOT ENTER"/>
    </sheetNames>
    <sheetDataSet>
      <sheetData sheetId="0"/>
      <sheetData sheetId="1"/>
      <sheetData sheetId="2">
        <row r="13">
          <cell r="AC13">
            <v>-311.16582073683861</v>
          </cell>
        </row>
        <row r="20">
          <cell r="AC20">
            <v>-1226.4418739678122</v>
          </cell>
        </row>
        <row r="27">
          <cell r="AC27">
            <v>-26.884410103514387</v>
          </cell>
        </row>
        <row r="42">
          <cell r="W42">
            <v>387.47825750941598</v>
          </cell>
          <cell r="AC42">
            <v>-406.7072744831105</v>
          </cell>
        </row>
        <row r="47">
          <cell r="AC47">
            <v>-85.019710382927499</v>
          </cell>
        </row>
        <row r="51">
          <cell r="AC51">
            <v>-1714.7674004508904</v>
          </cell>
        </row>
        <row r="58">
          <cell r="AC58">
            <v>-259.20095555830142</v>
          </cell>
        </row>
        <row r="60">
          <cell r="AC60">
            <v>-2555.2422557341129</v>
          </cell>
        </row>
        <row r="65">
          <cell r="T65">
            <v>6424.2808600792732</v>
          </cell>
        </row>
        <row r="72">
          <cell r="W72">
            <v>95.979938683534542</v>
          </cell>
          <cell r="AC72">
            <v>-100.74304431413884</v>
          </cell>
        </row>
        <row r="74">
          <cell r="AC74">
            <v>-0.62977563246612955</v>
          </cell>
        </row>
        <row r="77">
          <cell r="AC77">
            <v>-341.01868070271956</v>
          </cell>
        </row>
        <row r="79">
          <cell r="AC79">
            <v>-1177.3489111897773</v>
          </cell>
        </row>
        <row r="83">
          <cell r="T83">
            <v>2826.1993724428153</v>
          </cell>
        </row>
        <row r="88">
          <cell r="I88">
            <v>17292.534427601702</v>
          </cell>
          <cell r="M88">
            <v>-4282.8238661049218</v>
          </cell>
        </row>
        <row r="89">
          <cell r="I89">
            <v>4564.6205371959577</v>
          </cell>
          <cell r="M89">
            <v>-118.68075291402693</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onthly ADJ (Electric)"/>
      <sheetName val="Monthly ADJ (Gas)"/>
    </sheetNames>
    <sheetDataSet>
      <sheetData sheetId="0">
        <row r="56">
          <cell r="F56">
            <v>-5733916.6212572642</v>
          </cell>
        </row>
        <row r="57">
          <cell r="D57">
            <v>-365460.21833333332</v>
          </cell>
        </row>
        <row r="58">
          <cell r="D58">
            <v>-365460.21833333332</v>
          </cell>
        </row>
        <row r="59">
          <cell r="D59">
            <v>-365460.21833333332</v>
          </cell>
        </row>
        <row r="60">
          <cell r="D60">
            <v>-365460.21833333332</v>
          </cell>
        </row>
        <row r="61">
          <cell r="D61">
            <v>-365460.21833333332</v>
          </cell>
        </row>
        <row r="62">
          <cell r="D62">
            <v>-365460.21833333332</v>
          </cell>
        </row>
        <row r="63">
          <cell r="D63">
            <v>-365460.21833333332</v>
          </cell>
        </row>
        <row r="64">
          <cell r="D64">
            <v>-365460.21833333332</v>
          </cell>
        </row>
        <row r="65">
          <cell r="D65">
            <v>-365460.21833333332</v>
          </cell>
        </row>
        <row r="66">
          <cell r="D66">
            <v>-365460.21833333332</v>
          </cell>
        </row>
        <row r="67">
          <cell r="D67">
            <v>-365460.21833333332</v>
          </cell>
        </row>
        <row r="68">
          <cell r="D68">
            <v>-365460.21833333332</v>
          </cell>
        </row>
      </sheetData>
      <sheetData sheetId="1">
        <row r="56">
          <cell r="F56">
            <v>-5436066.300092903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lias"/>
      <sheetName val="Data"/>
      <sheetName val="Check"/>
      <sheetName val="ISWC"/>
      <sheetName val="Allocation"/>
      <sheetName val="Summary"/>
    </sheetNames>
    <sheetDataSet>
      <sheetData sheetId="0" refreshError="1"/>
      <sheetData sheetId="1" refreshError="1"/>
      <sheetData sheetId="2" refreshError="1"/>
      <sheetData sheetId="3">
        <row r="115">
          <cell r="E115">
            <v>-28813514.057512295</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vot"/>
      <sheetName val="Summary Descriptions"/>
      <sheetName val="Transactions"/>
      <sheetName val="Footer"/>
    </sheetNames>
    <sheetDataSet>
      <sheetData sheetId="0">
        <row r="5">
          <cell r="H5">
            <v>400878.95083749999</v>
          </cell>
        </row>
      </sheetData>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3.07,5.03 Benefits"/>
    </sheetNames>
    <sheetDataSet>
      <sheetData sheetId="0">
        <row r="48">
          <cell r="I48">
            <v>-1224077.7827052986</v>
          </cell>
          <cell r="K48">
            <v>-303209.0401229196</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4"/>
      <sheetName val="Electric"/>
      <sheetName val="Natural Gas"/>
      <sheetName val="PC DR 297-&gt;"/>
      <sheetName val="Electric (2)"/>
      <sheetName val="Natural Gas (2)"/>
    </sheetNames>
    <sheetDataSet>
      <sheetData sheetId="0"/>
      <sheetData sheetId="1">
        <row r="172">
          <cell r="K172">
            <v>-8875948.8087398205</v>
          </cell>
          <cell r="M172">
            <v>-2255204.4311748492</v>
          </cell>
        </row>
      </sheetData>
      <sheetData sheetId="2">
        <row r="132">
          <cell r="K132">
            <v>-1633693.6318759015</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R-BOD-1"/>
      <sheetName val="MR-BOD-2"/>
      <sheetName val="MR-BOD-3"/>
      <sheetName val="Acerno_Cache_XXXXX"/>
      <sheetName val="MR-BOD-4"/>
      <sheetName val="MR_BOD-5"/>
      <sheetName val="Transaction Detail"/>
      <sheetName val="Macro1"/>
    </sheetNames>
    <sheetDataSet>
      <sheetData sheetId="0" refreshError="1"/>
      <sheetData sheetId="1" refreshError="1"/>
      <sheetData sheetId="2">
        <row r="12">
          <cell r="K12">
            <v>-780124</v>
          </cell>
        </row>
      </sheetData>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 2"/>
      <sheetName val="E-CAP SUMMARY"/>
      <sheetName val="G-CAP SUMMARY"/>
      <sheetName val="EP.1-Existing Plant 6.23"/>
      <sheetName val="ADFIT Activity PIS"/>
      <sheetName val="E-ProForma"/>
      <sheetName val="E-Retirements"/>
      <sheetName val="E-PF Add Summary"/>
      <sheetName val="G-ProForma"/>
      <sheetName val="G-Retirements"/>
      <sheetName val="G-PF Add Summary"/>
      <sheetName val="Remove Colstrip"/>
      <sheetName val="TTP Detail 23-26"/>
      <sheetName val="Pivot - TTP Detail"/>
      <sheetName val="Rsrv Adj Amrt"/>
      <sheetName val="Allocations 06.2023 AMA"/>
      <sheetName val="Data.Lookup - Do Not Print"/>
      <sheetName val="Exh TCB-3"/>
      <sheetName val="Alexander"/>
      <sheetName val="DiLuciano"/>
      <sheetName val="Howell"/>
      <sheetName val="Hydzik"/>
      <sheetName val="Manuel"/>
    </sheetNames>
    <sheetDataSet>
      <sheetData sheetId="0" refreshError="1"/>
      <sheetData sheetId="1">
        <row r="77">
          <cell r="AH77">
            <v>-25760.769785871867</v>
          </cell>
          <cell r="AQ77">
            <v>-9038.8495199683093</v>
          </cell>
        </row>
        <row r="79">
          <cell r="AH79">
            <v>-5258</v>
          </cell>
          <cell r="AQ79">
            <v>1483</v>
          </cell>
        </row>
      </sheetData>
      <sheetData sheetId="2">
        <row r="52">
          <cell r="AC52">
            <v>-3203.8484201037427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gure 1, Tables 5, 6"/>
      <sheetName val="2019"/>
      <sheetName val="2020"/>
      <sheetName val="2021"/>
      <sheetName val="2022"/>
      <sheetName val="2023-A"/>
      <sheetName val="2023-B"/>
    </sheetNames>
    <sheetDataSet>
      <sheetData sheetId="0">
        <row r="44">
          <cell r="AE44">
            <v>2100392.8774544979</v>
          </cell>
          <cell r="AG44">
            <v>272589.99702312518</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r Authorized 09.26.22"/>
      <sheetName val="AVA on BPA Network "/>
      <sheetName val="Columbia Basin Hydro Transmissi"/>
    </sheetNames>
    <sheetDataSet>
      <sheetData sheetId="0">
        <row r="19">
          <cell r="R19">
            <v>379260</v>
          </cell>
        </row>
        <row r="29">
          <cell r="R29">
            <v>120666</v>
          </cell>
        </row>
        <row r="31">
          <cell r="R31">
            <v>4536</v>
          </cell>
        </row>
      </sheetData>
      <sheetData sheetId="1"/>
      <sheetData sheetId="2"/>
    </sheetDataSet>
  </externalBook>
</externalLink>
</file>

<file path=xl/theme/theme1.xml><?xml version="1.0" encoding="utf-8"?>
<a:theme xmlns:a="http://schemas.openxmlformats.org/drawingml/2006/main" name="Office Theme">
  <a:themeElements>
    <a:clrScheme name="Custom 1">
      <a:dk1>
        <a:sysClr val="windowText" lastClr="000000"/>
      </a:dk1>
      <a:lt1>
        <a:sysClr val="window" lastClr="FFFFFF"/>
      </a:lt1>
      <a:dk2>
        <a:srgbClr val="1F497D"/>
      </a:dk2>
      <a:lt2>
        <a:srgbClr val="FBFAF7"/>
      </a:lt2>
      <a:accent1>
        <a:srgbClr val="B93C39"/>
      </a:accent1>
      <a:accent2>
        <a:srgbClr val="979CA7"/>
      </a:accent2>
      <a:accent3>
        <a:srgbClr val="97755B"/>
      </a:accent3>
      <a:accent4>
        <a:srgbClr val="54A5B0"/>
      </a:accent4>
      <a:accent5>
        <a:srgbClr val="E1B459"/>
      </a:accent5>
      <a:accent6>
        <a:srgbClr val="8C9DF4"/>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1E3C4-F8E3-4D62-AC2F-E132AB6C802F}">
  <sheetPr codeName="Sheet13">
    <tabColor rgb="FF57AAB5"/>
  </sheetPr>
  <dimension ref="A1:AJ103"/>
  <sheetViews>
    <sheetView tabSelected="1" zoomScaleNormal="100" zoomScaleSheetLayoutView="145" workbookViewId="0"/>
  </sheetViews>
  <sheetFormatPr defaultColWidth="9.140625" defaultRowHeight="12.75"/>
  <cols>
    <col min="1" max="1" width="1.42578125" style="571" customWidth="1"/>
    <col min="2" max="2" width="3.28515625" style="571" customWidth="1"/>
    <col min="3" max="3" width="1.42578125" style="571" customWidth="1"/>
    <col min="4" max="4" width="4.7109375" style="571" customWidth="1"/>
    <col min="5" max="5" width="1.42578125" style="571" customWidth="1"/>
    <col min="6" max="6" width="37.140625" style="571" customWidth="1"/>
    <col min="7" max="8" width="1.42578125" style="572" customWidth="1"/>
    <col min="9" max="9" width="10" style="571" customWidth="1"/>
    <col min="10" max="10" width="1.42578125" style="571" customWidth="1"/>
    <col min="11" max="11" width="10" style="571" customWidth="1"/>
    <col min="12" max="12" width="1.42578125" style="571" customWidth="1"/>
    <col min="13" max="13" width="10" style="571" customWidth="1"/>
    <col min="14" max="14" width="1.42578125" style="572" customWidth="1"/>
    <col min="15" max="15" width="1.42578125" style="571" customWidth="1"/>
    <col min="16" max="16" width="10" style="571" customWidth="1"/>
    <col min="17" max="17" width="1.42578125" style="571" customWidth="1"/>
    <col min="18" max="18" width="10" style="571" customWidth="1"/>
    <col min="19" max="19" width="1.42578125" style="571" customWidth="1"/>
    <col min="20" max="20" width="10" style="571" customWidth="1"/>
    <col min="21" max="22" width="1.42578125" style="571" customWidth="1"/>
    <col min="23" max="23" width="10" style="572" customWidth="1"/>
    <col min="24" max="24" width="1.28515625" style="572" customWidth="1"/>
    <col min="25" max="25" width="10" style="572" customWidth="1"/>
    <col min="26" max="26" width="1.42578125" style="572" customWidth="1"/>
    <col min="27" max="27" width="10" style="572" customWidth="1"/>
    <col min="28" max="28" width="1.42578125" style="572" customWidth="1"/>
    <col min="29" max="29" width="10" style="572" bestFit="1" customWidth="1"/>
    <col min="30" max="30" width="22.140625" style="572" customWidth="1"/>
    <col min="31" max="32" width="2.7109375" style="572" customWidth="1"/>
    <col min="33" max="33" width="21.140625" style="572" customWidth="1"/>
    <col min="34" max="36" width="11.85546875" style="571" customWidth="1"/>
    <col min="37" max="38" width="9.140625" style="571"/>
    <col min="39" max="39" width="11" style="571" customWidth="1"/>
    <col min="40" max="40" width="9.140625" style="571"/>
    <col min="41" max="41" width="12.28515625" style="571" bestFit="1" customWidth="1"/>
    <col min="42" max="16384" width="9.140625" style="571"/>
  </cols>
  <sheetData>
    <row r="1" spans="1:36">
      <c r="A1" s="570" t="s">
        <v>889</v>
      </c>
      <c r="B1" s="570"/>
      <c r="C1" s="570"/>
      <c r="E1" s="570"/>
      <c r="F1" s="570"/>
      <c r="I1" s="572"/>
      <c r="J1" s="570"/>
      <c r="K1" s="570"/>
      <c r="L1" s="570"/>
      <c r="M1" s="570"/>
      <c r="O1" s="570"/>
      <c r="P1" s="570"/>
      <c r="Q1" s="570"/>
      <c r="R1" s="570"/>
      <c r="S1" s="570"/>
      <c r="T1" s="570"/>
      <c r="AF1" s="574"/>
      <c r="AH1" s="572"/>
      <c r="AI1" s="572"/>
      <c r="AJ1" s="572"/>
    </row>
    <row r="2" spans="1:36">
      <c r="B2" s="570"/>
      <c r="C2" s="570"/>
      <c r="D2" s="570"/>
      <c r="E2" s="570"/>
      <c r="F2" s="570"/>
      <c r="H2" s="575"/>
      <c r="I2" s="576" t="s">
        <v>919</v>
      </c>
      <c r="J2" s="577"/>
      <c r="K2" s="577"/>
      <c r="L2" s="577"/>
      <c r="M2" s="577"/>
      <c r="O2" s="570"/>
      <c r="P2" s="576" t="s">
        <v>890</v>
      </c>
      <c r="Q2" s="578"/>
      <c r="R2" s="578"/>
      <c r="S2" s="578"/>
      <c r="T2" s="578"/>
      <c r="W2" s="576" t="s">
        <v>891</v>
      </c>
      <c r="X2" s="580"/>
      <c r="Y2" s="580"/>
      <c r="Z2" s="580"/>
      <c r="AA2" s="580"/>
      <c r="AB2" s="573"/>
      <c r="AC2" s="573"/>
      <c r="AD2" s="573"/>
      <c r="AF2" s="574"/>
      <c r="AG2" s="581" t="s">
        <v>892</v>
      </c>
      <c r="AH2" s="581"/>
      <c r="AI2" s="581"/>
      <c r="AJ2" s="581"/>
    </row>
    <row r="3" spans="1:36">
      <c r="B3" s="570"/>
      <c r="C3" s="570"/>
      <c r="D3" s="570"/>
      <c r="E3" s="570"/>
      <c r="F3" s="570"/>
      <c r="I3" s="573"/>
      <c r="J3" s="573"/>
      <c r="K3" s="573"/>
      <c r="L3" s="573"/>
      <c r="M3" s="573" t="s">
        <v>893</v>
      </c>
      <c r="P3" s="573"/>
      <c r="Q3" s="573"/>
      <c r="R3" s="573"/>
      <c r="S3" s="573"/>
      <c r="T3" s="573" t="s">
        <v>893</v>
      </c>
      <c r="W3" s="573"/>
      <c r="X3" s="573"/>
      <c r="Y3" s="573"/>
      <c r="Z3" s="573"/>
      <c r="AA3" s="573" t="s">
        <v>893</v>
      </c>
      <c r="AB3" s="573"/>
      <c r="AC3" s="573"/>
      <c r="AD3" s="573"/>
      <c r="AF3" s="574"/>
      <c r="AG3" s="571"/>
    </row>
    <row r="4" spans="1:36">
      <c r="B4" s="570"/>
      <c r="C4" s="570"/>
      <c r="D4" s="582" t="s">
        <v>895</v>
      </c>
      <c r="E4" s="570"/>
      <c r="F4" s="570"/>
      <c r="I4" s="573" t="s">
        <v>896</v>
      </c>
      <c r="J4" s="573"/>
      <c r="K4" s="573"/>
      <c r="L4" s="573"/>
      <c r="M4" s="573" t="s">
        <v>897</v>
      </c>
      <c r="P4" s="573" t="s">
        <v>896</v>
      </c>
      <c r="Q4" s="573"/>
      <c r="R4" s="573"/>
      <c r="S4" s="573"/>
      <c r="T4" s="573" t="s">
        <v>897</v>
      </c>
      <c r="W4" s="573" t="s">
        <v>896</v>
      </c>
      <c r="X4" s="573"/>
      <c r="Y4" s="573"/>
      <c r="Z4" s="573"/>
      <c r="AA4" s="573" t="s">
        <v>897</v>
      </c>
      <c r="AB4" s="573"/>
      <c r="AC4" s="573" t="s">
        <v>898</v>
      </c>
      <c r="AD4" s="573"/>
      <c r="AF4" s="574"/>
      <c r="AG4" s="571" t="s">
        <v>899</v>
      </c>
      <c r="AH4" s="583">
        <f>+'CF '!E24</f>
        <v>0.75248000000000004</v>
      </c>
    </row>
    <row r="5" spans="1:36">
      <c r="B5" s="578" t="s">
        <v>8</v>
      </c>
      <c r="C5" s="570"/>
      <c r="D5" s="584" t="s">
        <v>900</v>
      </c>
      <c r="E5" s="570"/>
      <c r="F5" s="578" t="s">
        <v>79</v>
      </c>
      <c r="I5" s="585" t="s">
        <v>901</v>
      </c>
      <c r="J5" s="573"/>
      <c r="K5" s="585" t="s">
        <v>23</v>
      </c>
      <c r="L5" s="573"/>
      <c r="M5" s="585" t="s">
        <v>902</v>
      </c>
      <c r="P5" s="585" t="s">
        <v>901</v>
      </c>
      <c r="Q5" s="573"/>
      <c r="R5" s="585" t="s">
        <v>23</v>
      </c>
      <c r="S5" s="573"/>
      <c r="T5" s="585" t="s">
        <v>902</v>
      </c>
      <c r="W5" s="585" t="s">
        <v>901</v>
      </c>
      <c r="X5" s="573"/>
      <c r="Y5" s="585" t="s">
        <v>23</v>
      </c>
      <c r="Z5" s="573"/>
      <c r="AA5" s="585" t="s">
        <v>902</v>
      </c>
      <c r="AB5" s="573"/>
      <c r="AC5" s="585" t="s">
        <v>903</v>
      </c>
      <c r="AD5" s="573"/>
      <c r="AF5" s="574"/>
      <c r="AG5" s="571" t="s">
        <v>904</v>
      </c>
      <c r="AH5" s="586">
        <v>0.21</v>
      </c>
    </row>
    <row r="6" spans="1:36">
      <c r="AC6" s="573"/>
      <c r="AD6" s="573"/>
      <c r="AF6" s="574"/>
      <c r="AG6" s="571" t="s">
        <v>905</v>
      </c>
    </row>
    <row r="7" spans="1:36">
      <c r="B7" s="571">
        <v>1</v>
      </c>
      <c r="D7" s="571">
        <v>1</v>
      </c>
      <c r="E7" s="570"/>
      <c r="F7" s="587" t="str" cm="1">
        <f t="array" ref="F7">+INDEX('ADJ DETAIL-INPUT'!$E$6:$CD$6&amp;" "&amp;'ADJ DETAIL-INPUT'!$E$7:$CD$7&amp;" "&amp;'ADJ DETAIL-INPUT'!$E$8:$CD$8,1,MATCH($D7,'ADJ DETAIL-INPUT'!$E$9:$CD$9,0))</f>
        <v xml:space="preserve"> Results of  Operations </v>
      </c>
      <c r="I7" s="587">
        <f>+INDEX('ADJ DETAIL-INPUT'!$E$56:$CD$56,1,MATCH($D7,'ADJ DETAIL-INPUT'!$E$9:$CD$9,0))</f>
        <v>125206.70000000007</v>
      </c>
      <c r="J7" s="587"/>
      <c r="K7" s="587">
        <f>+INDEX('ADJ DETAIL-INPUT'!$E$80:$CD$80,1,MATCH($D7,'ADJ DETAIL-INPUT'!$E$9:$CD$9,0))</f>
        <v>2109184.7999999998</v>
      </c>
      <c r="L7" s="587"/>
      <c r="M7" s="587">
        <f>+($K7*$AJ$16-$I7)/$AH$4</f>
        <v>30657.281841377742</v>
      </c>
      <c r="O7" s="570"/>
      <c r="P7" s="589">
        <f>+I7</f>
        <v>125206.70000000007</v>
      </c>
      <c r="Q7" s="587"/>
      <c r="R7" s="587">
        <f>+K7</f>
        <v>2109184.7999999998</v>
      </c>
      <c r="S7" s="587"/>
      <c r="T7" s="587">
        <f>+($R7*$AJ$16-$P7)/$AH$4</f>
        <v>30657.281841377742</v>
      </c>
      <c r="AC7" s="573"/>
      <c r="AD7" s="573"/>
      <c r="AF7" s="574"/>
      <c r="AG7" s="571"/>
    </row>
    <row r="8" spans="1:36">
      <c r="D8" s="590"/>
      <c r="I8" s="588"/>
      <c r="J8" s="588"/>
      <c r="K8" s="588"/>
      <c r="L8" s="588"/>
      <c r="M8" s="588"/>
      <c r="P8" s="588"/>
      <c r="Q8" s="588"/>
      <c r="R8" s="588"/>
      <c r="S8" s="588"/>
      <c r="T8" s="588"/>
      <c r="AC8" s="573"/>
      <c r="AD8" s="573"/>
      <c r="AF8" s="574"/>
    </row>
    <row r="9" spans="1:36">
      <c r="B9" s="575" t="s">
        <v>913</v>
      </c>
      <c r="D9" s="590"/>
      <c r="I9" s="588"/>
      <c r="J9" s="588"/>
      <c r="K9" s="588"/>
      <c r="L9" s="588"/>
      <c r="M9" s="588"/>
      <c r="P9" s="588"/>
      <c r="Q9" s="588"/>
      <c r="R9" s="588"/>
      <c r="S9" s="588"/>
      <c r="T9" s="588"/>
      <c r="AC9" s="573"/>
      <c r="AD9" s="573"/>
      <c r="AF9" s="574"/>
    </row>
    <row r="10" spans="1:36">
      <c r="B10" s="571">
        <f t="shared" ref="B10:B32" ca="1" si="0">+MAX(OFFSET($B$7,0,0,ROW($B10)-ROW($B$7),1))+1</f>
        <v>2</v>
      </c>
      <c r="D10" s="590">
        <v>1.01</v>
      </c>
      <c r="F10" s="588" t="str" cm="1">
        <f t="array" ref="F10">+INDEX('ADJ DETAIL-INPUT'!$E$6:$CD$6&amp;" "&amp;'ADJ DETAIL-INPUT'!$E$7:$CD$7&amp;" "&amp;'ADJ DETAIL-INPUT'!$E$8:$CD$8,1,MATCH($D10,'ADJ DETAIL-INPUT'!$E$9:$CD$9,0))</f>
        <v>Deferred  FIT Rate Base</v>
      </c>
      <c r="I10" s="588" cm="1">
        <f t="array" ref="I10">+SUM('Exh. BGM-3 (Detail)'!I$10:I$103*N('Exh. BGM-3 (Detail)'!$D$10:$D$103=$D10))</f>
        <v>15.877974000000002</v>
      </c>
      <c r="J10" s="588"/>
      <c r="K10" s="588" cm="1">
        <f t="array" ref="K10">+SUM('Exh. BGM-3 (Detail)'!K$10:K$103*N('Exh. BGM-3 (Detail)'!$D$10:$D$103=$D10))</f>
        <v>2942</v>
      </c>
      <c r="L10" s="588"/>
      <c r="M10" s="588" cm="1">
        <f t="array" ref="M10">+SUM('Exh. BGM-3 (Detail)'!M$10:M$103*N('Exh. BGM-3 (Detail)'!$D$10:$D$103=$D10))</f>
        <v>253.75375558154369</v>
      </c>
      <c r="O10" s="588"/>
      <c r="P10" s="588" cm="1">
        <f t="array" ref="P10">+SUM('Exh. BGM-3 (Detail)'!P$10:P$103*N('Exh. BGM-3 (Detail)'!$D$10:$D$103=$D10))</f>
        <v>15.877974000000002</v>
      </c>
      <c r="Q10" s="588"/>
      <c r="R10" s="588" cm="1">
        <f t="array" ref="R10">+SUM('Exh. BGM-3 (Detail)'!R$10:R$103*N('Exh. BGM-3 (Detail)'!$D$10:$D$103=$D10))</f>
        <v>2942</v>
      </c>
      <c r="S10" s="588"/>
      <c r="T10" s="588" cm="1">
        <f t="array" ref="T10">+SUM('Exh. BGM-3 (Detail)'!T$10:T$103*N('Exh. BGM-3 (Detail)'!$D$10:$D$103=$D10))</f>
        <v>253.75375558154369</v>
      </c>
      <c r="W10" s="588">
        <f>+T10-M10</f>
        <v>0</v>
      </c>
      <c r="X10" s="588"/>
      <c r="Y10" s="588">
        <f>+R10-K10</f>
        <v>0</v>
      </c>
      <c r="Z10" s="591"/>
      <c r="AA10" s="588">
        <f t="shared" ref="AA10" si="1">+T10-M10</f>
        <v>0</v>
      </c>
      <c r="AC10" s="573"/>
      <c r="AD10" s="573"/>
      <c r="AF10" s="574"/>
    </row>
    <row r="11" spans="1:36">
      <c r="B11" s="571">
        <f t="shared" ca="1" si="0"/>
        <v>3</v>
      </c>
      <c r="D11" s="590">
        <v>1.02</v>
      </c>
      <c r="F11" s="588" t="str" cm="1">
        <f t="array" ref="F11">+INDEX('ADJ DETAIL-INPUT'!$E$6:$CD$6&amp;" "&amp;'ADJ DETAIL-INPUT'!$E$7:$CD$7&amp;" "&amp;'ADJ DETAIL-INPUT'!$E$8:$CD$8,1,MATCH($D11,'ADJ DETAIL-INPUT'!$E$9:$CD$9,0))</f>
        <v>Deferred  Debits and  Credits</v>
      </c>
      <c r="I11" s="588" cm="1">
        <f t="array" ref="I11">+SUM('Exh. BGM-3 (Detail)'!I$10:I$103*N('Exh. BGM-3 (Detail)'!$D$10:$D$103=$D11))</f>
        <v>0</v>
      </c>
      <c r="J11" s="588"/>
      <c r="K11" s="588" cm="1">
        <f t="array" ref="K11">+SUM('Exh. BGM-3 (Detail)'!K$10:K$103*N('Exh. BGM-3 (Detail)'!$D$10:$D$103=$D11))</f>
        <v>0</v>
      </c>
      <c r="L11" s="588"/>
      <c r="M11" s="588" cm="1">
        <f t="array" ref="M11">+SUM('Exh. BGM-3 (Detail)'!M$10:M$103*N('Exh. BGM-3 (Detail)'!$D$10:$D$103=$D11))</f>
        <v>0</v>
      </c>
      <c r="O11" s="588"/>
      <c r="P11" s="588" cm="1">
        <f t="array" ref="P11">+SUM('Exh. BGM-3 (Detail)'!P$10:P$103*N('Exh. BGM-3 (Detail)'!$D$10:$D$103=$D11))</f>
        <v>0</v>
      </c>
      <c r="Q11" s="588"/>
      <c r="R11" s="588" cm="1">
        <f t="array" ref="R11">+SUM('Exh. BGM-3 (Detail)'!R$10:R$103*N('Exh. BGM-3 (Detail)'!$D$10:$D$103=$D11))</f>
        <v>0</v>
      </c>
      <c r="S11" s="588"/>
      <c r="T11" s="588" cm="1">
        <f t="array" ref="T11">+SUM('Exh. BGM-3 (Detail)'!T$10:T$103*N('Exh. BGM-3 (Detail)'!$D$10:$D$103=$D11))</f>
        <v>0</v>
      </c>
      <c r="W11" s="588">
        <f t="shared" ref="W11:W32" si="2">+T11-M11</f>
        <v>0</v>
      </c>
      <c r="X11" s="588"/>
      <c r="Y11" s="588">
        <f t="shared" ref="Y11:Y32" si="3">+R11-K11</f>
        <v>0</v>
      </c>
      <c r="Z11" s="591"/>
      <c r="AA11" s="588">
        <f t="shared" ref="AA11:AA32" si="4">+T11-M11</f>
        <v>0</v>
      </c>
      <c r="AC11" s="573"/>
      <c r="AD11" s="573"/>
      <c r="AF11" s="574"/>
      <c r="AG11" s="592" t="s">
        <v>907</v>
      </c>
      <c r="AH11" s="593" t="s">
        <v>120</v>
      </c>
      <c r="AI11" s="593"/>
      <c r="AJ11" s="594" t="s">
        <v>121</v>
      </c>
    </row>
    <row r="12" spans="1:36">
      <c r="B12" s="571">
        <f t="shared" ca="1" si="0"/>
        <v>4</v>
      </c>
      <c r="D12" s="595">
        <v>1.03</v>
      </c>
      <c r="F12" s="588" t="str" cm="1">
        <f t="array" ref="F12">+INDEX('ADJ DETAIL-INPUT'!$E$6:$CD$6&amp;" "&amp;'ADJ DETAIL-INPUT'!$E$7:$CD$7&amp;" "&amp;'ADJ DETAIL-INPUT'!$E$8:$CD$8,1,MATCH($D12,'ADJ DETAIL-INPUT'!$E$9:$CD$9,0))</f>
        <v xml:space="preserve">Working Capital  </v>
      </c>
      <c r="I12" s="588" cm="1">
        <f t="array" ref="I12">+SUM('Exh. BGM-3 (Detail)'!I$10:I$103*N('Exh. BGM-3 (Detail)'!$D$10:$D$103=$D12))</f>
        <v>-17.480882999999999</v>
      </c>
      <c r="J12" s="588"/>
      <c r="K12" s="588" cm="1">
        <f t="array" ref="K12">+SUM('Exh. BGM-3 (Detail)'!K$10:K$103*N('Exh. BGM-3 (Detail)'!$D$10:$D$103=$D12))</f>
        <v>-3239</v>
      </c>
      <c r="L12" s="588"/>
      <c r="M12" s="588" cm="1">
        <f t="array" ref="M12">+SUM('Exh. BGM-3 (Detail)'!M$10:M$103*N('Exh. BGM-3 (Detail)'!$D$10:$D$103=$D12))</f>
        <v>-279.37063709334467</v>
      </c>
      <c r="O12" s="588"/>
      <c r="P12" s="588" cm="1">
        <f t="array" ref="P12">+SUM('Exh. BGM-3 (Detail)'!P$10:P$103*N('Exh. BGM-3 (Detail)'!$D$10:$D$103=$D12))</f>
        <v>-172.98741836839383</v>
      </c>
      <c r="Q12" s="588"/>
      <c r="R12" s="588" cm="1">
        <f t="array" ref="R12">+SUM('Exh. BGM-3 (Detail)'!R$10:R$103*N('Exh. BGM-3 (Detail)'!$D$10:$D$103=$D12))</f>
        <v>-32052.514057512293</v>
      </c>
      <c r="S12" s="588"/>
      <c r="T12" s="588" cm="1">
        <f t="array" ref="T12">+SUM('Exh. BGM-3 (Detail)'!T$10:T$103*N('Exh. BGM-3 (Detail)'!$D$10:$D$103=$D12))</f>
        <v>-2764.5974907967261</v>
      </c>
      <c r="W12" s="588">
        <f t="shared" si="2"/>
        <v>-2485.2268537033815</v>
      </c>
      <c r="X12" s="588"/>
      <c r="Y12" s="588">
        <f t="shared" si="3"/>
        <v>-28813.514057512293</v>
      </c>
      <c r="Z12" s="591"/>
      <c r="AA12" s="588">
        <f t="shared" si="4"/>
        <v>-2485.2268537033815</v>
      </c>
      <c r="AC12" s="573" t="s">
        <v>911</v>
      </c>
      <c r="AD12" s="573"/>
      <c r="AF12" s="574"/>
      <c r="AG12" s="621" t="s">
        <v>123</v>
      </c>
      <c r="AH12" s="596" t="s">
        <v>125</v>
      </c>
      <c r="AI12" s="596" t="s">
        <v>126</v>
      </c>
      <c r="AJ12" s="597" t="s">
        <v>126</v>
      </c>
    </row>
    <row r="13" spans="1:36">
      <c r="B13" s="571">
        <f t="shared" ca="1" si="0"/>
        <v>5</v>
      </c>
      <c r="D13" s="590">
        <v>1.04</v>
      </c>
      <c r="F13" s="588" t="str" cm="1">
        <f t="array" ref="F13">+INDEX('ADJ DETAIL-INPUT'!$E$6:$CD$6&amp;" "&amp;'ADJ DETAIL-INPUT'!$E$7:$CD$7&amp;" "&amp;'ADJ DETAIL-INPUT'!$E$8:$CD$8,1,MATCH($D13,'ADJ DETAIL-INPUT'!$E$9:$CD$9,0))</f>
        <v xml:space="preserve">Remove Colstrip  </v>
      </c>
      <c r="I13" s="588" cm="1">
        <f t="array" ref="I13">+SUM('Exh. BGM-3 (Detail)'!I$10:I$103*N('Exh. BGM-3 (Detail)'!$D$10:$D$103=$D13))</f>
        <v>-1683.4565659999998</v>
      </c>
      <c r="J13" s="588"/>
      <c r="K13" s="588" cm="1">
        <f t="array" ref="K13">+SUM('Exh. BGM-3 (Detail)'!K$10:K$103*N('Exh. BGM-3 (Detail)'!$D$10:$D$103=$D13))</f>
        <v>-24878</v>
      </c>
      <c r="L13" s="588"/>
      <c r="M13" s="588" cm="1">
        <f t="array" ref="M13">+SUM('Exh. BGM-3 (Detail)'!M$10:M$103*N('Exh. BGM-3 (Detail)'!$D$10:$D$103=$D13))</f>
        <v>-87.001427280459666</v>
      </c>
      <c r="O13" s="588"/>
      <c r="P13" s="588" cm="1">
        <f t="array" ref="P13">+SUM('Exh. BGM-3 (Detail)'!P$10:P$103*N('Exh. BGM-3 (Detail)'!$D$10:$D$103=$D13))</f>
        <v>-1683.4565659999998</v>
      </c>
      <c r="Q13" s="588"/>
      <c r="R13" s="588" cm="1">
        <f t="array" ref="R13">+SUM('Exh. BGM-3 (Detail)'!R$10:R$103*N('Exh. BGM-3 (Detail)'!$D$10:$D$103=$D13))</f>
        <v>-24878</v>
      </c>
      <c r="S13" s="588"/>
      <c r="T13" s="588" cm="1">
        <f t="array" ref="T13">+SUM('Exh. BGM-3 (Detail)'!T$10:T$103*N('Exh. BGM-3 (Detail)'!$D$10:$D$103=$D13))</f>
        <v>-87.001427280459666</v>
      </c>
      <c r="W13" s="588">
        <f t="shared" si="2"/>
        <v>0</v>
      </c>
      <c r="X13" s="588"/>
      <c r="Y13" s="588">
        <f t="shared" si="3"/>
        <v>0</v>
      </c>
      <c r="Z13" s="591"/>
      <c r="AA13" s="588">
        <f t="shared" si="4"/>
        <v>0</v>
      </c>
      <c r="AC13" s="573"/>
      <c r="AD13" s="573"/>
      <c r="AF13" s="574"/>
      <c r="AG13" s="598" t="s">
        <v>908</v>
      </c>
      <c r="AH13" s="599">
        <f>+AH21</f>
        <v>0.51500000000000001</v>
      </c>
      <c r="AI13" s="599">
        <f>+AI21</f>
        <v>4.99E-2</v>
      </c>
      <c r="AJ13" s="600">
        <f>+ROUND(AH13*AI13,4)</f>
        <v>2.5700000000000001E-2</v>
      </c>
    </row>
    <row r="14" spans="1:36">
      <c r="B14" s="571">
        <f t="shared" ca="1" si="0"/>
        <v>6</v>
      </c>
      <c r="D14" s="590">
        <v>2.0099999999999998</v>
      </c>
      <c r="F14" s="588" t="str" cm="1">
        <f t="array" ref="F14">+INDEX('ADJ DETAIL-INPUT'!$E$6:$CD$6&amp;" "&amp;'ADJ DETAIL-INPUT'!$E$7:$CD$7&amp;" "&amp;'ADJ DETAIL-INPUT'!$E$8:$CD$8,1,MATCH($D14,'ADJ DETAIL-INPUT'!$E$9:$CD$9,0))</f>
        <v>Eliminate B &amp; O Taxes</v>
      </c>
      <c r="I14" s="588" cm="1">
        <f t="array" ref="I14">+SUM('Exh. BGM-3 (Detail)'!I$10:I$103*N('Exh. BGM-3 (Detail)'!$D$10:$D$103=$D14))</f>
        <v>50.56</v>
      </c>
      <c r="J14" s="588"/>
      <c r="K14" s="588" cm="1">
        <f t="array" ref="K14">+SUM('Exh. BGM-3 (Detail)'!K$10:K$103*N('Exh. BGM-3 (Detail)'!$D$10:$D$103=$D14))</f>
        <v>0</v>
      </c>
      <c r="L14" s="588"/>
      <c r="M14" s="588" cm="1">
        <f t="array" ref="M14">+SUM('Exh. BGM-3 (Detail)'!M$10:M$103*N('Exh. BGM-3 (Detail)'!$D$10:$D$103=$D14))</f>
        <v>-67.191154582181582</v>
      </c>
      <c r="O14" s="588"/>
      <c r="P14" s="588" cm="1">
        <f t="array" ref="P14">+SUM('Exh. BGM-3 (Detail)'!P$10:P$103*N('Exh. BGM-3 (Detail)'!$D$10:$D$103=$D14))</f>
        <v>50.56</v>
      </c>
      <c r="Q14" s="588"/>
      <c r="R14" s="588" cm="1">
        <f t="array" ref="R14">+SUM('Exh. BGM-3 (Detail)'!R$10:R$103*N('Exh. BGM-3 (Detail)'!$D$10:$D$103=$D14))</f>
        <v>0</v>
      </c>
      <c r="S14" s="588"/>
      <c r="T14" s="588" cm="1">
        <f t="array" ref="T14">+SUM('Exh. BGM-3 (Detail)'!T$10:T$103*N('Exh. BGM-3 (Detail)'!$D$10:$D$103=$D14))</f>
        <v>-67.191154582181582</v>
      </c>
      <c r="W14" s="588">
        <f t="shared" si="2"/>
        <v>0</v>
      </c>
      <c r="X14" s="588"/>
      <c r="Y14" s="588">
        <f t="shared" si="3"/>
        <v>0</v>
      </c>
      <c r="Z14" s="591"/>
      <c r="AA14" s="588">
        <f t="shared" si="4"/>
        <v>0</v>
      </c>
      <c r="AC14" s="573"/>
      <c r="AD14" s="573"/>
      <c r="AF14" s="574"/>
      <c r="AG14" s="598" t="s">
        <v>909</v>
      </c>
      <c r="AH14" s="599">
        <f>+AH22</f>
        <v>0</v>
      </c>
      <c r="AI14" s="599">
        <f>+AI22</f>
        <v>0</v>
      </c>
      <c r="AJ14" s="600">
        <f>+AH14*AI14</f>
        <v>0</v>
      </c>
    </row>
    <row r="15" spans="1:36">
      <c r="B15" s="571">
        <f t="shared" ca="1" si="0"/>
        <v>7</v>
      </c>
      <c r="D15" s="590">
        <v>2.0199999999999996</v>
      </c>
      <c r="F15" s="588" t="str" cm="1">
        <f t="array" ref="F15">+INDEX('ADJ DETAIL-INPUT'!$E$6:$CD$6&amp;" "&amp;'ADJ DETAIL-INPUT'!$E$7:$CD$7&amp;" "&amp;'ADJ DETAIL-INPUT'!$E$8:$CD$8,1,MATCH($D15,'ADJ DETAIL-INPUT'!$E$9:$CD$9,0))</f>
        <v>Restate Property Tax</v>
      </c>
      <c r="I15" s="588" cm="1">
        <f t="array" ref="I15">+SUM('Exh. BGM-3 (Detail)'!I$10:I$103*N('Exh. BGM-3 (Detail)'!$D$10:$D$103=$D15))</f>
        <v>-1072.82</v>
      </c>
      <c r="J15" s="588"/>
      <c r="K15" s="588" cm="1">
        <f t="array" ref="K15">+SUM('Exh. BGM-3 (Detail)'!K$10:K$103*N('Exh. BGM-3 (Detail)'!$D$10:$D$103=$D15))</f>
        <v>0</v>
      </c>
      <c r="L15" s="588"/>
      <c r="M15" s="588" cm="1">
        <f t="array" ref="M15">+SUM('Exh. BGM-3 (Detail)'!M$10:M$103*N('Exh. BGM-3 (Detail)'!$D$10:$D$103=$D15))</f>
        <v>1425.7123112906654</v>
      </c>
      <c r="O15" s="588"/>
      <c r="P15" s="588" cm="1">
        <f t="array" ref="P15">+SUM('Exh. BGM-3 (Detail)'!P$10:P$103*N('Exh. BGM-3 (Detail)'!$D$10:$D$103=$D15))</f>
        <v>-1072.82</v>
      </c>
      <c r="Q15" s="588"/>
      <c r="R15" s="588" cm="1">
        <f t="array" ref="R15">+SUM('Exh. BGM-3 (Detail)'!R$10:R$103*N('Exh. BGM-3 (Detail)'!$D$10:$D$103=$D15))</f>
        <v>0</v>
      </c>
      <c r="S15" s="588"/>
      <c r="T15" s="588" cm="1">
        <f t="array" ref="T15">+SUM('Exh. BGM-3 (Detail)'!T$10:T$103*N('Exh. BGM-3 (Detail)'!$D$10:$D$103=$D15))</f>
        <v>1425.7123112906654</v>
      </c>
      <c r="W15" s="588">
        <f t="shared" si="2"/>
        <v>0</v>
      </c>
      <c r="X15" s="588"/>
      <c r="Y15" s="588">
        <f t="shared" si="3"/>
        <v>0</v>
      </c>
      <c r="Z15" s="591"/>
      <c r="AA15" s="588">
        <f t="shared" si="4"/>
        <v>0</v>
      </c>
      <c r="AC15" s="573"/>
      <c r="AD15" s="573"/>
      <c r="AF15" s="574"/>
      <c r="AG15" s="598" t="s">
        <v>11</v>
      </c>
      <c r="AH15" s="601">
        <f>1-SUM(AH11:AH14)</f>
        <v>0.48499999999999999</v>
      </c>
      <c r="AI15" s="599">
        <v>9.1999999999999998E-2</v>
      </c>
      <c r="AJ15" s="600">
        <f>+ROUND(AH15*AI15,4)</f>
        <v>4.4600000000000001E-2</v>
      </c>
    </row>
    <row r="16" spans="1:36">
      <c r="B16" s="571">
        <f t="shared" ca="1" si="0"/>
        <v>8</v>
      </c>
      <c r="D16" s="590">
        <v>2.0299999999999994</v>
      </c>
      <c r="F16" s="588" t="str" cm="1">
        <f t="array" ref="F16">+INDEX('ADJ DETAIL-INPUT'!$E$6:$CD$6&amp;" "&amp;'ADJ DETAIL-INPUT'!$E$7:$CD$7&amp;" "&amp;'ADJ DETAIL-INPUT'!$E$8:$CD$8,1,MATCH($D16,'ADJ DETAIL-INPUT'!$E$9:$CD$9,0))</f>
        <v xml:space="preserve">Uncollectible Expense  </v>
      </c>
      <c r="I16" s="588" cm="1">
        <f t="array" ref="I16">+SUM('Exh. BGM-3 (Detail)'!I$10:I$103*N('Exh. BGM-3 (Detail)'!$D$10:$D$103=$D16))</f>
        <v>-720.48</v>
      </c>
      <c r="J16" s="588"/>
      <c r="K16" s="588" cm="1">
        <f t="array" ref="K16">+SUM('Exh. BGM-3 (Detail)'!K$10:K$103*N('Exh. BGM-3 (Detail)'!$D$10:$D$103=$D16))</f>
        <v>0</v>
      </c>
      <c r="L16" s="588"/>
      <c r="M16" s="588" cm="1">
        <f t="array" ref="M16">+SUM('Exh. BGM-3 (Detail)'!M$10:M$103*N('Exh. BGM-3 (Detail)'!$D$10:$D$103=$D16))</f>
        <v>957.47395279608759</v>
      </c>
      <c r="O16" s="588"/>
      <c r="P16" s="588" cm="1">
        <f t="array" ref="P16">+SUM('Exh. BGM-3 (Detail)'!P$10:P$103*N('Exh. BGM-3 (Detail)'!$D$10:$D$103=$D16))</f>
        <v>-720.48</v>
      </c>
      <c r="Q16" s="588"/>
      <c r="R16" s="588" cm="1">
        <f t="array" ref="R16">+SUM('Exh. BGM-3 (Detail)'!R$10:R$103*N('Exh. BGM-3 (Detail)'!$D$10:$D$103=$D16))</f>
        <v>0</v>
      </c>
      <c r="S16" s="588"/>
      <c r="T16" s="588" cm="1">
        <f t="array" ref="T16">+SUM('Exh. BGM-3 (Detail)'!T$10:T$103*N('Exh. BGM-3 (Detail)'!$D$10:$D$103=$D16))</f>
        <v>957.47395279608759</v>
      </c>
      <c r="W16" s="588">
        <f t="shared" si="2"/>
        <v>0</v>
      </c>
      <c r="X16" s="588"/>
      <c r="Y16" s="588">
        <f t="shared" si="3"/>
        <v>0</v>
      </c>
      <c r="Z16" s="591"/>
      <c r="AA16" s="588">
        <f t="shared" si="4"/>
        <v>0</v>
      </c>
      <c r="AC16" s="573"/>
      <c r="AD16" s="573"/>
      <c r="AF16" s="574"/>
      <c r="AG16" s="602" t="s">
        <v>131</v>
      </c>
      <c r="AH16" s="601">
        <v>1</v>
      </c>
      <c r="AI16" s="603"/>
      <c r="AJ16" s="604">
        <f>+SUM(AJ13:AJ15)</f>
        <v>7.0300000000000001E-2</v>
      </c>
    </row>
    <row r="17" spans="2:36">
      <c r="B17" s="571">
        <f t="shared" ca="1" si="0"/>
        <v>9</v>
      </c>
      <c r="D17" s="590">
        <v>2.0399999999999991</v>
      </c>
      <c r="F17" s="588" t="str" cm="1">
        <f t="array" ref="F17">+INDEX('ADJ DETAIL-INPUT'!$E$6:$CD$6&amp;" "&amp;'ADJ DETAIL-INPUT'!$E$7:$CD$7&amp;" "&amp;'ADJ DETAIL-INPUT'!$E$8:$CD$8,1,MATCH($D17,'ADJ DETAIL-INPUT'!$E$9:$CD$9,0))</f>
        <v xml:space="preserve">Regulatory Expense  </v>
      </c>
      <c r="I17" s="588" cm="1">
        <f t="array" ref="I17">+SUM('Exh. BGM-3 (Detail)'!I$10:I$103*N('Exh. BGM-3 (Detail)'!$D$10:$D$103=$D17))</f>
        <v>-658.86</v>
      </c>
      <c r="J17" s="588"/>
      <c r="K17" s="588" cm="1">
        <f t="array" ref="K17">+SUM('Exh. BGM-3 (Detail)'!K$10:K$103*N('Exh. BGM-3 (Detail)'!$D$10:$D$103=$D17))</f>
        <v>0</v>
      </c>
      <c r="L17" s="588"/>
      <c r="M17" s="588" cm="1">
        <f t="array" ref="M17">+SUM('Exh. BGM-3 (Detail)'!M$10:M$103*N('Exh. BGM-3 (Detail)'!$D$10:$D$103=$D17))</f>
        <v>875.58473314905382</v>
      </c>
      <c r="O17" s="588"/>
      <c r="P17" s="588" cm="1">
        <f t="array" ref="P17">+SUM('Exh. BGM-3 (Detail)'!P$10:P$103*N('Exh. BGM-3 (Detail)'!$D$10:$D$103=$D17))</f>
        <v>-658.86</v>
      </c>
      <c r="Q17" s="588"/>
      <c r="R17" s="588" cm="1">
        <f t="array" ref="R17">+SUM('Exh. BGM-3 (Detail)'!R$10:R$103*N('Exh. BGM-3 (Detail)'!$D$10:$D$103=$D17))</f>
        <v>0</v>
      </c>
      <c r="S17" s="588"/>
      <c r="T17" s="588" cm="1">
        <f t="array" ref="T17">+SUM('Exh. BGM-3 (Detail)'!T$10:T$103*N('Exh. BGM-3 (Detail)'!$D$10:$D$103=$D17))</f>
        <v>875.58473314905382</v>
      </c>
      <c r="W17" s="588">
        <f t="shared" si="2"/>
        <v>0</v>
      </c>
      <c r="X17" s="588"/>
      <c r="Y17" s="588">
        <f t="shared" si="3"/>
        <v>0</v>
      </c>
      <c r="Z17" s="591"/>
      <c r="AA17" s="588">
        <f t="shared" si="4"/>
        <v>0</v>
      </c>
      <c r="AC17" s="573"/>
      <c r="AD17" s="573"/>
      <c r="AF17" s="574"/>
      <c r="AG17" s="571"/>
    </row>
    <row r="18" spans="2:36">
      <c r="B18" s="571">
        <f t="shared" ca="1" si="0"/>
        <v>10</v>
      </c>
      <c r="D18" s="595">
        <v>2.0499999999999989</v>
      </c>
      <c r="F18" s="588" t="str" cm="1">
        <f t="array" ref="F18">+INDEX('ADJ DETAIL-INPUT'!$E$6:$CD$6&amp;" "&amp;'ADJ DETAIL-INPUT'!$E$7:$CD$7&amp;" "&amp;'ADJ DETAIL-INPUT'!$E$8:$CD$8,1,MATCH($D18,'ADJ DETAIL-INPUT'!$E$9:$CD$9,0))</f>
        <v>Injuries and  Damages</v>
      </c>
      <c r="I18" s="588" cm="1">
        <f t="array" ref="I18">+SUM('Exh. BGM-3 (Detail)'!I$10:I$103*N('Exh. BGM-3 (Detail)'!$D$10:$D$103=$D18))</f>
        <v>248.85000000000002</v>
      </c>
      <c r="J18" s="588"/>
      <c r="K18" s="588" cm="1">
        <f t="array" ref="K18">+SUM('Exh. BGM-3 (Detail)'!K$10:K$103*N('Exh. BGM-3 (Detail)'!$D$10:$D$103=$D18))</f>
        <v>0</v>
      </c>
      <c r="L18" s="588"/>
      <c r="M18" s="588" cm="1">
        <f t="array" ref="M18">+SUM('Exh. BGM-3 (Detail)'!M$10:M$103*N('Exh. BGM-3 (Detail)'!$D$10:$D$103=$D18))</f>
        <v>-330.70646395917498</v>
      </c>
      <c r="O18" s="588"/>
      <c r="P18" s="588" cm="1">
        <f t="array" ref="P18">+SUM('Exh. BGM-3 (Detail)'!P$10:P$103*N('Exh. BGM-3 (Detail)'!$D$10:$D$103=$D18))</f>
        <v>248.85000000000002</v>
      </c>
      <c r="Q18" s="588"/>
      <c r="R18" s="588" cm="1">
        <f t="array" ref="R18">+SUM('Exh. BGM-3 (Detail)'!R$10:R$103*N('Exh. BGM-3 (Detail)'!$D$10:$D$103=$D18))</f>
        <v>0</v>
      </c>
      <c r="S18" s="588"/>
      <c r="T18" s="588" cm="1">
        <f t="array" ref="T18">+SUM('Exh. BGM-3 (Detail)'!T$10:T$103*N('Exh. BGM-3 (Detail)'!$D$10:$D$103=$D18))</f>
        <v>-330.70646395917498</v>
      </c>
      <c r="W18" s="588">
        <f t="shared" si="2"/>
        <v>0</v>
      </c>
      <c r="X18" s="588"/>
      <c r="Y18" s="588">
        <f t="shared" si="3"/>
        <v>0</v>
      </c>
      <c r="Z18" s="591"/>
      <c r="AA18" s="588">
        <f t="shared" si="4"/>
        <v>0</v>
      </c>
      <c r="AC18" s="573"/>
      <c r="AD18" s="573"/>
      <c r="AF18" s="574"/>
      <c r="AG18" s="571"/>
    </row>
    <row r="19" spans="2:36">
      <c r="B19" s="571">
        <f t="shared" ca="1" si="0"/>
        <v>11</v>
      </c>
      <c r="D19" s="590">
        <v>2.0599999999999987</v>
      </c>
      <c r="F19" s="588" t="str" cm="1">
        <f t="array" ref="F19">+INDEX('ADJ DETAIL-INPUT'!$E$6:$CD$6&amp;" "&amp;'ADJ DETAIL-INPUT'!$E$7:$CD$7&amp;" "&amp;'ADJ DETAIL-INPUT'!$E$8:$CD$8,1,MATCH($D19,'ADJ DETAIL-INPUT'!$E$9:$CD$9,0))</f>
        <v>FIT/DFIT/ ITC Expense</v>
      </c>
      <c r="I19" s="588" cm="1">
        <f t="array" ref="I19">+SUM('Exh. BGM-3 (Detail)'!I$10:I$103*N('Exh. BGM-3 (Detail)'!$D$10:$D$103=$D19))</f>
        <v>209</v>
      </c>
      <c r="J19" s="588"/>
      <c r="K19" s="588" cm="1">
        <f t="array" ref="K19">+SUM('Exh. BGM-3 (Detail)'!K$10:K$103*N('Exh. BGM-3 (Detail)'!$D$10:$D$103=$D19))</f>
        <v>0</v>
      </c>
      <c r="L19" s="588"/>
      <c r="M19" s="588" cm="1">
        <f t="array" ref="M19">+SUM('Exh. BGM-3 (Detail)'!M$10:M$103*N('Exh. BGM-3 (Detail)'!$D$10:$D$103=$D19))</f>
        <v>-277.74824580055281</v>
      </c>
      <c r="O19" s="588"/>
      <c r="P19" s="588" cm="1">
        <f t="array" ref="P19">+SUM('Exh. BGM-3 (Detail)'!P$10:P$103*N('Exh. BGM-3 (Detail)'!$D$10:$D$103=$D19))</f>
        <v>4594.5226199999997</v>
      </c>
      <c r="Q19" s="588"/>
      <c r="R19" s="588" cm="1">
        <f t="array" ref="R19">+SUM('Exh. BGM-3 (Detail)'!R$10:R$103*N('Exh. BGM-3 (Detail)'!$D$10:$D$103=$D19))</f>
        <v>0</v>
      </c>
      <c r="S19" s="588"/>
      <c r="T19" s="588" cm="1">
        <f t="array" ref="T19">+SUM('Exh. BGM-3 (Detail)'!T$10:T$103*N('Exh. BGM-3 (Detail)'!$D$10:$D$103=$D19))</f>
        <v>-6105.8401817988506</v>
      </c>
      <c r="W19" s="588">
        <f t="shared" si="2"/>
        <v>-5828.0919359982981</v>
      </c>
      <c r="X19" s="588"/>
      <c r="Y19" s="588">
        <f t="shared" si="3"/>
        <v>0</v>
      </c>
      <c r="Z19" s="591"/>
      <c r="AA19" s="588">
        <f t="shared" si="4"/>
        <v>-5828.0919359982981</v>
      </c>
      <c r="AC19" s="573" t="s">
        <v>911</v>
      </c>
      <c r="AD19" s="573"/>
      <c r="AF19" s="574"/>
      <c r="AG19" s="592" t="s">
        <v>910</v>
      </c>
      <c r="AH19" s="593" t="s">
        <v>120</v>
      </c>
      <c r="AI19" s="593"/>
      <c r="AJ19" s="594" t="s">
        <v>121</v>
      </c>
    </row>
    <row r="20" spans="2:36">
      <c r="B20" s="571">
        <f t="shared" ca="1" si="0"/>
        <v>12</v>
      </c>
      <c r="D20" s="590">
        <v>2.0699999999999985</v>
      </c>
      <c r="F20" s="588" t="str" cm="1">
        <f t="array" ref="F20">+INDEX('ADJ DETAIL-INPUT'!$E$6:$CD$6&amp;" "&amp;'ADJ DETAIL-INPUT'!$E$7:$CD$7&amp;" "&amp;'ADJ DETAIL-INPUT'!$E$8:$CD$8,1,MATCH($D20,'ADJ DETAIL-INPUT'!$E$9:$CD$9,0))</f>
        <v>Office Space Charges to Non-Utility</v>
      </c>
      <c r="I20" s="588" cm="1">
        <f t="array" ref="I20">+SUM('Exh. BGM-3 (Detail)'!I$10:I$103*N('Exh. BGM-3 (Detail)'!$D$10:$D$103=$D20))</f>
        <v>26.07</v>
      </c>
      <c r="J20" s="588"/>
      <c r="K20" s="588" cm="1">
        <f t="array" ref="K20">+SUM('Exh. BGM-3 (Detail)'!K$10:K$103*N('Exh. BGM-3 (Detail)'!$D$10:$D$103=$D20))</f>
        <v>0</v>
      </c>
      <c r="L20" s="588"/>
      <c r="M20" s="588" cm="1">
        <f t="array" ref="M20">+SUM('Exh. BGM-3 (Detail)'!M$10:M$103*N('Exh. BGM-3 (Detail)'!$D$10:$D$103=$D20))</f>
        <v>-34.645439081437381</v>
      </c>
      <c r="O20" s="588"/>
      <c r="P20" s="588" cm="1">
        <f t="array" ref="P20">+SUM('Exh. BGM-3 (Detail)'!P$10:P$103*N('Exh. BGM-3 (Detail)'!$D$10:$D$103=$D20))</f>
        <v>26.07</v>
      </c>
      <c r="Q20" s="588"/>
      <c r="R20" s="588" cm="1">
        <f t="array" ref="R20">+SUM('Exh. BGM-3 (Detail)'!R$10:R$103*N('Exh. BGM-3 (Detail)'!$D$10:$D$103=$D20))</f>
        <v>0</v>
      </c>
      <c r="S20" s="588"/>
      <c r="T20" s="588" cm="1">
        <f t="array" ref="T20">+SUM('Exh. BGM-3 (Detail)'!T$10:T$103*N('Exh. BGM-3 (Detail)'!$D$10:$D$103=$D20))</f>
        <v>-34.645439081437381</v>
      </c>
      <c r="W20" s="588">
        <f t="shared" si="2"/>
        <v>0</v>
      </c>
      <c r="X20" s="588"/>
      <c r="Y20" s="588">
        <f t="shared" si="3"/>
        <v>0</v>
      </c>
      <c r="Z20" s="591"/>
      <c r="AA20" s="588">
        <f t="shared" si="4"/>
        <v>0</v>
      </c>
      <c r="AC20" s="573"/>
      <c r="AD20" s="573"/>
      <c r="AF20" s="574"/>
      <c r="AG20" s="621" t="s">
        <v>123</v>
      </c>
      <c r="AH20" s="596" t="s">
        <v>125</v>
      </c>
      <c r="AI20" s="596" t="s">
        <v>126</v>
      </c>
      <c r="AJ20" s="597" t="s">
        <v>126</v>
      </c>
    </row>
    <row r="21" spans="2:36">
      <c r="B21" s="571">
        <f t="shared" ca="1" si="0"/>
        <v>13</v>
      </c>
      <c r="D21" s="590">
        <v>2.0799999999999983</v>
      </c>
      <c r="F21" s="588" t="str" cm="1">
        <f t="array" ref="F21">+INDEX('ADJ DETAIL-INPUT'!$E$6:$CD$6&amp;" "&amp;'ADJ DETAIL-INPUT'!$E$7:$CD$7&amp;" "&amp;'ADJ DETAIL-INPUT'!$E$8:$CD$8,1,MATCH($D21,'ADJ DETAIL-INPUT'!$E$9:$CD$9,0))</f>
        <v>Restate Excise Taxes</v>
      </c>
      <c r="I21" s="588" cm="1">
        <f t="array" ref="I21">+SUM('Exh. BGM-3 (Detail)'!I$10:I$103*N('Exh. BGM-3 (Detail)'!$D$10:$D$103=$D21))</f>
        <v>45.82</v>
      </c>
      <c r="J21" s="588"/>
      <c r="K21" s="588" cm="1">
        <f t="array" ref="K21">+SUM('Exh. BGM-3 (Detail)'!K$10:K$103*N('Exh. BGM-3 (Detail)'!$D$10:$D$103=$D21))</f>
        <v>0</v>
      </c>
      <c r="L21" s="588"/>
      <c r="M21" s="588" cm="1">
        <f t="array" ref="M21">+SUM('Exh. BGM-3 (Detail)'!M$10:M$103*N('Exh. BGM-3 (Detail)'!$D$10:$D$103=$D21))</f>
        <v>-60.891983840102057</v>
      </c>
      <c r="O21" s="588"/>
      <c r="P21" s="588" cm="1">
        <f t="array" ref="P21">+SUM('Exh. BGM-3 (Detail)'!P$10:P$103*N('Exh. BGM-3 (Detail)'!$D$10:$D$103=$D21))</f>
        <v>45.82</v>
      </c>
      <c r="Q21" s="588"/>
      <c r="R21" s="588" cm="1">
        <f t="array" ref="R21">+SUM('Exh. BGM-3 (Detail)'!R$10:R$103*N('Exh. BGM-3 (Detail)'!$D$10:$D$103=$D21))</f>
        <v>0</v>
      </c>
      <c r="S21" s="588"/>
      <c r="T21" s="588" cm="1">
        <f t="array" ref="T21">+SUM('Exh. BGM-3 (Detail)'!T$10:T$103*N('Exh. BGM-3 (Detail)'!$D$10:$D$103=$D21))</f>
        <v>-60.891983840102057</v>
      </c>
      <c r="W21" s="588">
        <f t="shared" si="2"/>
        <v>0</v>
      </c>
      <c r="X21" s="588"/>
      <c r="Y21" s="588">
        <f t="shared" si="3"/>
        <v>0</v>
      </c>
      <c r="Z21" s="591"/>
      <c r="AA21" s="588">
        <f t="shared" si="4"/>
        <v>0</v>
      </c>
      <c r="AC21" s="573"/>
      <c r="AD21" s="573"/>
      <c r="AF21" s="574"/>
      <c r="AG21" s="598" t="s">
        <v>908</v>
      </c>
      <c r="AH21" s="599">
        <f>+'RR Summary'!$K$12</f>
        <v>0.51500000000000001</v>
      </c>
      <c r="AI21" s="599">
        <f>+'RR Summary'!L12</f>
        <v>4.99E-2</v>
      </c>
      <c r="AJ21" s="600">
        <f>+ROUND(AH21*AI21,4)</f>
        <v>2.5700000000000001E-2</v>
      </c>
    </row>
    <row r="22" spans="2:36">
      <c r="B22" s="571">
        <f t="shared" ca="1" si="0"/>
        <v>14</v>
      </c>
      <c r="D22" s="590">
        <v>2.0899999999999981</v>
      </c>
      <c r="F22" s="588" t="str" cm="1">
        <f t="array" ref="F22">+INDEX('ADJ DETAIL-INPUT'!$E$6:$CD$6&amp;" "&amp;'ADJ DETAIL-INPUT'!$E$7:$CD$7&amp;" "&amp;'ADJ DETAIL-INPUT'!$E$8:$CD$8,1,MATCH($D22,'ADJ DETAIL-INPUT'!$E$9:$CD$9,0))</f>
        <v>Net Gains &amp; Losses</v>
      </c>
      <c r="I22" s="588" cm="1">
        <f t="array" ref="I22">+SUM('Exh. BGM-3 (Detail)'!I$10:I$103*N('Exh. BGM-3 (Detail)'!$D$10:$D$103=$D22))</f>
        <v>53.72</v>
      </c>
      <c r="J22" s="588"/>
      <c r="K22" s="588" cm="1">
        <f t="array" ref="K22">+SUM('Exh. BGM-3 (Detail)'!K$10:K$103*N('Exh. BGM-3 (Detail)'!$D$10:$D$103=$D22))</f>
        <v>0</v>
      </c>
      <c r="L22" s="588"/>
      <c r="M22" s="588" cm="1">
        <f t="array" ref="M22">+SUM('Exh. BGM-3 (Detail)'!M$10:M$103*N('Exh. BGM-3 (Detail)'!$D$10:$D$103=$D22))</f>
        <v>-71.390601743567927</v>
      </c>
      <c r="O22" s="588"/>
      <c r="P22" s="588" cm="1">
        <f t="array" ref="P22">+SUM('Exh. BGM-3 (Detail)'!P$10:P$103*N('Exh. BGM-3 (Detail)'!$D$10:$D$103=$D22))</f>
        <v>53.72</v>
      </c>
      <c r="Q22" s="588"/>
      <c r="R22" s="588" cm="1">
        <f t="array" ref="R22">+SUM('Exh. BGM-3 (Detail)'!R$10:R$103*N('Exh. BGM-3 (Detail)'!$D$10:$D$103=$D22))</f>
        <v>0</v>
      </c>
      <c r="S22" s="588"/>
      <c r="T22" s="588" cm="1">
        <f t="array" ref="T22">+SUM('Exh. BGM-3 (Detail)'!T$10:T$103*N('Exh. BGM-3 (Detail)'!$D$10:$D$103=$D22))</f>
        <v>-71.390601743567927</v>
      </c>
      <c r="W22" s="588">
        <f t="shared" si="2"/>
        <v>0</v>
      </c>
      <c r="X22" s="588"/>
      <c r="Y22" s="588">
        <f t="shared" si="3"/>
        <v>0</v>
      </c>
      <c r="Z22" s="591"/>
      <c r="AA22" s="588">
        <f t="shared" si="4"/>
        <v>0</v>
      </c>
      <c r="AC22" s="573"/>
      <c r="AD22" s="573"/>
      <c r="AF22" s="574"/>
      <c r="AG22" s="598" t="s">
        <v>909</v>
      </c>
      <c r="AH22" s="599">
        <v>0</v>
      </c>
      <c r="AI22" s="599">
        <v>0</v>
      </c>
      <c r="AJ22" s="600">
        <f>+AH22*AI22</f>
        <v>0</v>
      </c>
    </row>
    <row r="23" spans="2:36">
      <c r="B23" s="571">
        <f t="shared" ca="1" si="0"/>
        <v>15</v>
      </c>
      <c r="D23" s="590">
        <v>2.0999999999999979</v>
      </c>
      <c r="F23" s="588" t="str" cm="1">
        <f t="array" ref="F23">+INDEX('ADJ DETAIL-INPUT'!$E$6:$CD$6&amp;" "&amp;'ADJ DETAIL-INPUT'!$E$7:$CD$7&amp;" "&amp;'ADJ DETAIL-INPUT'!$E$8:$CD$8,1,MATCH($D23,'ADJ DETAIL-INPUT'!$E$9:$CD$9,0))</f>
        <v xml:space="preserve">Weather  Normalization  </v>
      </c>
      <c r="I23" s="588" cm="1">
        <f t="array" ref="I23">+SUM('Exh. BGM-3 (Detail)'!I$10:I$103*N('Exh. BGM-3 (Detail)'!$D$10:$D$103=$D23))</f>
        <v>-1101.26</v>
      </c>
      <c r="J23" s="588"/>
      <c r="K23" s="588" cm="1">
        <f t="array" ref="K23">+SUM('Exh. BGM-3 (Detail)'!K$10:K$103*N('Exh. BGM-3 (Detail)'!$D$10:$D$103=$D23))</f>
        <v>0</v>
      </c>
      <c r="L23" s="588"/>
      <c r="M23" s="588" cm="1">
        <f t="array" ref="M23">+SUM('Exh. BGM-3 (Detail)'!M$10:M$103*N('Exh. BGM-3 (Detail)'!$D$10:$D$103=$D23))</f>
        <v>1463.5073357431427</v>
      </c>
      <c r="O23" s="588"/>
      <c r="P23" s="588" cm="1">
        <f t="array" ref="P23">+SUM('Exh. BGM-3 (Detail)'!P$10:P$103*N('Exh. BGM-3 (Detail)'!$D$10:$D$103=$D23))</f>
        <v>-1101.26</v>
      </c>
      <c r="Q23" s="588"/>
      <c r="R23" s="588" cm="1">
        <f t="array" ref="R23">+SUM('Exh. BGM-3 (Detail)'!R$10:R$103*N('Exh. BGM-3 (Detail)'!$D$10:$D$103=$D23))</f>
        <v>0</v>
      </c>
      <c r="S23" s="588"/>
      <c r="T23" s="588" cm="1">
        <f t="array" ref="T23">+SUM('Exh. BGM-3 (Detail)'!T$10:T$103*N('Exh. BGM-3 (Detail)'!$D$10:$D$103=$D23))</f>
        <v>1463.5073357431427</v>
      </c>
      <c r="W23" s="588">
        <f t="shared" si="2"/>
        <v>0</v>
      </c>
      <c r="X23" s="588"/>
      <c r="Y23" s="588">
        <f t="shared" si="3"/>
        <v>0</v>
      </c>
      <c r="Z23" s="591"/>
      <c r="AA23" s="588">
        <f t="shared" si="4"/>
        <v>0</v>
      </c>
      <c r="AC23" s="573"/>
      <c r="AD23" s="573"/>
      <c r="AF23" s="574"/>
      <c r="AG23" s="598" t="s">
        <v>11</v>
      </c>
      <c r="AH23" s="601">
        <f>1-SUM(AH19:AH22)</f>
        <v>0.48499999999999999</v>
      </c>
      <c r="AI23" s="599">
        <v>0.104</v>
      </c>
      <c r="AJ23" s="600">
        <f>+ROUND(AH23*AI23,4)</f>
        <v>5.04E-2</v>
      </c>
    </row>
    <row r="24" spans="2:36">
      <c r="B24" s="571">
        <f t="shared" ca="1" si="0"/>
        <v>16</v>
      </c>
      <c r="D24" s="590">
        <v>2.1099999999999977</v>
      </c>
      <c r="F24" s="588" t="str" cm="1">
        <f t="array" ref="F24">+INDEX('ADJ DETAIL-INPUT'!$E$6:$CD$6&amp;" "&amp;'ADJ DETAIL-INPUT'!$E$7:$CD$7&amp;" "&amp;'ADJ DETAIL-INPUT'!$E$8:$CD$8,1,MATCH($D24,'ADJ DETAIL-INPUT'!$E$9:$CD$9,0))</f>
        <v>Eliminate Adder Schedules</v>
      </c>
      <c r="I24" s="588" cm="1">
        <f t="array" ref="I24">+SUM('Exh. BGM-3 (Detail)'!I$10:I$103*N('Exh. BGM-3 (Detail)'!$D$10:$D$103=$D24))</f>
        <v>2.3699999999989814</v>
      </c>
      <c r="J24" s="588"/>
      <c r="K24" s="588" cm="1">
        <f t="array" ref="K24">+SUM('Exh. BGM-3 (Detail)'!K$10:K$103*N('Exh. BGM-3 (Detail)'!$D$10:$D$103=$D24))</f>
        <v>0</v>
      </c>
      <c r="L24" s="588"/>
      <c r="M24" s="588" cm="1">
        <f t="array" ref="M24">+SUM('Exh. BGM-3 (Detail)'!M$10:M$103*N('Exh. BGM-3 (Detail)'!$D$10:$D$103=$D24))</f>
        <v>-3.1495853710384081</v>
      </c>
      <c r="O24" s="588"/>
      <c r="P24" s="588" cm="1">
        <f t="array" ref="P24">+SUM('Exh. BGM-3 (Detail)'!P$10:P$103*N('Exh. BGM-3 (Detail)'!$D$10:$D$103=$D24))</f>
        <v>2.3699999999989814</v>
      </c>
      <c r="Q24" s="588"/>
      <c r="R24" s="588" cm="1">
        <f t="array" ref="R24">+SUM('Exh. BGM-3 (Detail)'!R$10:R$103*N('Exh. BGM-3 (Detail)'!$D$10:$D$103=$D24))</f>
        <v>0</v>
      </c>
      <c r="S24" s="588"/>
      <c r="T24" s="588" cm="1">
        <f t="array" ref="T24">+SUM('Exh. BGM-3 (Detail)'!T$10:T$103*N('Exh. BGM-3 (Detail)'!$D$10:$D$103=$D24))</f>
        <v>-3.1495853710384081</v>
      </c>
      <c r="W24" s="588">
        <f t="shared" si="2"/>
        <v>0</v>
      </c>
      <c r="X24" s="588"/>
      <c r="Y24" s="588">
        <f t="shared" si="3"/>
        <v>0</v>
      </c>
      <c r="Z24" s="591"/>
      <c r="AA24" s="588">
        <f t="shared" si="4"/>
        <v>0</v>
      </c>
      <c r="AC24" s="573"/>
      <c r="AD24" s="573"/>
      <c r="AF24" s="574"/>
      <c r="AG24" s="602" t="s">
        <v>131</v>
      </c>
      <c r="AH24" s="601">
        <v>1</v>
      </c>
      <c r="AI24" s="603"/>
      <c r="AJ24" s="604">
        <f>+SUM(AJ21:AJ23)</f>
        <v>7.6100000000000001E-2</v>
      </c>
    </row>
    <row r="25" spans="2:36">
      <c r="B25" s="571">
        <f t="shared" ca="1" si="0"/>
        <v>17</v>
      </c>
      <c r="D25" s="590">
        <v>2.1199999999999974</v>
      </c>
      <c r="F25" s="588" t="str" cm="1">
        <f t="array" ref="F25">+INDEX('ADJ DETAIL-INPUT'!$E$6:$CD$6&amp;" "&amp;'ADJ DETAIL-INPUT'!$E$7:$CD$7&amp;" "&amp;'ADJ DETAIL-INPUT'!$E$8:$CD$8,1,MATCH($D25,'ADJ DETAIL-INPUT'!$E$9:$CD$9,0))</f>
        <v>Misc. Restating Non-Util / Non- Recurring Expenses</v>
      </c>
      <c r="I25" s="588" cm="1">
        <f t="array" ref="I25">+SUM('Exh. BGM-3 (Detail)'!I$10:I$103*N('Exh. BGM-3 (Detail)'!$D$10:$D$103=$D25))</f>
        <v>1024.6300000000001</v>
      </c>
      <c r="J25" s="588"/>
      <c r="K25" s="588" cm="1">
        <f t="array" ref="K25">+SUM('Exh. BGM-3 (Detail)'!K$10:K$103*N('Exh. BGM-3 (Detail)'!$D$10:$D$103=$D25))</f>
        <v>0</v>
      </c>
      <c r="L25" s="588"/>
      <c r="M25" s="588" cm="1">
        <f t="array" ref="M25">+SUM('Exh. BGM-3 (Detail)'!M$10:M$103*N('Exh. BGM-3 (Detail)'!$D$10:$D$103=$D25))</f>
        <v>-1361.6707420795237</v>
      </c>
      <c r="O25" s="588"/>
      <c r="P25" s="588" cm="1">
        <f t="array" ref="P25">+SUM('Exh. BGM-3 (Detail)'!P$10:P$103*N('Exh. BGM-3 (Detail)'!$D$10:$D$103=$D25))</f>
        <v>1341.3243711616251</v>
      </c>
      <c r="Q25" s="588"/>
      <c r="R25" s="588" cm="1">
        <f t="array" ref="R25">+SUM('Exh. BGM-3 (Detail)'!R$10:R$103*N('Exh. BGM-3 (Detail)'!$D$10:$D$103=$D25))</f>
        <v>0</v>
      </c>
      <c r="S25" s="588"/>
      <c r="T25" s="588" cm="1">
        <f t="array" ref="T25">+SUM('Exh. BGM-3 (Detail)'!T$10:T$103*N('Exh. BGM-3 (Detail)'!$D$10:$D$103=$D25))</f>
        <v>-1782.5382351180428</v>
      </c>
      <c r="W25" s="588">
        <f t="shared" si="2"/>
        <v>-420.86749303851911</v>
      </c>
      <c r="X25" s="588"/>
      <c r="Y25" s="588">
        <f t="shared" si="3"/>
        <v>0</v>
      </c>
      <c r="Z25" s="591"/>
      <c r="AA25" s="588">
        <f t="shared" si="4"/>
        <v>-420.86749303851911</v>
      </c>
      <c r="AC25" s="573" t="s">
        <v>911</v>
      </c>
      <c r="AD25" s="573"/>
      <c r="AF25" s="574"/>
    </row>
    <row r="26" spans="2:36">
      <c r="B26" s="571">
        <f t="shared" ca="1" si="0"/>
        <v>18</v>
      </c>
      <c r="D26" s="590">
        <v>2.1299999999999972</v>
      </c>
      <c r="F26" s="588" t="str" cm="1">
        <f t="array" ref="F26">+INDEX('ADJ DETAIL-INPUT'!$E$6:$CD$6&amp;" "&amp;'ADJ DETAIL-INPUT'!$E$7:$CD$7&amp;" "&amp;'ADJ DETAIL-INPUT'!$E$8:$CD$8,1,MATCH($D26,'ADJ DETAIL-INPUT'!$E$9:$CD$9,0))</f>
        <v>Restating  Incentives Expense</v>
      </c>
      <c r="I26" s="588" cm="1">
        <f t="array" ref="I26">+SUM('Exh. BGM-3 (Detail)'!I$10:I$103*N('Exh. BGM-3 (Detail)'!$D$10:$D$103=$D26))</f>
        <v>-624.62535000000003</v>
      </c>
      <c r="J26" s="588"/>
      <c r="K26" s="588" cm="1">
        <f t="array" ref="K26">+SUM('Exh. BGM-3 (Detail)'!K$10:K$103*N('Exh. BGM-3 (Detail)'!$D$10:$D$103=$D26))</f>
        <v>0</v>
      </c>
      <c r="L26" s="588"/>
      <c r="M26" s="588" cm="1">
        <f t="array" ref="M26">+SUM('Exh. BGM-3 (Detail)'!M$10:M$103*N('Exh. BGM-3 (Detail)'!$D$10:$D$103=$D26))</f>
        <v>830.08897246438448</v>
      </c>
      <c r="O26" s="588"/>
      <c r="P26" s="588" cm="1">
        <f t="array" ref="P26">+SUM('Exh. BGM-3 (Detail)'!P$10:P$103*N('Exh. BGM-3 (Detail)'!$D$10:$D$103=$D26))</f>
        <v>-624.62535000000003</v>
      </c>
      <c r="Q26" s="588"/>
      <c r="R26" s="588" cm="1">
        <f t="array" ref="R26">+SUM('Exh. BGM-3 (Detail)'!R$10:R$103*N('Exh. BGM-3 (Detail)'!$D$10:$D$103=$D26))</f>
        <v>0</v>
      </c>
      <c r="S26" s="588"/>
      <c r="T26" s="588" cm="1">
        <f t="array" ref="T26">+SUM('Exh. BGM-3 (Detail)'!T$10:T$103*N('Exh. BGM-3 (Detail)'!$D$10:$D$103=$D26))</f>
        <v>830.08897246438448</v>
      </c>
      <c r="W26" s="588">
        <f t="shared" si="2"/>
        <v>0</v>
      </c>
      <c r="X26" s="588"/>
      <c r="Y26" s="588">
        <f t="shared" si="3"/>
        <v>0</v>
      </c>
      <c r="Z26" s="591"/>
      <c r="AA26" s="588">
        <f t="shared" si="4"/>
        <v>0</v>
      </c>
      <c r="AC26" s="573"/>
      <c r="AD26" s="573"/>
      <c r="AF26" s="574"/>
      <c r="AG26" s="571"/>
    </row>
    <row r="27" spans="2:36" ht="13.5">
      <c r="B27" s="571">
        <f t="shared" ca="1" si="0"/>
        <v>19</v>
      </c>
      <c r="D27" s="590">
        <v>2.139999999999997</v>
      </c>
      <c r="F27" s="588" t="str" cm="1">
        <f t="array" ref="F27">+INDEX('ADJ DETAIL-INPUT'!$E$6:$CD$6&amp;" "&amp;'ADJ DETAIL-INPUT'!$E$7:$CD$7&amp;" "&amp;'ADJ DETAIL-INPUT'!$E$8:$CD$8,1,MATCH($D27,'ADJ DETAIL-INPUT'!$E$9:$CD$9,0))</f>
        <v>Restate Debt Interest</v>
      </c>
      <c r="I27" s="588" cm="1">
        <f t="array" ref="I27">+SUM('Exh. BGM-3 (Detail)'!I$10:I$103*N('Exh. BGM-3 (Detail)'!$D$10:$D$103=$D27))</f>
        <v>-226</v>
      </c>
      <c r="J27" s="588"/>
      <c r="K27" s="588" cm="1">
        <f t="array" ref="K27">+SUM('Exh. BGM-3 (Detail)'!K$10:K$103*N('Exh. BGM-3 (Detail)'!$D$10:$D$103=$D27))</f>
        <v>0</v>
      </c>
      <c r="L27" s="588"/>
      <c r="M27" s="588" cm="1">
        <f t="array" ref="M27">+SUM('Exh. BGM-3 (Detail)'!M$10:M$103*N('Exh. BGM-3 (Detail)'!$D$10:$D$103=$D27))</f>
        <v>300.34020837763126</v>
      </c>
      <c r="O27" s="588"/>
      <c r="P27" s="588" cm="1">
        <f t="array" ref="P27">+SUM('Exh. BGM-3 (Detail)'!P$10:P$103*N('Exh. BGM-3 (Detail)'!$D$10:$D$103=$D27))</f>
        <v>-226</v>
      </c>
      <c r="Q27" s="588"/>
      <c r="R27" s="588" cm="1">
        <f t="array" ref="R27">+SUM('Exh. BGM-3 (Detail)'!R$10:R$103*N('Exh. BGM-3 (Detail)'!$D$10:$D$103=$D27))</f>
        <v>0</v>
      </c>
      <c r="S27" s="588"/>
      <c r="T27" s="588" cm="1">
        <f t="array" ref="T27">+SUM('Exh. BGM-3 (Detail)'!T$10:T$103*N('Exh. BGM-3 (Detail)'!$D$10:$D$103=$D27))</f>
        <v>300.34020837763126</v>
      </c>
      <c r="W27" s="588">
        <f t="shared" si="2"/>
        <v>0</v>
      </c>
      <c r="X27" s="588"/>
      <c r="Y27" s="588">
        <f t="shared" si="3"/>
        <v>0</v>
      </c>
      <c r="Z27" s="591"/>
      <c r="AA27" s="588">
        <f t="shared" si="4"/>
        <v>0</v>
      </c>
      <c r="AC27" s="573"/>
      <c r="AD27" s="573"/>
      <c r="AF27" s="574"/>
      <c r="AG27" s="605"/>
      <c r="AI27" s="606"/>
      <c r="AJ27" s="588"/>
    </row>
    <row r="28" spans="2:36" ht="13.5">
      <c r="B28" s="571">
        <f t="shared" ca="1" si="0"/>
        <v>20</v>
      </c>
      <c r="D28" s="590">
        <v>2.1499999999999968</v>
      </c>
      <c r="F28" s="588" t="str" cm="1">
        <f t="array" ref="F28">+INDEX('ADJ DETAIL-INPUT'!$E$6:$CD$6&amp;" "&amp;'ADJ DETAIL-INPUT'!$E$7:$CD$7&amp;" "&amp;'ADJ DETAIL-INPUT'!$E$8:$CD$8,1,MATCH($D28,'ADJ DETAIL-INPUT'!$E$9:$CD$9,0))</f>
        <v>Restate Capital 06.2023 EOP</v>
      </c>
      <c r="I28" s="588" cm="1">
        <f t="array" ref="I28">+SUM('Exh. BGM-3 (Detail)'!I$10:I$103*N('Exh. BGM-3 (Detail)'!$D$10:$D$103=$D28))</f>
        <v>291.05805119999997</v>
      </c>
      <c r="J28" s="588"/>
      <c r="K28" s="588" cm="1">
        <f t="array" ref="K28">+SUM('Exh. BGM-3 (Detail)'!K$10:K$103*N('Exh. BGM-3 (Detail)'!$D$10:$D$103=$D28))</f>
        <v>53929.599999999999</v>
      </c>
      <c r="L28" s="588"/>
      <c r="M28" s="588" cm="1">
        <f t="array" ref="M28">+SUM('Exh. BGM-3 (Detail)'!M$10:M$103*N('Exh. BGM-3 (Detail)'!$D$10:$D$103=$D28))</f>
        <v>4651.5426706357639</v>
      </c>
      <c r="O28" s="588"/>
      <c r="P28" s="588" cm="1">
        <f t="array" ref="P28">+SUM('Exh. BGM-3 (Detail)'!P$10:P$103*N('Exh. BGM-3 (Detail)'!$D$10:$D$103=$D28))</f>
        <v>291.05805119999997</v>
      </c>
      <c r="Q28" s="588"/>
      <c r="R28" s="588" cm="1">
        <f t="array" ref="R28">+SUM('Exh. BGM-3 (Detail)'!R$10:R$103*N('Exh. BGM-3 (Detail)'!$D$10:$D$103=$D28))</f>
        <v>53929.599999999999</v>
      </c>
      <c r="S28" s="588"/>
      <c r="T28" s="588" cm="1">
        <f t="array" ref="T28">+SUM('Exh. BGM-3 (Detail)'!T$10:T$103*N('Exh. BGM-3 (Detail)'!$D$10:$D$103=$D28))</f>
        <v>4651.5426706357639</v>
      </c>
      <c r="W28" s="588">
        <f t="shared" si="2"/>
        <v>0</v>
      </c>
      <c r="X28" s="588"/>
      <c r="Y28" s="588">
        <f t="shared" si="3"/>
        <v>0</v>
      </c>
      <c r="Z28" s="591"/>
      <c r="AA28" s="588">
        <f t="shared" si="4"/>
        <v>0</v>
      </c>
      <c r="AC28" s="573"/>
      <c r="AD28" s="573"/>
      <c r="AF28" s="574"/>
      <c r="AG28" s="605"/>
      <c r="AI28" s="606"/>
      <c r="AJ28" s="588"/>
    </row>
    <row r="29" spans="2:36" ht="13.5">
      <c r="B29" s="571">
        <f t="shared" ca="1" si="0"/>
        <v>21</v>
      </c>
      <c r="D29" s="590">
        <v>2.1599999999999966</v>
      </c>
      <c r="F29" s="588" t="str" cm="1">
        <f t="array" ref="F29">+INDEX('ADJ DETAIL-INPUT'!$E$6:$CD$6&amp;" "&amp;'ADJ DETAIL-INPUT'!$E$7:$CD$7&amp;" "&amp;'ADJ DETAIL-INPUT'!$E$8:$CD$8,1,MATCH($D29,'ADJ DETAIL-INPUT'!$E$9:$CD$9,0))</f>
        <v>Eliminate WA Power Cost Defer</v>
      </c>
      <c r="I29" s="588" cm="1">
        <f t="array" ref="I29">+SUM('Exh. BGM-3 (Detail)'!I$10:I$103*N('Exh. BGM-3 (Detail)'!$D$10:$D$103=$D29))</f>
        <v>-31140</v>
      </c>
      <c r="J29" s="588"/>
      <c r="K29" s="588" cm="1">
        <f t="array" ref="K29">+SUM('Exh. BGM-3 (Detail)'!K$10:K$103*N('Exh. BGM-3 (Detail)'!$D$10:$D$103=$D29))</f>
        <v>0</v>
      </c>
      <c r="L29" s="588"/>
      <c r="M29" s="588" cm="1">
        <f t="array" ref="M29">+SUM('Exh. BGM-3 (Detail)'!M$10:M$103*N('Exh. BGM-3 (Detail)'!$D$10:$D$103=$D29))</f>
        <v>41383.159685307248</v>
      </c>
      <c r="O29" s="588"/>
      <c r="P29" s="588" cm="1">
        <f t="array" ref="P29">+SUM('Exh. BGM-3 (Detail)'!P$10:P$103*N('Exh. BGM-3 (Detail)'!$D$10:$D$103=$D29))</f>
        <v>-31140</v>
      </c>
      <c r="Q29" s="588"/>
      <c r="R29" s="588" cm="1">
        <f t="array" ref="R29">+SUM('Exh. BGM-3 (Detail)'!R$10:R$103*N('Exh. BGM-3 (Detail)'!$D$10:$D$103=$D29))</f>
        <v>0</v>
      </c>
      <c r="S29" s="588"/>
      <c r="T29" s="588" cm="1">
        <f t="array" ref="T29">+SUM('Exh. BGM-3 (Detail)'!T$10:T$103*N('Exh. BGM-3 (Detail)'!$D$10:$D$103=$D29))</f>
        <v>41383.159685307248</v>
      </c>
      <c r="W29" s="588">
        <f t="shared" si="2"/>
        <v>0</v>
      </c>
      <c r="X29" s="588"/>
      <c r="Y29" s="588">
        <f t="shared" si="3"/>
        <v>0</v>
      </c>
      <c r="Z29" s="591"/>
      <c r="AA29" s="588">
        <f t="shared" si="4"/>
        <v>0</v>
      </c>
      <c r="AC29" s="573"/>
      <c r="AD29" s="573"/>
      <c r="AF29" s="574"/>
      <c r="AG29" s="605"/>
      <c r="AI29" s="606"/>
      <c r="AJ29" s="588"/>
    </row>
    <row r="30" spans="2:36">
      <c r="B30" s="571">
        <f t="shared" ca="1" si="0"/>
        <v>22</v>
      </c>
      <c r="D30" s="590">
        <v>2.1699999999999964</v>
      </c>
      <c r="F30" s="588" t="str" cm="1">
        <f t="array" ref="F30">+INDEX('ADJ DETAIL-INPUT'!$E$6:$CD$6&amp;" "&amp;'ADJ DETAIL-INPUT'!$E$7:$CD$7&amp;" "&amp;'ADJ DETAIL-INPUT'!$E$8:$CD$8,1,MATCH($D30,'ADJ DETAIL-INPUT'!$E$9:$CD$9,0))</f>
        <v>Nez Perce Settlement Adjustment</v>
      </c>
      <c r="I30" s="588" cm="1">
        <f t="array" ref="I30">+SUM('Exh. BGM-3 (Detail)'!I$10:I$103*N('Exh. BGM-3 (Detail)'!$D$10:$D$103=$D30))</f>
        <v>11.85</v>
      </c>
      <c r="J30" s="588"/>
      <c r="K30" s="588" cm="1">
        <f t="array" ref="K30">+SUM('Exh. BGM-3 (Detail)'!K$10:K$103*N('Exh. BGM-3 (Detail)'!$D$10:$D$103=$D30))</f>
        <v>0</v>
      </c>
      <c r="L30" s="588"/>
      <c r="M30" s="588" cm="1">
        <f t="array" ref="M30">+SUM('Exh. BGM-3 (Detail)'!M$10:M$103*N('Exh. BGM-3 (Detail)'!$D$10:$D$103=$D30))</f>
        <v>-15.747926855198807</v>
      </c>
      <c r="O30" s="588"/>
      <c r="P30" s="588" cm="1">
        <f t="array" ref="P30">+SUM('Exh. BGM-3 (Detail)'!P$10:P$103*N('Exh. BGM-3 (Detail)'!$D$10:$D$103=$D30))</f>
        <v>11.85</v>
      </c>
      <c r="Q30" s="588"/>
      <c r="R30" s="588" cm="1">
        <f t="array" ref="R30">+SUM('Exh. BGM-3 (Detail)'!R$10:R$103*N('Exh. BGM-3 (Detail)'!$D$10:$D$103=$D30))</f>
        <v>0</v>
      </c>
      <c r="S30" s="588"/>
      <c r="T30" s="588" cm="1">
        <f t="array" ref="T30">+SUM('Exh. BGM-3 (Detail)'!T$10:T$103*N('Exh. BGM-3 (Detail)'!$D$10:$D$103=$D30))</f>
        <v>-15.747926855198807</v>
      </c>
      <c r="W30" s="588">
        <f t="shared" si="2"/>
        <v>0</v>
      </c>
      <c r="X30" s="588"/>
      <c r="Y30" s="588">
        <f t="shared" si="3"/>
        <v>0</v>
      </c>
      <c r="Z30" s="591"/>
      <c r="AA30" s="588">
        <f t="shared" si="4"/>
        <v>0</v>
      </c>
      <c r="AC30" s="573"/>
      <c r="AD30" s="573"/>
      <c r="AF30" s="574"/>
    </row>
    <row r="31" spans="2:36">
      <c r="B31" s="571">
        <f t="shared" ca="1" si="0"/>
        <v>23</v>
      </c>
      <c r="D31" s="590">
        <v>2.1799999999999962</v>
      </c>
      <c r="F31" s="588" t="str" cm="1">
        <f t="array" ref="F31">+INDEX('ADJ DETAIL-INPUT'!$E$6:$CD$6&amp;" "&amp;'ADJ DETAIL-INPUT'!$E$7:$CD$7&amp;" "&amp;'ADJ DETAIL-INPUT'!$E$8:$CD$8,1,MATCH($D31,'ADJ DETAIL-INPUT'!$E$9:$CD$9,0))</f>
        <v>Normalize CS2 Major Maint</v>
      </c>
      <c r="I31" s="588" cm="1">
        <f t="array" ref="I31">+SUM('Exh. BGM-3 (Detail)'!I$10:I$103*N('Exh. BGM-3 (Detail)'!$D$10:$D$103=$D31))</f>
        <v>-263.86</v>
      </c>
      <c r="J31" s="588"/>
      <c r="K31" s="588" cm="1">
        <f t="array" ref="K31">+SUM('Exh. BGM-3 (Detail)'!K$10:K$103*N('Exh. BGM-3 (Detail)'!$D$10:$D$103=$D31))</f>
        <v>0</v>
      </c>
      <c r="L31" s="588"/>
      <c r="M31" s="588" cm="1">
        <f t="array" ref="M31">+SUM('Exh. BGM-3 (Detail)'!M$10:M$103*N('Exh. BGM-3 (Detail)'!$D$10:$D$103=$D31))</f>
        <v>350.65383797576015</v>
      </c>
      <c r="O31" s="588"/>
      <c r="P31" s="588" cm="1">
        <f t="array" ref="P31">+SUM('Exh. BGM-3 (Detail)'!P$10:P$103*N('Exh. BGM-3 (Detail)'!$D$10:$D$103=$D31))</f>
        <v>-263.86</v>
      </c>
      <c r="Q31" s="588"/>
      <c r="R31" s="588" cm="1">
        <f t="array" ref="R31">+SUM('Exh. BGM-3 (Detail)'!R$10:R$103*N('Exh. BGM-3 (Detail)'!$D$10:$D$103=$D31))</f>
        <v>0</v>
      </c>
      <c r="S31" s="588"/>
      <c r="T31" s="588" cm="1">
        <f t="array" ref="T31">+SUM('Exh. BGM-3 (Detail)'!T$10:T$103*N('Exh. BGM-3 (Detail)'!$D$10:$D$103=$D31))</f>
        <v>350.65383797576015</v>
      </c>
      <c r="W31" s="588">
        <f t="shared" si="2"/>
        <v>0</v>
      </c>
      <c r="X31" s="588"/>
      <c r="Y31" s="588">
        <f t="shared" si="3"/>
        <v>0</v>
      </c>
      <c r="Z31" s="591"/>
      <c r="AA31" s="588">
        <f t="shared" si="4"/>
        <v>0</v>
      </c>
      <c r="AC31" s="573"/>
      <c r="AD31" s="573"/>
      <c r="AF31" s="574"/>
      <c r="AG31" s="571"/>
    </row>
    <row r="32" spans="2:36">
      <c r="B32" s="571">
        <f t="shared" ca="1" si="0"/>
        <v>24</v>
      </c>
      <c r="D32" s="590">
        <v>2.1899999999999959</v>
      </c>
      <c r="F32" s="588" t="str" cm="1">
        <f t="array" ref="F32">+INDEX('ADJ DETAIL-INPUT'!$E$6:$CD$6&amp;" "&amp;'ADJ DETAIL-INPUT'!$E$7:$CD$7&amp;" "&amp;'ADJ DETAIL-INPUT'!$E$8:$CD$8,1,MATCH($D32,'ADJ DETAIL-INPUT'!$E$9:$CD$9,0))</f>
        <v>Authorized  Power Supply</v>
      </c>
      <c r="I32" s="588" cm="1">
        <f t="array" ref="I32">+SUM('Exh. BGM-3 (Detail)'!I$10:I$103*N('Exh. BGM-3 (Detail)'!$D$10:$D$103=$D32))</f>
        <v>46581.56</v>
      </c>
      <c r="J32" s="588"/>
      <c r="K32" s="588" cm="1">
        <f t="array" ref="K32">+SUM('Exh. BGM-3 (Detail)'!K$10:K$103*N('Exh. BGM-3 (Detail)'!$D$10:$D$103=$D32))</f>
        <v>0</v>
      </c>
      <c r="L32" s="588"/>
      <c r="M32" s="588" cm="1">
        <f t="array" ref="M32">+SUM('Exh. BGM-3 (Detail)'!M$10:M$103*N('Exh. BGM-3 (Detail)'!$D$10:$D$103=$D32))</f>
        <v>-61904.05060599617</v>
      </c>
      <c r="O32" s="588"/>
      <c r="P32" s="588" cm="1">
        <f t="array" ref="P32">+SUM('Exh. BGM-3 (Detail)'!P$10:P$103*N('Exh. BGM-3 (Detail)'!$D$10:$D$103=$D32))</f>
        <v>46581.56</v>
      </c>
      <c r="Q32" s="588"/>
      <c r="R32" s="588" cm="1">
        <f t="array" ref="R32">+SUM('Exh. BGM-3 (Detail)'!R$10:R$103*N('Exh. BGM-3 (Detail)'!$D$10:$D$103=$D32))</f>
        <v>0</v>
      </c>
      <c r="S32" s="588"/>
      <c r="T32" s="588" cm="1">
        <f t="array" ref="T32">+SUM('Exh. BGM-3 (Detail)'!T$10:T$103*N('Exh. BGM-3 (Detail)'!$D$10:$D$103=$D32))</f>
        <v>-61904.05060599617</v>
      </c>
      <c r="W32" s="588">
        <f t="shared" si="2"/>
        <v>0</v>
      </c>
      <c r="X32" s="588"/>
      <c r="Y32" s="588">
        <f t="shared" si="3"/>
        <v>0</v>
      </c>
      <c r="Z32" s="591"/>
      <c r="AA32" s="588">
        <f t="shared" si="4"/>
        <v>0</v>
      </c>
      <c r="AC32" s="573"/>
      <c r="AD32" s="573"/>
      <c r="AF32" s="574"/>
      <c r="AG32" s="571"/>
    </row>
    <row r="33" spans="2:33">
      <c r="D33" s="590"/>
      <c r="F33" s="587"/>
      <c r="I33" s="588"/>
      <c r="J33" s="588"/>
      <c r="K33" s="588"/>
      <c r="L33" s="588"/>
      <c r="M33" s="588"/>
      <c r="P33" s="588"/>
      <c r="Q33" s="588"/>
      <c r="R33" s="588"/>
      <c r="S33" s="588"/>
      <c r="T33" s="588"/>
      <c r="W33" s="588"/>
      <c r="X33" s="588"/>
      <c r="Y33" s="588"/>
      <c r="Z33" s="591"/>
      <c r="AA33" s="588"/>
      <c r="AC33" s="573"/>
      <c r="AD33" s="573"/>
      <c r="AF33" s="574"/>
      <c r="AG33" s="571"/>
    </row>
    <row r="34" spans="2:33" ht="13.5">
      <c r="C34" s="572"/>
      <c r="D34" s="618"/>
      <c r="E34" s="572"/>
      <c r="F34" s="591" t="s">
        <v>915</v>
      </c>
      <c r="I34" s="620">
        <f>+SUBTOTAL(9,I$9:I$33)</f>
        <v>11052.523226199992</v>
      </c>
      <c r="J34" s="591"/>
      <c r="K34" s="620">
        <f>+SUBTOTAL(9,K$9:K$33)</f>
        <v>28754.6</v>
      </c>
      <c r="L34" s="591"/>
      <c r="M34" s="620">
        <f>+SUBTOTAL(9,M$9:M$33)</f>
        <v>-12001.747350361467</v>
      </c>
      <c r="O34" s="572"/>
      <c r="P34" s="620">
        <f>+SUBTOTAL(9,P$9:P$33)</f>
        <v>15599.233681993224</v>
      </c>
      <c r="Q34" s="591"/>
      <c r="R34" s="620">
        <f>+SUBTOTAL(9,R$9:R$33)</f>
        <v>-58.914057512294676</v>
      </c>
      <c r="S34" s="591"/>
      <c r="T34" s="620">
        <f>+SUBTOTAL(9,T$9:T$33)</f>
        <v>-20735.933633101668</v>
      </c>
      <c r="U34" s="572"/>
      <c r="V34" s="572"/>
      <c r="W34" s="620">
        <f>+SUBTOTAL(9,W$9:W$33)</f>
        <v>-8734.1862827401983</v>
      </c>
      <c r="X34" s="591"/>
      <c r="Y34" s="620">
        <f>+SUBTOTAL(9,Y$9:Y$33)</f>
        <v>-28813.514057512293</v>
      </c>
      <c r="Z34" s="617"/>
      <c r="AA34" s="619">
        <f>+SUBTOTAL(9,AA$9:AA$33)</f>
        <v>-8734.1862827401983</v>
      </c>
      <c r="AC34" s="573"/>
      <c r="AD34" s="573"/>
      <c r="AF34" s="574"/>
      <c r="AG34" s="571"/>
    </row>
    <row r="35" spans="2:33">
      <c r="D35" s="590"/>
      <c r="F35" s="587"/>
      <c r="I35" s="588"/>
      <c r="J35" s="588"/>
      <c r="K35" s="588"/>
      <c r="L35" s="588"/>
      <c r="M35" s="588"/>
      <c r="P35" s="588"/>
      <c r="Q35" s="588"/>
      <c r="R35" s="588"/>
      <c r="S35" s="588"/>
      <c r="T35" s="588"/>
      <c r="W35" s="588"/>
      <c r="X35" s="588"/>
      <c r="Y35" s="588"/>
      <c r="Z35" s="591"/>
      <c r="AA35" s="588"/>
      <c r="AC35" s="573"/>
      <c r="AD35" s="573"/>
      <c r="AF35" s="574"/>
      <c r="AG35" s="571"/>
    </row>
    <row r="36" spans="2:33">
      <c r="B36" s="575" t="s">
        <v>914</v>
      </c>
      <c r="D36" s="590"/>
      <c r="F36" s="587"/>
      <c r="I36" s="588"/>
      <c r="J36" s="588"/>
      <c r="K36" s="588"/>
      <c r="L36" s="588"/>
      <c r="M36" s="588"/>
      <c r="P36" s="588"/>
      <c r="Q36" s="588"/>
      <c r="R36" s="588"/>
      <c r="S36" s="588"/>
      <c r="T36" s="588"/>
      <c r="W36" s="588"/>
      <c r="X36" s="588"/>
      <c r="Y36" s="588"/>
      <c r="Z36" s="591"/>
      <c r="AA36" s="588"/>
      <c r="AC36" s="573"/>
      <c r="AF36" s="574"/>
    </row>
    <row r="37" spans="2:33">
      <c r="B37" s="571">
        <f t="shared" ref="B37:B49" ca="1" si="5">+MAX(OFFSET($B$7,0,0,ROW($B37)-ROW($B$7),1))+1</f>
        <v>25</v>
      </c>
      <c r="D37" s="590" t="s">
        <v>669</v>
      </c>
      <c r="F37" s="588" t="str" cm="1">
        <f t="array" ref="F37">+INDEX('ADJ DETAIL-INPUT'!$E$6:$CD$6&amp;" "&amp;'ADJ DETAIL-INPUT'!$E$7:$CD$7&amp;" "&amp;'ADJ DETAIL-INPUT'!$E$8:$CD$8,1,MATCH($D37,'ADJ DETAIL-INPUT'!$E$9:$CD$9,0))</f>
        <v>Pro Forma Power  Supply</v>
      </c>
      <c r="I37" s="588" cm="1">
        <f t="array" ref="I37">+SUM('Exh. BGM-3 (Detail)'!I$10:I$103*N('Exh. BGM-3 (Detail)'!$D$10:$D$103=$D37))</f>
        <v>-16488.88</v>
      </c>
      <c r="J37" s="588"/>
      <c r="K37" s="588" cm="1">
        <f t="array" ref="K37">+SUM('Exh. BGM-3 (Detail)'!K$10:K$103*N('Exh. BGM-3 (Detail)'!$D$10:$D$103=$D37))</f>
        <v>0</v>
      </c>
      <c r="L37" s="588"/>
      <c r="M37" s="588" cm="1">
        <f t="array" ref="M37">+SUM('Exh. BGM-3 (Detail)'!M$10:M$103*N('Exh. BGM-3 (Detail)'!$D$10:$D$103=$D37))</f>
        <v>21912.71528811397</v>
      </c>
      <c r="O37" s="588"/>
      <c r="P37" s="588" cm="1">
        <f t="array" ref="P37">+SUM('Exh. BGM-3 (Detail)'!P$10:P$103*N('Exh. BGM-3 (Detail)'!$D$10:$D$103=$D37))</f>
        <v>19230.697640547998</v>
      </c>
      <c r="Q37" s="588"/>
      <c r="R37" s="588" cm="1">
        <f t="array" ref="R37">+SUM('Exh. BGM-3 (Detail)'!R$10:R$103*N('Exh. BGM-3 (Detail)'!$D$10:$D$103=$D37))</f>
        <v>0</v>
      </c>
      <c r="S37" s="588"/>
      <c r="T37" s="588" cm="1">
        <f t="array" ref="T37">+SUM('Exh. BGM-3 (Detail)'!T$10:T$103*N('Exh. BGM-3 (Detail)'!$D$10:$D$103=$D37))</f>
        <v>-25556.423613315961</v>
      </c>
      <c r="W37" s="588">
        <f t="shared" ref="W37:W65" si="6">+T37-M37</f>
        <v>-47469.138901429935</v>
      </c>
      <c r="X37" s="588"/>
      <c r="Y37" s="588">
        <f t="shared" ref="Y37:Y65" si="7">+R37-K37</f>
        <v>0</v>
      </c>
      <c r="Z37" s="591"/>
      <c r="AA37" s="588">
        <f t="shared" ref="AA37:AA65" si="8">+T37-M37</f>
        <v>-47469.138901429935</v>
      </c>
      <c r="AC37" s="573" t="s">
        <v>911</v>
      </c>
      <c r="AF37" s="574"/>
    </row>
    <row r="38" spans="2:33">
      <c r="B38" s="571">
        <f t="shared" ca="1" si="5"/>
        <v>26</v>
      </c>
      <c r="D38" s="590" t="s">
        <v>670</v>
      </c>
      <c r="F38" s="588" t="str" cm="1">
        <f t="array" ref="F38">+INDEX('ADJ DETAIL-INPUT'!$E$6:$CD$6&amp;" "&amp;'ADJ DETAIL-INPUT'!$E$7:$CD$7&amp;" "&amp;'ADJ DETAIL-INPUT'!$E$8:$CD$8,1,MATCH($D38,'ADJ DETAIL-INPUT'!$E$9:$CD$9,0))</f>
        <v>Pro Forma Transmission Revenue/Expense</v>
      </c>
      <c r="I38" s="588" cm="1">
        <f t="array" ref="I38">+SUM('Exh. BGM-3 (Detail)'!I$10:I$103*N('Exh. BGM-3 (Detail)'!$D$10:$D$103=$D38))</f>
        <v>2563.5500000000002</v>
      </c>
      <c r="J38" s="588"/>
      <c r="K38" s="588" cm="1">
        <f t="array" ref="K38">+SUM('Exh. BGM-3 (Detail)'!K$10:K$103*N('Exh. BGM-3 (Detail)'!$D$10:$D$103=$D38))</f>
        <v>0</v>
      </c>
      <c r="L38" s="588"/>
      <c r="M38" s="588" cm="1">
        <f t="array" ref="M38">+SUM('Exh. BGM-3 (Detail)'!M$10:M$103*N('Exh. BGM-3 (Detail)'!$D$10:$D$103=$D38))</f>
        <v>-3406.8015096746758</v>
      </c>
      <c r="O38" s="588"/>
      <c r="P38" s="588" cm="1">
        <f t="array" ref="P38">+SUM('Exh. BGM-3 (Detail)'!P$10:P$103*N('Exh. BGM-3 (Detail)'!$D$10:$D$103=$D38))</f>
        <v>2563.5500000000002</v>
      </c>
      <c r="Q38" s="588"/>
      <c r="R38" s="588" cm="1">
        <f t="array" ref="R38">+SUM('Exh. BGM-3 (Detail)'!R$10:R$103*N('Exh. BGM-3 (Detail)'!$D$10:$D$103=$D38))</f>
        <v>0</v>
      </c>
      <c r="S38" s="588"/>
      <c r="T38" s="588" cm="1">
        <f t="array" ref="T38">+SUM('Exh. BGM-3 (Detail)'!T$10:T$103*N('Exh. BGM-3 (Detail)'!$D$10:$D$103=$D38))</f>
        <v>-3406.8015096746758</v>
      </c>
      <c r="W38" s="588">
        <f t="shared" si="6"/>
        <v>0</v>
      </c>
      <c r="X38" s="588"/>
      <c r="Y38" s="588">
        <f t="shared" si="7"/>
        <v>0</v>
      </c>
      <c r="Z38" s="591"/>
      <c r="AA38" s="588">
        <f t="shared" si="8"/>
        <v>0</v>
      </c>
      <c r="AC38" s="573"/>
      <c r="AF38" s="574"/>
    </row>
    <row r="39" spans="2:33">
      <c r="B39" s="571">
        <f t="shared" ca="1" si="5"/>
        <v>27</v>
      </c>
      <c r="D39" s="590">
        <v>3.01</v>
      </c>
      <c r="F39" s="588" t="str" cm="1">
        <f t="array" ref="F39">+INDEX('ADJ DETAIL-INPUT'!$E$6:$CD$6&amp;" "&amp;'ADJ DETAIL-INPUT'!$E$7:$CD$7&amp;" "&amp;'ADJ DETAIL-INPUT'!$E$8:$CD$8,1,MATCH($D39,'ADJ DETAIL-INPUT'!$E$9:$CD$9,0))</f>
        <v>Pro Forma Revenue  Normalization</v>
      </c>
      <c r="I39" s="588" cm="1">
        <f t="array" ref="I39">+SUM('Exh. BGM-3 (Detail)'!I$10:I$103*N('Exh. BGM-3 (Detail)'!$D$10:$D$103=$D39))</f>
        <v>25155.97</v>
      </c>
      <c r="J39" s="588"/>
      <c r="K39" s="588" cm="1">
        <f t="array" ref="K39">+SUM('Exh. BGM-3 (Detail)'!K$10:K$103*N('Exh. BGM-3 (Detail)'!$D$10:$D$103=$D39))</f>
        <v>0</v>
      </c>
      <c r="L39" s="588"/>
      <c r="M39" s="588" cm="1">
        <f t="array" ref="M39">+SUM('Exh. BGM-3 (Detail)'!M$10:M$103*N('Exh. BGM-3 (Detail)'!$D$10:$D$103=$D39))</f>
        <v>-33430.748990006381</v>
      </c>
      <c r="O39" s="588"/>
      <c r="P39" s="588" cm="1">
        <f t="array" ref="P39">+SUM('Exh. BGM-3 (Detail)'!P$10:P$103*N('Exh. BGM-3 (Detail)'!$D$10:$D$103=$D39))</f>
        <v>25155.97</v>
      </c>
      <c r="Q39" s="588"/>
      <c r="R39" s="588" cm="1">
        <f t="array" ref="R39">+SUM('Exh. BGM-3 (Detail)'!R$10:R$103*N('Exh. BGM-3 (Detail)'!$D$10:$D$103=$D39))</f>
        <v>0</v>
      </c>
      <c r="S39" s="588"/>
      <c r="T39" s="588" cm="1">
        <f t="array" ref="T39">+SUM('Exh. BGM-3 (Detail)'!T$10:T$103*N('Exh. BGM-3 (Detail)'!$D$10:$D$103=$D39))</f>
        <v>-33430.748990006381</v>
      </c>
      <c r="W39" s="588">
        <f t="shared" si="6"/>
        <v>0</v>
      </c>
      <c r="X39" s="588"/>
      <c r="Y39" s="588">
        <f t="shared" si="7"/>
        <v>0</v>
      </c>
      <c r="Z39" s="591"/>
      <c r="AA39" s="588">
        <f t="shared" si="8"/>
        <v>0</v>
      </c>
      <c r="AC39" s="573"/>
      <c r="AF39" s="574"/>
    </row>
    <row r="40" spans="2:33">
      <c r="B40" s="571">
        <f t="shared" ca="1" si="5"/>
        <v>28</v>
      </c>
      <c r="D40" s="590">
        <v>3.0199999999999996</v>
      </c>
      <c r="F40" s="588" t="str" cm="1">
        <f t="array" ref="F40">+INDEX('ADJ DETAIL-INPUT'!$E$6:$CD$6&amp;" "&amp;'ADJ DETAIL-INPUT'!$E$7:$CD$7&amp;" "&amp;'ADJ DETAIL-INPUT'!$E$8:$CD$8,1,MATCH($D40,'ADJ DETAIL-INPUT'!$E$9:$CD$9,0))</f>
        <v>Pro Forma  Def. Debits, Credits &amp; Regulatory Amorts</v>
      </c>
      <c r="I40" s="588" cm="1">
        <f t="array" ref="I40">+SUM('Exh. BGM-3 (Detail)'!I$10:I$103*N('Exh. BGM-3 (Detail)'!$D$10:$D$103=$D40))</f>
        <v>-4912.6149999999998</v>
      </c>
      <c r="J40" s="588"/>
      <c r="K40" s="588" cm="1">
        <f t="array" ref="K40">+SUM('Exh. BGM-3 (Detail)'!K$10:K$103*N('Exh. BGM-3 (Detail)'!$D$10:$D$103=$D40))</f>
        <v>0</v>
      </c>
      <c r="L40" s="588"/>
      <c r="M40" s="588" cm="1">
        <f t="array" ref="M40">+SUM('Exh. BGM-3 (Detail)'!M$10:M$103*N('Exh. BGM-3 (Detail)'!$D$10:$D$103=$D40))</f>
        <v>6528.5655432702524</v>
      </c>
      <c r="O40" s="588"/>
      <c r="P40" s="588" cm="1">
        <f t="array" ref="P40">+SUM('Exh. BGM-3 (Detail)'!P$10:P$103*N('Exh. BGM-3 (Detail)'!$D$10:$D$103=$D40))</f>
        <v>-4912.6149999999998</v>
      </c>
      <c r="Q40" s="588"/>
      <c r="R40" s="588" cm="1">
        <f t="array" ref="R40">+SUM('Exh. BGM-3 (Detail)'!R$10:R$103*N('Exh. BGM-3 (Detail)'!$D$10:$D$103=$D40))</f>
        <v>0</v>
      </c>
      <c r="S40" s="588"/>
      <c r="T40" s="588" cm="1">
        <f t="array" ref="T40">+SUM('Exh. BGM-3 (Detail)'!T$10:T$103*N('Exh. BGM-3 (Detail)'!$D$10:$D$103=$D40))</f>
        <v>6528.5655432702524</v>
      </c>
      <c r="W40" s="588">
        <f t="shared" si="6"/>
        <v>0</v>
      </c>
      <c r="X40" s="588"/>
      <c r="Y40" s="588">
        <f t="shared" si="7"/>
        <v>0</v>
      </c>
      <c r="Z40" s="591"/>
      <c r="AA40" s="588">
        <f t="shared" si="8"/>
        <v>0</v>
      </c>
      <c r="AC40" s="573"/>
      <c r="AF40" s="574"/>
    </row>
    <row r="41" spans="2:33">
      <c r="B41" s="571">
        <f t="shared" ca="1" si="5"/>
        <v>29</v>
      </c>
      <c r="D41" s="590">
        <v>3.0299999999999994</v>
      </c>
      <c r="F41" s="588" t="str" cm="1">
        <f t="array" ref="F41">+INDEX('ADJ DETAIL-INPUT'!$E$6:$CD$6&amp;" "&amp;'ADJ DETAIL-INPUT'!$E$7:$CD$7&amp;" "&amp;'ADJ DETAIL-INPUT'!$E$8:$CD$8,1,MATCH($D41,'ADJ DETAIL-INPUT'!$E$9:$CD$9,0))</f>
        <v>Pro Forma  EDIT (RSGM)</v>
      </c>
      <c r="I41" s="588" cm="1">
        <f t="array" ref="I41">+SUM('Exh. BGM-3 (Detail)'!I$10:I$103*N('Exh. BGM-3 (Detail)'!$D$10:$D$103=$D41))</f>
        <v>-92</v>
      </c>
      <c r="J41" s="588"/>
      <c r="K41" s="588" cm="1">
        <f t="array" ref="K41">+SUM('Exh. BGM-3 (Detail)'!K$10:K$103*N('Exh. BGM-3 (Detail)'!$D$10:$D$103=$D41))</f>
        <v>0</v>
      </c>
      <c r="L41" s="588"/>
      <c r="M41" s="588" cm="1">
        <f t="array" ref="M41">+SUM('Exh. BGM-3 (Detail)'!M$10:M$103*N('Exh. BGM-3 (Detail)'!$D$10:$D$103=$D41))</f>
        <v>122.26238571124813</v>
      </c>
      <c r="O41" s="588"/>
      <c r="P41" s="588" cm="1">
        <f t="array" ref="P41">+SUM('Exh. BGM-3 (Detail)'!P$10:P$103*N('Exh. BGM-3 (Detail)'!$D$10:$D$103=$D41))</f>
        <v>-92</v>
      </c>
      <c r="Q41" s="588"/>
      <c r="R41" s="588" cm="1">
        <f t="array" ref="R41">+SUM('Exh. BGM-3 (Detail)'!R$10:R$103*N('Exh. BGM-3 (Detail)'!$D$10:$D$103=$D41))</f>
        <v>0</v>
      </c>
      <c r="S41" s="588"/>
      <c r="T41" s="588" cm="1">
        <f t="array" ref="T41">+SUM('Exh. BGM-3 (Detail)'!T$10:T$103*N('Exh. BGM-3 (Detail)'!$D$10:$D$103=$D41))</f>
        <v>122.26238571124813</v>
      </c>
      <c r="W41" s="588">
        <f t="shared" si="6"/>
        <v>0</v>
      </c>
      <c r="X41" s="588"/>
      <c r="Y41" s="588">
        <f t="shared" si="7"/>
        <v>0</v>
      </c>
      <c r="Z41" s="591"/>
      <c r="AA41" s="588">
        <f t="shared" si="8"/>
        <v>0</v>
      </c>
      <c r="AC41" s="573"/>
      <c r="AF41" s="574"/>
    </row>
    <row r="42" spans="2:33">
      <c r="B42" s="571">
        <f t="shared" ca="1" si="5"/>
        <v>30</v>
      </c>
      <c r="D42" s="590">
        <v>3.0399999999999991</v>
      </c>
      <c r="F42" s="588" t="str" cm="1">
        <f t="array" ref="F42">+INDEX('ADJ DETAIL-INPUT'!$E$6:$CD$6&amp;" "&amp;'ADJ DETAIL-INPUT'!$E$7:$CD$7&amp;" "&amp;'ADJ DETAIL-INPUT'!$E$8:$CD$8,1,MATCH($D42,'ADJ DETAIL-INPUT'!$E$9:$CD$9,0))</f>
        <v>Pro Forma AMI  Amortization</v>
      </c>
      <c r="I42" s="588" cm="1">
        <f t="array" ref="I42">+SUM('Exh. BGM-3 (Detail)'!I$10:I$103*N('Exh. BGM-3 (Detail)'!$D$10:$D$103=$D42))</f>
        <v>1792.755987</v>
      </c>
      <c r="J42" s="588"/>
      <c r="K42" s="588" cm="1">
        <f t="array" ref="K42">+SUM('Exh. BGM-3 (Detail)'!K$10:K$103*N('Exh. BGM-3 (Detail)'!$D$10:$D$103=$D42))</f>
        <v>-7529</v>
      </c>
      <c r="L42" s="588"/>
      <c r="M42" s="588" cm="1">
        <f t="array" ref="M42">+SUM('Exh. BGM-3 (Detail)'!M$10:M$103*N('Exh. BGM-3 (Detail)'!$D$10:$D$103=$D42))</f>
        <v>-3085.8556865298747</v>
      </c>
      <c r="O42" s="588"/>
      <c r="P42" s="588" cm="1">
        <f t="array" ref="P42">+SUM('Exh. BGM-3 (Detail)'!P$10:P$103*N('Exh. BGM-3 (Detail)'!$D$10:$D$103=$D42))</f>
        <v>1792.755987</v>
      </c>
      <c r="Q42" s="588"/>
      <c r="R42" s="588" cm="1">
        <f t="array" ref="R42">+SUM('Exh. BGM-3 (Detail)'!R$10:R$103*N('Exh. BGM-3 (Detail)'!$D$10:$D$103=$D42))</f>
        <v>-7529</v>
      </c>
      <c r="S42" s="588"/>
      <c r="T42" s="588" cm="1">
        <f t="array" ref="T42">+SUM('Exh. BGM-3 (Detail)'!T$10:T$103*N('Exh. BGM-3 (Detail)'!$D$10:$D$103=$D42))</f>
        <v>-3085.8556865298747</v>
      </c>
      <c r="W42" s="588">
        <f t="shared" si="6"/>
        <v>0</v>
      </c>
      <c r="X42" s="588"/>
      <c r="Y42" s="588">
        <f t="shared" si="7"/>
        <v>0</v>
      </c>
      <c r="Z42" s="591"/>
      <c r="AA42" s="588">
        <f t="shared" si="8"/>
        <v>0</v>
      </c>
      <c r="AC42" s="573"/>
      <c r="AF42" s="574"/>
    </row>
    <row r="43" spans="2:33">
      <c r="B43" s="571">
        <f t="shared" ca="1" si="5"/>
        <v>31</v>
      </c>
      <c r="D43" s="590">
        <v>3.0499999999999989</v>
      </c>
      <c r="F43" s="588" t="str" cm="1">
        <f t="array" ref="F43">+INDEX('ADJ DETAIL-INPUT'!$E$6:$CD$6&amp;" "&amp;'ADJ DETAIL-INPUT'!$E$7:$CD$7&amp;" "&amp;'ADJ DETAIL-INPUT'!$E$8:$CD$8,1,MATCH($D43,'ADJ DETAIL-INPUT'!$E$9:$CD$9,0))</f>
        <v>Pro Forma  Labor Non-Exec</v>
      </c>
      <c r="I43" s="588" cm="1">
        <f t="array" ref="I43">+SUM('Exh. BGM-3 (Detail)'!I$10:I$103*N('Exh. BGM-3 (Detail)'!$D$10:$D$103=$D43))</f>
        <v>-5209.8130000000001</v>
      </c>
      <c r="J43" s="588"/>
      <c r="K43" s="588" cm="1">
        <f t="array" ref="K43">+SUM('Exh. BGM-3 (Detail)'!K$10:K$103*N('Exh. BGM-3 (Detail)'!$D$10:$D$103=$D43))</f>
        <v>0</v>
      </c>
      <c r="L43" s="588"/>
      <c r="M43" s="588" cm="1">
        <f t="array" ref="M43">+SUM('Exh. BGM-3 (Detail)'!M$10:M$103*N('Exh. BGM-3 (Detail)'!$D$10:$D$103=$D43))</f>
        <v>6923.5235487986392</v>
      </c>
      <c r="O43" s="588"/>
      <c r="P43" s="588" cm="1">
        <f t="array" ref="P43">+SUM('Exh. BGM-3 (Detail)'!P$10:P$103*N('Exh. BGM-3 (Detail)'!$D$10:$D$103=$D43))</f>
        <v>-5209.8130000000001</v>
      </c>
      <c r="Q43" s="588"/>
      <c r="R43" s="588" cm="1">
        <f t="array" ref="R43">+SUM('Exh. BGM-3 (Detail)'!R$10:R$103*N('Exh. BGM-3 (Detail)'!$D$10:$D$103=$D43))</f>
        <v>0</v>
      </c>
      <c r="S43" s="588"/>
      <c r="T43" s="588" cm="1">
        <f t="array" ref="T43">+SUM('Exh. BGM-3 (Detail)'!T$10:T$103*N('Exh. BGM-3 (Detail)'!$D$10:$D$103=$D43))</f>
        <v>6923.5235487986392</v>
      </c>
      <c r="W43" s="588">
        <f t="shared" si="6"/>
        <v>0</v>
      </c>
      <c r="X43" s="588"/>
      <c r="Y43" s="588">
        <f t="shared" si="7"/>
        <v>0</v>
      </c>
      <c r="Z43" s="591"/>
      <c r="AA43" s="588">
        <f t="shared" si="8"/>
        <v>0</v>
      </c>
      <c r="AC43" s="573"/>
      <c r="AF43" s="574"/>
    </row>
    <row r="44" spans="2:33">
      <c r="B44" s="571">
        <f t="shared" ca="1" si="5"/>
        <v>32</v>
      </c>
      <c r="D44" s="590">
        <v>3.0599999999999987</v>
      </c>
      <c r="F44" s="588" t="str" cm="1">
        <f t="array" ref="F44">+INDEX('ADJ DETAIL-INPUT'!$E$6:$CD$6&amp;" "&amp;'ADJ DETAIL-INPUT'!$E$7:$CD$7&amp;" "&amp;'ADJ DETAIL-INPUT'!$E$8:$CD$8,1,MATCH($D44,'ADJ DETAIL-INPUT'!$E$9:$CD$9,0))</f>
        <v>Pro Forma  Labor Exec</v>
      </c>
      <c r="I44" s="588" cm="1">
        <f t="array" ref="I44">+SUM('Exh. BGM-3 (Detail)'!I$10:I$103*N('Exh. BGM-3 (Detail)'!$D$10:$D$103=$D44))</f>
        <v>-47.429230000000004</v>
      </c>
      <c r="J44" s="588"/>
      <c r="K44" s="588" cm="1">
        <f t="array" ref="K44">+SUM('Exh. BGM-3 (Detail)'!K$10:K$103*N('Exh. BGM-3 (Detail)'!$D$10:$D$103=$D44))</f>
        <v>0</v>
      </c>
      <c r="L44" s="588"/>
      <c r="M44" s="588" cm="1">
        <f t="array" ref="M44">+SUM('Exh. BGM-3 (Detail)'!M$10:M$103*N('Exh. BGM-3 (Detail)'!$D$10:$D$103=$D44))</f>
        <v>63.030552307038064</v>
      </c>
      <c r="O44" s="588"/>
      <c r="P44" s="588" cm="1">
        <f t="array" ref="P44">+SUM('Exh. BGM-3 (Detail)'!P$10:P$103*N('Exh. BGM-3 (Detail)'!$D$10:$D$103=$D44))</f>
        <v>-47.429230000000004</v>
      </c>
      <c r="Q44" s="588"/>
      <c r="R44" s="588" cm="1">
        <f t="array" ref="R44">+SUM('Exh. BGM-3 (Detail)'!R$10:R$103*N('Exh. BGM-3 (Detail)'!$D$10:$D$103=$D44))</f>
        <v>0</v>
      </c>
      <c r="S44" s="588"/>
      <c r="T44" s="588" cm="1">
        <f t="array" ref="T44">+SUM('Exh. BGM-3 (Detail)'!T$10:T$103*N('Exh. BGM-3 (Detail)'!$D$10:$D$103=$D44))</f>
        <v>63.030552307038064</v>
      </c>
      <c r="W44" s="588">
        <f t="shared" si="6"/>
        <v>0</v>
      </c>
      <c r="X44" s="588"/>
      <c r="Y44" s="588">
        <f t="shared" si="7"/>
        <v>0</v>
      </c>
      <c r="Z44" s="591"/>
      <c r="AA44" s="588">
        <f t="shared" si="8"/>
        <v>0</v>
      </c>
      <c r="AC44" s="573"/>
      <c r="AF44" s="574"/>
    </row>
    <row r="45" spans="2:33">
      <c r="B45" s="571">
        <f t="shared" ca="1" si="5"/>
        <v>33</v>
      </c>
      <c r="D45" s="590">
        <v>3.0699999999999985</v>
      </c>
      <c r="F45" s="588" t="str" cm="1">
        <f t="array" ref="F45">+INDEX('ADJ DETAIL-INPUT'!$E$6:$CD$6&amp;" "&amp;'ADJ DETAIL-INPUT'!$E$7:$CD$7&amp;" "&amp;'ADJ DETAIL-INPUT'!$E$8:$CD$8,1,MATCH($D45,'ADJ DETAIL-INPUT'!$E$9:$CD$9,0))</f>
        <v>Pro Forma  Employee  Benefits</v>
      </c>
      <c r="I45" s="588" cm="1">
        <f t="array" ref="I45">+SUM('Exh. BGM-3 (Detail)'!I$10:I$103*N('Exh. BGM-3 (Detail)'!$D$10:$D$103=$D45))</f>
        <v>4288.5940000000001</v>
      </c>
      <c r="J45" s="588"/>
      <c r="K45" s="588" cm="1">
        <f t="array" ref="K45">+SUM('Exh. BGM-3 (Detail)'!K$10:K$103*N('Exh. BGM-3 (Detail)'!$D$10:$D$103=$D45))</f>
        <v>0</v>
      </c>
      <c r="L45" s="588"/>
      <c r="M45" s="588" cm="1">
        <f t="array" ref="M45">+SUM('Exh. BGM-3 (Detail)'!M$10:M$103*N('Exh. BGM-3 (Detail)'!$D$10:$D$103=$D45))</f>
        <v>-5699.2797150754832</v>
      </c>
      <c r="O45" s="588"/>
      <c r="P45" s="588" cm="1">
        <f t="array" ref="P45">+SUM('Exh. BGM-3 (Detail)'!P$10:P$103*N('Exh. BGM-3 (Detail)'!$D$10:$D$103=$D45))</f>
        <v>5255.6154483371865</v>
      </c>
      <c r="Q45" s="588"/>
      <c r="R45" s="588" cm="1">
        <f t="array" ref="R45">+SUM('Exh. BGM-3 (Detail)'!R$10:R$103*N('Exh. BGM-3 (Detail)'!$D$10:$D$103=$D45))</f>
        <v>0</v>
      </c>
      <c r="S45" s="588"/>
      <c r="T45" s="588" cm="1">
        <f t="array" ref="T45">+SUM('Exh. BGM-3 (Detail)'!T$10:T$103*N('Exh. BGM-3 (Detail)'!$D$10:$D$103=$D45))</f>
        <v>-6984.3922075499486</v>
      </c>
      <c r="W45" s="588">
        <f t="shared" si="6"/>
        <v>-1285.1124924744654</v>
      </c>
      <c r="X45" s="588"/>
      <c r="Y45" s="588">
        <f t="shared" si="7"/>
        <v>0</v>
      </c>
      <c r="Z45" s="591"/>
      <c r="AA45" s="588">
        <f t="shared" si="8"/>
        <v>-1285.1124924744654</v>
      </c>
      <c r="AC45" s="573" t="s">
        <v>911</v>
      </c>
      <c r="AF45" s="574"/>
    </row>
    <row r="46" spans="2:33">
      <c r="B46" s="571">
        <f t="shared" ca="1" si="5"/>
        <v>34</v>
      </c>
      <c r="D46" s="590">
        <v>3.0799999999999983</v>
      </c>
      <c r="F46" s="588" t="str" cm="1">
        <f t="array" ref="F46">+INDEX('ADJ DETAIL-INPUT'!$E$6:$CD$6&amp;" "&amp;'ADJ DETAIL-INPUT'!$E$7:$CD$7&amp;" "&amp;'ADJ DETAIL-INPUT'!$E$8:$CD$8,1,MATCH($D46,'ADJ DETAIL-INPUT'!$E$9:$CD$9,0))</f>
        <v xml:space="preserve">Pro Forma  Incentives </v>
      </c>
      <c r="I46" s="588" cm="1">
        <f t="array" ref="I46">+SUM('Exh. BGM-3 (Detail)'!I$10:I$103*N('Exh. BGM-3 (Detail)'!$D$10:$D$103=$D46))</f>
        <v>-919.32300000000009</v>
      </c>
      <c r="J46" s="588"/>
      <c r="K46" s="588" cm="1">
        <f t="array" ref="K46">+SUM('Exh. BGM-3 (Detail)'!K$10:K$103*N('Exh. BGM-3 (Detail)'!$D$10:$D$103=$D46))</f>
        <v>0</v>
      </c>
      <c r="L46" s="588"/>
      <c r="M46" s="588" cm="1">
        <f t="array" ref="M46">+SUM('Exh. BGM-3 (Detail)'!M$10:M$103*N('Exh. BGM-3 (Detail)'!$D$10:$D$103=$D46))</f>
        <v>1221.7241654263237</v>
      </c>
      <c r="O46" s="588"/>
      <c r="P46" s="588" cm="1">
        <f t="array" ref="P46">+SUM('Exh. BGM-3 (Detail)'!P$10:P$103*N('Exh. BGM-3 (Detail)'!$D$10:$D$103=$D46))</f>
        <v>-919.32300000000009</v>
      </c>
      <c r="Q46" s="588"/>
      <c r="R46" s="588" cm="1">
        <f t="array" ref="R46">+SUM('Exh. BGM-3 (Detail)'!R$10:R$103*N('Exh. BGM-3 (Detail)'!$D$10:$D$103=$D46))</f>
        <v>0</v>
      </c>
      <c r="S46" s="588"/>
      <c r="T46" s="588" cm="1">
        <f t="array" ref="T46">+SUM('Exh. BGM-3 (Detail)'!T$10:T$103*N('Exh. BGM-3 (Detail)'!$D$10:$D$103=$D46))</f>
        <v>1221.7241654263237</v>
      </c>
      <c r="W46" s="588">
        <f t="shared" si="6"/>
        <v>0</v>
      </c>
      <c r="X46" s="588"/>
      <c r="Y46" s="588">
        <f t="shared" si="7"/>
        <v>0</v>
      </c>
      <c r="Z46" s="591"/>
      <c r="AA46" s="588">
        <f t="shared" si="8"/>
        <v>0</v>
      </c>
      <c r="AC46" s="573"/>
      <c r="AF46" s="574"/>
    </row>
    <row r="47" spans="2:33">
      <c r="B47" s="571">
        <f t="shared" ca="1" si="5"/>
        <v>35</v>
      </c>
      <c r="D47" s="590">
        <v>3.0899999999999981</v>
      </c>
      <c r="F47" s="588" t="str" cm="1">
        <f t="array" ref="F47">+INDEX('ADJ DETAIL-INPUT'!$E$6:$CD$6&amp;" "&amp;'ADJ DETAIL-INPUT'!$E$7:$CD$7&amp;" "&amp;'ADJ DETAIL-INPUT'!$E$8:$CD$8,1,MATCH($D47,'ADJ DETAIL-INPUT'!$E$9:$CD$9,0))</f>
        <v>Pro Forma  LIRAP Labor</v>
      </c>
      <c r="I47" s="588" cm="1">
        <f t="array" ref="I47">+SUM('Exh. BGM-3 (Detail)'!I$10:I$103*N('Exh. BGM-3 (Detail)'!$D$10:$D$103=$D47))</f>
        <v>-206.98000000000002</v>
      </c>
      <c r="J47" s="588"/>
      <c r="K47" s="588" cm="1">
        <f t="array" ref="K47">+SUM('Exh. BGM-3 (Detail)'!K$10:K$103*N('Exh. BGM-3 (Detail)'!$D$10:$D$103=$D47))</f>
        <v>0</v>
      </c>
      <c r="L47" s="588"/>
      <c r="M47" s="588" cm="1">
        <f t="array" ref="M47">+SUM('Exh. BGM-3 (Detail)'!M$10:M$103*N('Exh. BGM-3 (Detail)'!$D$10:$D$103=$D47))</f>
        <v>275.06378907080585</v>
      </c>
      <c r="O47" s="588"/>
      <c r="P47" s="588" cm="1">
        <f t="array" ref="P47">+SUM('Exh. BGM-3 (Detail)'!P$10:P$103*N('Exh. BGM-3 (Detail)'!$D$10:$D$103=$D47))</f>
        <v>-206.98000000000002</v>
      </c>
      <c r="Q47" s="588"/>
      <c r="R47" s="588" cm="1">
        <f t="array" ref="R47">+SUM('Exh. BGM-3 (Detail)'!R$10:R$103*N('Exh. BGM-3 (Detail)'!$D$10:$D$103=$D47))</f>
        <v>0</v>
      </c>
      <c r="S47" s="588"/>
      <c r="T47" s="588" cm="1">
        <f t="array" ref="T47">+SUM('Exh. BGM-3 (Detail)'!T$10:T$103*N('Exh. BGM-3 (Detail)'!$D$10:$D$103=$D47))</f>
        <v>275.06378907080585</v>
      </c>
      <c r="W47" s="588">
        <f t="shared" si="6"/>
        <v>0</v>
      </c>
      <c r="X47" s="588"/>
      <c r="Y47" s="588">
        <f t="shared" si="7"/>
        <v>0</v>
      </c>
      <c r="Z47" s="591"/>
      <c r="AA47" s="588">
        <f t="shared" si="8"/>
        <v>0</v>
      </c>
      <c r="AC47" s="573"/>
      <c r="AF47" s="574"/>
    </row>
    <row r="48" spans="2:33">
      <c r="B48" s="571">
        <f t="shared" ca="1" si="5"/>
        <v>36</v>
      </c>
      <c r="D48" s="590">
        <v>3.0999999999999979</v>
      </c>
      <c r="F48" s="588" t="str" cm="1">
        <f t="array" ref="F48">+INDEX('ADJ DETAIL-INPUT'!$E$6:$CD$6&amp;" "&amp;'ADJ DETAIL-INPUT'!$E$7:$CD$7&amp;" "&amp;'ADJ DETAIL-INPUT'!$E$8:$CD$8,1,MATCH($D48,'ADJ DETAIL-INPUT'!$E$9:$CD$9,0))</f>
        <v>Pro Forma  CCA Labor</v>
      </c>
      <c r="I48" s="588" cm="1">
        <f t="array" ref="I48">+SUM('Exh. BGM-3 (Detail)'!I$10:I$103*N('Exh. BGM-3 (Detail)'!$D$10:$D$103=$D48))</f>
        <v>-300.99</v>
      </c>
      <c r="J48" s="588"/>
      <c r="K48" s="588" cm="1">
        <f t="array" ref="K48">+SUM('Exh. BGM-3 (Detail)'!K$10:K$103*N('Exh. BGM-3 (Detail)'!$D$10:$D$103=$D48))</f>
        <v>0</v>
      </c>
      <c r="L48" s="588"/>
      <c r="M48" s="588" cm="1">
        <f t="array" ref="M48">+SUM('Exh. BGM-3 (Detail)'!M$10:M$103*N('Exh. BGM-3 (Detail)'!$D$10:$D$103=$D48))</f>
        <v>399.99734212204976</v>
      </c>
      <c r="O48" s="588"/>
      <c r="P48" s="588" cm="1">
        <f t="array" ref="P48">+SUM('Exh. BGM-3 (Detail)'!P$10:P$103*N('Exh. BGM-3 (Detail)'!$D$10:$D$103=$D48))</f>
        <v>-300.99</v>
      </c>
      <c r="Q48" s="588"/>
      <c r="R48" s="588" cm="1">
        <f t="array" ref="R48">+SUM('Exh. BGM-3 (Detail)'!R$10:R$103*N('Exh. BGM-3 (Detail)'!$D$10:$D$103=$D48))</f>
        <v>0</v>
      </c>
      <c r="S48" s="588"/>
      <c r="T48" s="588" cm="1">
        <f t="array" ref="T48">+SUM('Exh. BGM-3 (Detail)'!T$10:T$103*N('Exh. BGM-3 (Detail)'!$D$10:$D$103=$D48))</f>
        <v>399.99734212204976</v>
      </c>
      <c r="W48" s="588">
        <f t="shared" si="6"/>
        <v>0</v>
      </c>
      <c r="X48" s="588"/>
      <c r="Y48" s="588">
        <f t="shared" si="7"/>
        <v>0</v>
      </c>
      <c r="Z48" s="591"/>
      <c r="AA48" s="588">
        <f t="shared" si="8"/>
        <v>0</v>
      </c>
      <c r="AC48" s="573"/>
      <c r="AF48" s="574"/>
    </row>
    <row r="49" spans="2:32">
      <c r="B49" s="571">
        <f t="shared" ca="1" si="5"/>
        <v>37</v>
      </c>
      <c r="D49" s="590">
        <v>3.1099999999999977</v>
      </c>
      <c r="F49" s="588" t="str" cm="1">
        <f t="array" ref="F49">+INDEX('ADJ DETAIL-INPUT'!$E$6:$CD$6&amp;" "&amp;'ADJ DETAIL-INPUT'!$E$7:$CD$7&amp;" "&amp;'ADJ DETAIL-INPUT'!$E$8:$CD$8,1,MATCH($D49,'ADJ DETAIL-INPUT'!$E$9:$CD$9,0))</f>
        <v>Pro Forma  Property Tax</v>
      </c>
      <c r="I49" s="588" cm="1">
        <f t="array" ref="I49">+SUM('Exh. BGM-3 (Detail)'!I$10:I$103*N('Exh. BGM-3 (Detail)'!$D$10:$D$103=$D49))</f>
        <v>146.15</v>
      </c>
      <c r="J49" s="588"/>
      <c r="K49" s="588" cm="1">
        <f t="array" ref="K49">+SUM('Exh. BGM-3 (Detail)'!K$10:K$103*N('Exh. BGM-3 (Detail)'!$D$10:$D$103=$D49))</f>
        <v>0</v>
      </c>
      <c r="L49" s="588"/>
      <c r="M49" s="588" cm="1">
        <f t="array" ref="M49">+SUM('Exh. BGM-3 (Detail)'!M$10:M$103*N('Exh. BGM-3 (Detail)'!$D$10:$D$103=$D49))</f>
        <v>-194.22443121411865</v>
      </c>
      <c r="O49" s="588"/>
      <c r="P49" s="588" cm="1">
        <f t="array" ref="P49">+SUM('Exh. BGM-3 (Detail)'!P$10:P$103*N('Exh. BGM-3 (Detail)'!$D$10:$D$103=$D49))</f>
        <v>575.12</v>
      </c>
      <c r="Q49" s="588"/>
      <c r="R49" s="588" cm="1">
        <f t="array" ref="R49">+SUM('Exh. BGM-3 (Detail)'!R$10:R$103*N('Exh. BGM-3 (Detail)'!$D$10:$D$103=$D49))</f>
        <v>0</v>
      </c>
      <c r="S49" s="588"/>
      <c r="T49" s="588" cm="1">
        <f t="array" ref="T49">+SUM('Exh. BGM-3 (Detail)'!T$10:T$103*N('Exh. BGM-3 (Detail)'!$D$10:$D$103=$D49))</f>
        <v>-764.29938337231556</v>
      </c>
      <c r="W49" s="588">
        <f t="shared" si="6"/>
        <v>-570.07495215819688</v>
      </c>
      <c r="X49" s="588"/>
      <c r="Y49" s="588">
        <f t="shared" si="7"/>
        <v>0</v>
      </c>
      <c r="Z49" s="591"/>
      <c r="AA49" s="588">
        <f t="shared" si="8"/>
        <v>-570.07495215819688</v>
      </c>
      <c r="AC49" s="573" t="s">
        <v>911</v>
      </c>
      <c r="AF49" s="574"/>
    </row>
    <row r="50" spans="2:32">
      <c r="B50" s="571">
        <f ca="1">+MAX(OFFSET($B$7,0,0,ROW($B50)-ROW($B$7),1))+1</f>
        <v>38</v>
      </c>
      <c r="D50" s="590">
        <v>3.1199999999999974</v>
      </c>
      <c r="F50" s="588" t="str" cm="1">
        <f t="array" ref="F50">+INDEX('ADJ DETAIL-INPUT'!$E$6:$CD$6&amp;" "&amp;'ADJ DETAIL-INPUT'!$E$7:$CD$7&amp;" "&amp;'ADJ DETAIL-INPUT'!$E$8:$CD$8,1,MATCH($D50,'ADJ DETAIL-INPUT'!$E$9:$CD$9,0))</f>
        <v>Pro Forma Insurance Expense</v>
      </c>
      <c r="I50" s="588" cm="1">
        <f t="array" ref="I50">+SUM('Exh. BGM-3 (Detail)'!I$10:I$103*N('Exh. BGM-3 (Detail)'!$D$10:$D$103=$D50))</f>
        <v>-4155.3999999999996</v>
      </c>
      <c r="J50" s="588"/>
      <c r="K50" s="588" cm="1">
        <f t="array" ref="K50">+SUM('Exh. BGM-3 (Detail)'!K$10:K$103*N('Exh. BGM-3 (Detail)'!$D$10:$D$103=$D50))</f>
        <v>0</v>
      </c>
      <c r="L50" s="588"/>
      <c r="M50" s="588" cm="1">
        <f t="array" ref="M50">+SUM('Exh. BGM-3 (Detail)'!M$10:M$103*N('Exh. BGM-3 (Detail)'!$D$10:$D$103=$D50))</f>
        <v>5522.2730172230486</v>
      </c>
      <c r="O50" s="588"/>
      <c r="P50" s="588" cm="1">
        <f t="array" ref="P50">+SUM('Exh. BGM-3 (Detail)'!P$10:P$103*N('Exh. BGM-3 (Detail)'!$D$10:$D$103=$D50))</f>
        <v>-4155.3999999999996</v>
      </c>
      <c r="Q50" s="588"/>
      <c r="R50" s="588" cm="1">
        <f t="array" ref="R50">+SUM('Exh. BGM-3 (Detail)'!R$10:R$103*N('Exh. BGM-3 (Detail)'!$D$10:$D$103=$D50))</f>
        <v>0</v>
      </c>
      <c r="S50" s="588"/>
      <c r="T50" s="588" cm="1">
        <f t="array" ref="T50">+SUM('Exh. BGM-3 (Detail)'!T$10:T$103*N('Exh. BGM-3 (Detail)'!$D$10:$D$103=$D50))</f>
        <v>5522.2730172230486</v>
      </c>
      <c r="W50" s="588">
        <f t="shared" si="6"/>
        <v>0</v>
      </c>
      <c r="X50" s="588"/>
      <c r="Y50" s="588">
        <f t="shared" si="7"/>
        <v>0</v>
      </c>
      <c r="Z50" s="591"/>
      <c r="AA50" s="588">
        <f t="shared" si="8"/>
        <v>0</v>
      </c>
      <c r="AC50" s="573"/>
      <c r="AF50" s="574"/>
    </row>
    <row r="51" spans="2:32">
      <c r="B51" s="571">
        <f ca="1">+MAX(OFFSET($B$7,0,0,ROW($B51)-ROW($B$7),1))+1</f>
        <v>39</v>
      </c>
      <c r="D51" s="590">
        <v>3.1299999999999972</v>
      </c>
      <c r="F51" s="588" t="str" cm="1">
        <f t="array" ref="F51">+INDEX('ADJ DETAIL-INPUT'!$E$6:$CD$6&amp;" "&amp;'ADJ DETAIL-INPUT'!$E$7:$CD$7&amp;" "&amp;'ADJ DETAIL-INPUT'!$E$8:$CD$8,1,MATCH($D51,'ADJ DETAIL-INPUT'!$E$9:$CD$9,0))</f>
        <v>Pro Forma  IS/IT Expense</v>
      </c>
      <c r="I51" s="588" cm="1">
        <f t="array" ref="I51">+SUM('Exh. BGM-3 (Detail)'!I$10:I$103*N('Exh. BGM-3 (Detail)'!$D$10:$D$103=$D51))</f>
        <v>-80.185000000000002</v>
      </c>
      <c r="J51" s="588"/>
      <c r="K51" s="588" cm="1">
        <f t="array" ref="K51">+SUM('Exh. BGM-3 (Detail)'!K$10:K$103*N('Exh. BGM-3 (Detail)'!$D$10:$D$103=$D51))</f>
        <v>0</v>
      </c>
      <c r="L51" s="588"/>
      <c r="M51" s="588" cm="1">
        <f t="array" ref="M51">+SUM('Exh. BGM-3 (Detail)'!M$10:M$103*N('Exh. BGM-3 (Detail)'!$D$10:$D$103=$D51))</f>
        <v>106.56097172017861</v>
      </c>
      <c r="O51" s="588"/>
      <c r="P51" s="588" cm="1">
        <f t="array" ref="P51">+SUM('Exh. BGM-3 (Detail)'!P$10:P$103*N('Exh. BGM-3 (Detail)'!$D$10:$D$103=$D51))</f>
        <v>-80.185000000000002</v>
      </c>
      <c r="Q51" s="588"/>
      <c r="R51" s="588" cm="1">
        <f t="array" ref="R51">+SUM('Exh. BGM-3 (Detail)'!R$10:R$103*N('Exh. BGM-3 (Detail)'!$D$10:$D$103=$D51))</f>
        <v>0</v>
      </c>
      <c r="S51" s="588"/>
      <c r="T51" s="588" cm="1">
        <f t="array" ref="T51">+SUM('Exh. BGM-3 (Detail)'!T$10:T$103*N('Exh. BGM-3 (Detail)'!$D$10:$D$103=$D51))</f>
        <v>106.56097172017861</v>
      </c>
      <c r="W51" s="588">
        <f t="shared" si="6"/>
        <v>0</v>
      </c>
      <c r="X51" s="588"/>
      <c r="Y51" s="588">
        <f t="shared" si="7"/>
        <v>0</v>
      </c>
      <c r="Z51" s="591"/>
      <c r="AA51" s="588">
        <f t="shared" si="8"/>
        <v>0</v>
      </c>
      <c r="AC51" s="573"/>
      <c r="AF51" s="574"/>
    </row>
    <row r="52" spans="2:32">
      <c r="B52" s="571">
        <f ca="1">+MAX(OFFSET($B$7,0,0,ROW($B52)-ROW($B$7),1))+1</f>
        <v>40</v>
      </c>
      <c r="D52" s="590">
        <v>3.139999999999997</v>
      </c>
      <c r="F52" s="588" t="str" cm="1">
        <f t="array" ref="F52">+INDEX('ADJ DETAIL-INPUT'!$E$6:$CD$6&amp;" "&amp;'ADJ DETAIL-INPUT'!$E$7:$CD$7&amp;" "&amp;'ADJ DETAIL-INPUT'!$E$8:$CD$8,1,MATCH($D52,'ADJ DETAIL-INPUT'!$E$9:$CD$9,0))</f>
        <v>Pro Forma Misc O&amp;M Exp</v>
      </c>
      <c r="I52" s="588" cm="1">
        <f t="array" ref="I52">+SUM('Exh. BGM-3 (Detail)'!I$10:I$103*N('Exh. BGM-3 (Detail)'!$D$10:$D$103=$D52))</f>
        <v>-7012.0004999999992</v>
      </c>
      <c r="J52" s="588"/>
      <c r="K52" s="588" cm="1">
        <f t="array" ref="K52">+SUM('Exh. BGM-3 (Detail)'!K$10:K$103*N('Exh. BGM-3 (Detail)'!$D$10:$D$103=$D52))</f>
        <v>0</v>
      </c>
      <c r="L52" s="588"/>
      <c r="M52" s="588" cm="1">
        <f t="array" ref="M52">+SUM('Exh. BGM-3 (Detail)'!M$10:M$103*N('Exh. BGM-3 (Detail)'!$D$10:$D$103=$D52))</f>
        <v>9318.5207580267906</v>
      </c>
      <c r="O52" s="588"/>
      <c r="P52" s="588" cm="1">
        <f t="array" ref="P52">+SUM('Exh. BGM-3 (Detail)'!P$10:P$103*N('Exh. BGM-3 (Detail)'!$D$10:$D$103=$D52))</f>
        <v>-9.410955408384325E-4</v>
      </c>
      <c r="Q52" s="588"/>
      <c r="R52" s="588" cm="1">
        <f t="array" ref="R52">+SUM('Exh. BGM-3 (Detail)'!R$10:R$103*N('Exh. BGM-3 (Detail)'!$D$10:$D$103=$D52))</f>
        <v>0</v>
      </c>
      <c r="S52" s="588"/>
      <c r="T52" s="588" cm="1">
        <f t="array" ref="T52">+SUM('Exh. BGM-3 (Detail)'!T$10:T$103*N('Exh. BGM-3 (Detail)'!$D$10:$D$103=$D52))</f>
        <v>1.2506585444498342E-3</v>
      </c>
      <c r="W52" s="588">
        <f t="shared" si="6"/>
        <v>-9318.5195073682462</v>
      </c>
      <c r="X52" s="588"/>
      <c r="Y52" s="588">
        <f t="shared" si="7"/>
        <v>0</v>
      </c>
      <c r="Z52" s="591"/>
      <c r="AA52" s="588">
        <f t="shared" si="8"/>
        <v>-9318.5195073682462</v>
      </c>
      <c r="AC52" s="573" t="s">
        <v>911</v>
      </c>
      <c r="AF52" s="574"/>
    </row>
    <row r="53" spans="2:32">
      <c r="B53" s="571">
        <f t="shared" ref="B53:B87" ca="1" si="9">+MAX(OFFSET($B$7,0,0,ROW($B53)-ROW($B$7),1))+1</f>
        <v>41</v>
      </c>
      <c r="D53" s="590">
        <v>3.1499999999999968</v>
      </c>
      <c r="F53" s="588" t="str" cm="1">
        <f t="array" ref="F53">+INDEX('ADJ DETAIL-INPUT'!$E$6:$CD$6&amp;" "&amp;'ADJ DETAIL-INPUT'!$E$7:$CD$7&amp;" "&amp;'ADJ DETAIL-INPUT'!$E$8:$CD$8,1,MATCH($D53,'ADJ DETAIL-INPUT'!$E$9:$CD$9,0))</f>
        <v>Pro Forma Capital Additions to 12.31.2023 EOP</v>
      </c>
      <c r="I53" s="588" cm="1">
        <f t="array" ref="I53">+SUM('Exh. BGM-3 (Detail)'!I$10:I$103*N('Exh. BGM-3 (Detail)'!$D$10:$D$103=$D53))</f>
        <v>-2860.8231869129622</v>
      </c>
      <c r="J53" s="588"/>
      <c r="K53" s="588" cm="1">
        <f t="array" ref="K53">+SUM('Exh. BGM-3 (Detail)'!K$10:K$103*N('Exh. BGM-3 (Detail)'!$D$10:$D$103=$D53))</f>
        <v>83421.310559021265</v>
      </c>
      <c r="L53" s="588"/>
      <c r="M53" s="588" cm="1">
        <f t="array" ref="M53">+SUM('Exh. BGM-3 (Detail)'!M$10:M$103*N('Exh. BGM-3 (Detail)'!$D$10:$D$103=$D53))</f>
        <v>11595.446150345731</v>
      </c>
      <c r="O53" s="588"/>
      <c r="P53" s="588" cm="1">
        <f t="array" ref="P53">+SUM('Exh. BGM-3 (Detail)'!P$10:P$103*N('Exh. BGM-3 (Detail)'!$D$10:$D$103=$D53))</f>
        <v>-2860.8231869129622</v>
      </c>
      <c r="Q53" s="588"/>
      <c r="R53" s="588" cm="1">
        <f t="array" ref="R53">+SUM('Exh. BGM-3 (Detail)'!R$10:R$103*N('Exh. BGM-3 (Detail)'!$D$10:$D$103=$D53))</f>
        <v>83421.310559021265</v>
      </c>
      <c r="S53" s="588"/>
      <c r="T53" s="588" cm="1">
        <f t="array" ref="T53">+SUM('Exh. BGM-3 (Detail)'!T$10:T$103*N('Exh. BGM-3 (Detail)'!$D$10:$D$103=$D53))</f>
        <v>11595.446150345731</v>
      </c>
      <c r="W53" s="588">
        <f t="shared" si="6"/>
        <v>0</v>
      </c>
      <c r="X53" s="588"/>
      <c r="Y53" s="588">
        <f t="shared" si="7"/>
        <v>0</v>
      </c>
      <c r="Z53" s="591"/>
      <c r="AA53" s="588">
        <f t="shared" si="8"/>
        <v>0</v>
      </c>
      <c r="AC53" s="573"/>
      <c r="AF53" s="574"/>
    </row>
    <row r="54" spans="2:32">
      <c r="B54" s="571">
        <f t="shared" ca="1" si="9"/>
        <v>42</v>
      </c>
      <c r="D54" s="571">
        <v>3.1599999999999966</v>
      </c>
      <c r="F54" s="588" t="str" cm="1">
        <f t="array" ref="F54">+INDEX('ADJ DETAIL-INPUT'!$E$6:$CD$6&amp;" "&amp;'ADJ DETAIL-INPUT'!$E$7:$CD$7&amp;" "&amp;'ADJ DETAIL-INPUT'!$E$8:$CD$8,1,MATCH($D54,'ADJ DETAIL-INPUT'!$E$9:$CD$9,0))</f>
        <v>Pro Forma Depreciation Expense</v>
      </c>
      <c r="I54" s="588" cm="1">
        <f t="array" ref="I54">+SUM('Exh. BGM-3 (Detail)'!I$10:I$103*N('Exh. BGM-3 (Detail)'!$D$10:$D$103=$D54))</f>
        <v>592.73699999999997</v>
      </c>
      <c r="J54" s="588"/>
      <c r="K54" s="588" cm="1">
        <f t="array" ref="K54">+SUM('Exh. BGM-3 (Detail)'!K$10:K$103*N('Exh. BGM-3 (Detail)'!$D$10:$D$103=$D54))</f>
        <v>0</v>
      </c>
      <c r="L54" s="588"/>
      <c r="M54" s="588" cm="1">
        <f t="array" ref="M54">+SUM('Exh. BGM-3 (Detail)'!M$10:M$103*N('Exh. BGM-3 (Detail)'!$D$10:$D$103=$D54))</f>
        <v>-787.71130129704432</v>
      </c>
      <c r="O54" s="588"/>
      <c r="P54" s="588" cm="1">
        <f t="array" ref="P54">+SUM('Exh. BGM-3 (Detail)'!P$10:P$103*N('Exh. BGM-3 (Detail)'!$D$10:$D$103=$D54))</f>
        <v>592.73699999999997</v>
      </c>
      <c r="Q54" s="588"/>
      <c r="R54" s="588" cm="1">
        <f t="array" ref="R54">+SUM('Exh. BGM-3 (Detail)'!R$10:R$103*N('Exh. BGM-3 (Detail)'!$D$10:$D$103=$D54))</f>
        <v>0</v>
      </c>
      <c r="S54" s="588"/>
      <c r="T54" s="588" cm="1">
        <f t="array" ref="T54">+SUM('Exh. BGM-3 (Detail)'!T$10:T$103*N('Exh. BGM-3 (Detail)'!$D$10:$D$103=$D54))</f>
        <v>-787.71130129704432</v>
      </c>
      <c r="W54" s="588">
        <f t="shared" si="6"/>
        <v>0</v>
      </c>
      <c r="X54" s="588"/>
      <c r="Y54" s="588">
        <f t="shared" si="7"/>
        <v>0</v>
      </c>
      <c r="Z54" s="591"/>
      <c r="AA54" s="588">
        <f t="shared" si="8"/>
        <v>0</v>
      </c>
      <c r="AC54" s="573"/>
      <c r="AF54" s="574"/>
    </row>
    <row r="55" spans="2:32">
      <c r="B55" s="571">
        <f t="shared" ca="1" si="9"/>
        <v>43</v>
      </c>
      <c r="D55" s="590">
        <v>3.1699999999999964</v>
      </c>
      <c r="F55" s="588" t="str" cm="1">
        <f t="array" ref="F55">+INDEX('ADJ DETAIL-INPUT'!$E$6:$CD$6&amp;" "&amp;'ADJ DETAIL-INPUT'!$E$7:$CD$7&amp;" "&amp;'ADJ DETAIL-INPUT'!$E$8:$CD$8,1,MATCH($D55,'ADJ DETAIL-INPUT'!$E$9:$CD$9,0))</f>
        <v>Pro Forma Capital Additions to 12.31.2024 EOP</v>
      </c>
      <c r="I55" s="588" cm="1">
        <f t="array" ref="I55">+SUM('Exh. BGM-3 (Detail)'!I$10:I$103*N('Exh. BGM-3 (Detail)'!$D$10:$D$103=$D55))</f>
        <v>-3292.1299926000002</v>
      </c>
      <c r="J55" s="588"/>
      <c r="K55" s="588" cm="1">
        <f t="array" ref="K55">+SUM('Exh. BGM-3 (Detail)'!K$10:K$103*N('Exh. BGM-3 (Detail)'!$D$10:$D$103=$D55))</f>
        <v>70224.200000000012</v>
      </c>
      <c r="L55" s="588"/>
      <c r="M55" s="588" cm="1">
        <f t="array" ref="M55">+SUM('Exh. BGM-3 (Detail)'!M$10:M$103*N('Exh. BGM-3 (Detail)'!$D$10:$D$103=$D55))</f>
        <v>10935.694307622796</v>
      </c>
      <c r="O55" s="588"/>
      <c r="P55" s="588" cm="1">
        <f t="array" ref="P55">+SUM('Exh. BGM-3 (Detail)'!P$10:P$103*N('Exh. BGM-3 (Detail)'!$D$10:$D$103=$D55))</f>
        <v>-3292.1299926000002</v>
      </c>
      <c r="Q55" s="588"/>
      <c r="R55" s="588" cm="1">
        <f t="array" ref="R55">+SUM('Exh. BGM-3 (Detail)'!R$10:R$103*N('Exh. BGM-3 (Detail)'!$D$10:$D$103=$D55))</f>
        <v>70224.200000000012</v>
      </c>
      <c r="S55" s="588"/>
      <c r="T55" s="588" cm="1">
        <f t="array" ref="T55">+SUM('Exh. BGM-3 (Detail)'!T$10:T$103*N('Exh. BGM-3 (Detail)'!$D$10:$D$103=$D55))</f>
        <v>10935.694307622796</v>
      </c>
      <c r="W55" s="588">
        <f t="shared" si="6"/>
        <v>0</v>
      </c>
      <c r="X55" s="588"/>
      <c r="Y55" s="588">
        <f t="shared" si="7"/>
        <v>0</v>
      </c>
      <c r="Z55" s="591"/>
      <c r="AA55" s="588">
        <f t="shared" si="8"/>
        <v>0</v>
      </c>
      <c r="AC55" s="573"/>
      <c r="AF55" s="574"/>
    </row>
    <row r="56" spans="2:32">
      <c r="B56" s="571">
        <f t="shared" ca="1" si="9"/>
        <v>44</v>
      </c>
      <c r="D56" s="590">
        <v>3.1799999999999962</v>
      </c>
      <c r="F56" s="588" t="str" cm="1">
        <f t="array" ref="F56">+INDEX('ADJ DETAIL-INPUT'!$E$6:$CD$6&amp;" "&amp;'ADJ DETAIL-INPUT'!$E$7:$CD$7&amp;" "&amp;'ADJ DETAIL-INPUT'!$E$8:$CD$8,1,MATCH($D56,'ADJ DETAIL-INPUT'!$E$9:$CD$9,0))</f>
        <v>Pro Forma New Regulatory Amortizations</v>
      </c>
      <c r="I56" s="588" cm="1">
        <f t="array" ref="I56">+SUM('Exh. BGM-3 (Detail)'!I$10:I$103*N('Exh. BGM-3 (Detail)'!$D$10:$D$103=$D56))</f>
        <v>-3616.4619999999995</v>
      </c>
      <c r="J56" s="588"/>
      <c r="K56" s="588" cm="1">
        <f t="array" ref="K56">+SUM('Exh. BGM-3 (Detail)'!K$10:K$103*N('Exh. BGM-3 (Detail)'!$D$10:$D$103=$D56))</f>
        <v>0</v>
      </c>
      <c r="L56" s="588"/>
      <c r="M56" s="588" cm="1">
        <f t="array" ref="M56">+SUM('Exh. BGM-3 (Detail)'!M$10:M$103*N('Exh. BGM-3 (Detail)'!$D$10:$D$103=$D56))</f>
        <v>4806.0573038486064</v>
      </c>
      <c r="O56" s="588"/>
      <c r="P56" s="588" cm="1">
        <f t="array" ref="P56">+SUM('Exh. BGM-3 (Detail)'!P$10:P$103*N('Exh. BGM-3 (Detail)'!$D$10:$D$103=$D56))</f>
        <v>-3616.4619999999995</v>
      </c>
      <c r="Q56" s="588"/>
      <c r="R56" s="588" cm="1">
        <f t="array" ref="R56">+SUM('Exh. BGM-3 (Detail)'!R$10:R$103*N('Exh. BGM-3 (Detail)'!$D$10:$D$103=$D56))</f>
        <v>0</v>
      </c>
      <c r="S56" s="588"/>
      <c r="T56" s="588" cm="1">
        <f t="array" ref="T56">+SUM('Exh. BGM-3 (Detail)'!T$10:T$103*N('Exh. BGM-3 (Detail)'!$D$10:$D$103=$D56))</f>
        <v>4806.0573038486064</v>
      </c>
      <c r="W56" s="588">
        <f t="shared" si="6"/>
        <v>0</v>
      </c>
      <c r="X56" s="588"/>
      <c r="Y56" s="588">
        <f t="shared" si="7"/>
        <v>0</v>
      </c>
      <c r="Z56" s="591"/>
      <c r="AA56" s="588">
        <f t="shared" si="8"/>
        <v>0</v>
      </c>
      <c r="AC56" s="573"/>
      <c r="AF56" s="574"/>
    </row>
    <row r="57" spans="2:32">
      <c r="B57" s="571">
        <f t="shared" ca="1" si="9"/>
        <v>45</v>
      </c>
      <c r="D57" s="590">
        <v>3.1899999999999959</v>
      </c>
      <c r="F57" s="588" t="str" cm="1">
        <f t="array" ref="F57">+INDEX('ADJ DETAIL-INPUT'!$E$6:$CD$6&amp;" "&amp;'ADJ DETAIL-INPUT'!$E$7:$CD$7&amp;" "&amp;'ADJ DETAIL-INPUT'!$E$8:$CD$8,1,MATCH($D57,'ADJ DETAIL-INPUT'!$E$9:$CD$9,0))</f>
        <v>Pro Forma Nucleus/ETRM Expense</v>
      </c>
      <c r="I57" s="588" cm="1">
        <f t="array" ref="I57">+SUM('Exh. BGM-3 (Detail)'!I$10:I$103*N('Exh. BGM-3 (Detail)'!$D$10:$D$103=$D57))</f>
        <v>-444.77</v>
      </c>
      <c r="J57" s="588"/>
      <c r="K57" s="588" cm="1">
        <f t="array" ref="K57">+SUM('Exh. BGM-3 (Detail)'!K$10:K$103*N('Exh. BGM-3 (Detail)'!$D$10:$D$103=$D57))</f>
        <v>0</v>
      </c>
      <c r="L57" s="588"/>
      <c r="M57" s="588" cm="1">
        <f t="array" ref="M57">+SUM('Exh. BGM-3 (Detail)'!M$10:M$103*N('Exh. BGM-3 (Detail)'!$D$10:$D$103=$D57))</f>
        <v>591.07218796512859</v>
      </c>
      <c r="O57" s="588"/>
      <c r="P57" s="588" cm="1">
        <f t="array" ref="P57">+SUM('Exh. BGM-3 (Detail)'!P$10:P$103*N('Exh. BGM-3 (Detail)'!$D$10:$D$103=$D57))</f>
        <v>-444.77</v>
      </c>
      <c r="Q57" s="588"/>
      <c r="R57" s="588" cm="1">
        <f t="array" ref="R57">+SUM('Exh. BGM-3 (Detail)'!R$10:R$103*N('Exh. BGM-3 (Detail)'!$D$10:$D$103=$D57))</f>
        <v>0</v>
      </c>
      <c r="S57" s="588"/>
      <c r="T57" s="588" cm="1">
        <f t="array" ref="T57">+SUM('Exh. BGM-3 (Detail)'!T$10:T$103*N('Exh. BGM-3 (Detail)'!$D$10:$D$103=$D57))</f>
        <v>591.07218796512859</v>
      </c>
      <c r="W57" s="588">
        <f t="shared" si="6"/>
        <v>0</v>
      </c>
      <c r="X57" s="588"/>
      <c r="Y57" s="588">
        <f t="shared" si="7"/>
        <v>0</v>
      </c>
      <c r="Z57" s="591"/>
      <c r="AA57" s="588">
        <f t="shared" si="8"/>
        <v>0</v>
      </c>
      <c r="AC57" s="573"/>
      <c r="AF57" s="574"/>
    </row>
    <row r="58" spans="2:32">
      <c r="B58" s="571">
        <f t="shared" ca="1" si="9"/>
        <v>46</v>
      </c>
      <c r="D58" s="590">
        <v>3.1999999999999957</v>
      </c>
      <c r="F58" s="588" t="str" cm="1">
        <f t="array" ref="F58">+INDEX('ADJ DETAIL-INPUT'!$E$6:$CD$6&amp;" "&amp;'ADJ DETAIL-INPUT'!$E$7:$CD$7&amp;" "&amp;'ADJ DETAIL-INPUT'!$E$8:$CD$8,1,MATCH($D58,'ADJ DETAIL-INPUT'!$E$9:$CD$9,0))</f>
        <v>Pro Forma BOD Fees Expense</v>
      </c>
      <c r="I58" s="588" cm="1">
        <f t="array" ref="I58">+SUM('Exh. BGM-3 (Detail)'!I$10:I$103*N('Exh. BGM-3 (Detail)'!$D$10:$D$103=$D58))</f>
        <v>-374.38099999999997</v>
      </c>
      <c r="J58" s="588"/>
      <c r="K58" s="588" cm="1">
        <f t="array" ref="K58">+SUM('Exh. BGM-3 (Detail)'!K$10:K$103*N('Exh. BGM-3 (Detail)'!$D$10:$D$103=$D58))</f>
        <v>0</v>
      </c>
      <c r="L58" s="588"/>
      <c r="M58" s="588" cm="1">
        <f t="array" ref="M58">+SUM('Exh. BGM-3 (Detail)'!M$10:M$103*N('Exh. BGM-3 (Detail)'!$D$10:$D$103=$D58))</f>
        <v>497.52950244524766</v>
      </c>
      <c r="O58" s="588"/>
      <c r="P58" s="588" cm="1">
        <f t="array" ref="P58">+SUM('Exh. BGM-3 (Detail)'!P$10:P$103*N('Exh. BGM-3 (Detail)'!$D$10:$D$103=$D58))</f>
        <v>241.91696000000013</v>
      </c>
      <c r="Q58" s="588"/>
      <c r="R58" s="588" cm="1">
        <f t="array" ref="R58">+SUM('Exh. BGM-3 (Detail)'!R$10:R$103*N('Exh. BGM-3 (Detail)'!$D$10:$D$103=$D58))</f>
        <v>0</v>
      </c>
      <c r="S58" s="588"/>
      <c r="T58" s="588" cm="1">
        <f t="array" ref="T58">+SUM('Exh. BGM-3 (Detail)'!T$10:T$103*N('Exh. BGM-3 (Detail)'!$D$10:$D$103=$D58))</f>
        <v>-321.49287688709353</v>
      </c>
      <c r="W58" s="588">
        <f t="shared" si="6"/>
        <v>-819.02237933234119</v>
      </c>
      <c r="X58" s="588"/>
      <c r="Y58" s="588">
        <f t="shared" si="7"/>
        <v>0</v>
      </c>
      <c r="Z58" s="591"/>
      <c r="AA58" s="588">
        <f t="shared" si="8"/>
        <v>-819.02237933234119</v>
      </c>
      <c r="AC58" s="573" t="s">
        <v>911</v>
      </c>
      <c r="AF58" s="574"/>
    </row>
    <row r="59" spans="2:32">
      <c r="B59" s="571">
        <f t="shared" ca="1" si="9"/>
        <v>47</v>
      </c>
      <c r="D59" s="590">
        <v>3.2099999999999955</v>
      </c>
      <c r="F59" s="588" t="str" cm="1">
        <f t="array" ref="F59">+INDEX('ADJ DETAIL-INPUT'!$E$6:$CD$6&amp;" "&amp;'ADJ DETAIL-INPUT'!$E$7:$CD$7&amp;" "&amp;'ADJ DETAIL-INPUT'!$E$8:$CD$8,1,MATCH($D59,'ADJ DETAIL-INPUT'!$E$9:$CD$9,0))</f>
        <v>PF Transportation Electrification Return (Kicker)</v>
      </c>
      <c r="I59" s="588" cm="1">
        <f t="array" ref="I59">+SUM('Exh. BGM-3 (Detail)'!I$10:I$103*N('Exh. BGM-3 (Detail)'!$D$10:$D$103=$D59))</f>
        <v>-104.28</v>
      </c>
      <c r="J59" s="588"/>
      <c r="K59" s="588" cm="1">
        <f t="array" ref="K59">+SUM('Exh. BGM-3 (Detail)'!K$10:K$103*N('Exh. BGM-3 (Detail)'!$D$10:$D$103=$D59))</f>
        <v>0</v>
      </c>
      <c r="L59" s="588"/>
      <c r="M59" s="588" cm="1">
        <f t="array" ref="M59">+SUM('Exh. BGM-3 (Detail)'!M$10:M$103*N('Exh. BGM-3 (Detail)'!$D$10:$D$103=$D59))</f>
        <v>138.58175632574952</v>
      </c>
      <c r="O59" s="588"/>
      <c r="P59" s="588" cm="1">
        <f t="array" ref="P59">+SUM('Exh. BGM-3 (Detail)'!P$10:P$103*N('Exh. BGM-3 (Detail)'!$D$10:$D$103=$D59))</f>
        <v>-104.28</v>
      </c>
      <c r="Q59" s="588"/>
      <c r="R59" s="588" cm="1">
        <f t="array" ref="R59">+SUM('Exh. BGM-3 (Detail)'!R$10:R$103*N('Exh. BGM-3 (Detail)'!$D$10:$D$103=$D59))</f>
        <v>0</v>
      </c>
      <c r="S59" s="588"/>
      <c r="T59" s="588" cm="1">
        <f t="array" ref="T59">+SUM('Exh. BGM-3 (Detail)'!T$10:T$103*N('Exh. BGM-3 (Detail)'!$D$10:$D$103=$D59))</f>
        <v>138.58175632574952</v>
      </c>
      <c r="W59" s="588">
        <f t="shared" si="6"/>
        <v>0</v>
      </c>
      <c r="X59" s="588"/>
      <c r="Y59" s="588">
        <f t="shared" si="7"/>
        <v>0</v>
      </c>
      <c r="Z59" s="591"/>
      <c r="AA59" s="588">
        <f t="shared" si="8"/>
        <v>0</v>
      </c>
      <c r="AC59" s="573"/>
      <c r="AF59" s="574"/>
    </row>
    <row r="60" spans="2:32">
      <c r="B60" s="571">
        <f t="shared" ca="1" si="9"/>
        <v>48</v>
      </c>
      <c r="D60" s="590">
        <v>3.2199999999999953</v>
      </c>
      <c r="F60" s="588" t="str" cm="1">
        <f t="array" ref="F60">+INDEX('ADJ DETAIL-INPUT'!$E$6:$CD$6&amp;" "&amp;'ADJ DETAIL-INPUT'!$E$7:$CD$7&amp;" "&amp;'ADJ DETAIL-INPUT'!$E$8:$CD$8,1,MATCH($D60,'ADJ DETAIL-INPUT'!$E$9:$CD$9,0))</f>
        <v xml:space="preserve">Pro Forma Remove Normalize CS2 Major Maint </v>
      </c>
      <c r="I60" s="588" cm="1">
        <f t="array" ref="I60">+SUM('Exh. BGM-3 (Detail)'!I$10:I$103*N('Exh. BGM-3 (Detail)'!$D$10:$D$103=$D60))</f>
        <v>263.86</v>
      </c>
      <c r="J60" s="588"/>
      <c r="K60" s="588" cm="1">
        <f t="array" ref="K60">+SUM('Exh. BGM-3 (Detail)'!K$10:K$103*N('Exh. BGM-3 (Detail)'!$D$10:$D$103=$D60))</f>
        <v>0</v>
      </c>
      <c r="L60" s="588"/>
      <c r="M60" s="588" cm="1">
        <f t="array" ref="M60">+SUM('Exh. BGM-3 (Detail)'!M$10:M$103*N('Exh. BGM-3 (Detail)'!$D$10:$D$103=$D60))</f>
        <v>-350.65383797576015</v>
      </c>
      <c r="O60" s="588"/>
      <c r="P60" s="588" cm="1">
        <f t="array" ref="P60">+SUM('Exh. BGM-3 (Detail)'!P$10:P$103*N('Exh. BGM-3 (Detail)'!$D$10:$D$103=$D60))</f>
        <v>263.86</v>
      </c>
      <c r="Q60" s="588"/>
      <c r="R60" s="588" cm="1">
        <f t="array" ref="R60">+SUM('Exh. BGM-3 (Detail)'!R$10:R$103*N('Exh. BGM-3 (Detail)'!$D$10:$D$103=$D60))</f>
        <v>0</v>
      </c>
      <c r="S60" s="588"/>
      <c r="T60" s="588" cm="1">
        <f t="array" ref="T60">+SUM('Exh. BGM-3 (Detail)'!T$10:T$103*N('Exh. BGM-3 (Detail)'!$D$10:$D$103=$D60))</f>
        <v>-350.65383797576015</v>
      </c>
      <c r="W60" s="588">
        <f t="shared" si="6"/>
        <v>0</v>
      </c>
      <c r="X60" s="588"/>
      <c r="Y60" s="588">
        <f t="shared" si="7"/>
        <v>0</v>
      </c>
      <c r="Z60" s="591"/>
      <c r="AA60" s="588">
        <f t="shared" si="8"/>
        <v>0</v>
      </c>
      <c r="AC60" s="573"/>
      <c r="AF60" s="574"/>
    </row>
    <row r="61" spans="2:32">
      <c r="B61" s="571">
        <f t="shared" ca="1" si="9"/>
        <v>49</v>
      </c>
      <c r="D61" s="590">
        <v>3.2299999999999951</v>
      </c>
      <c r="F61" s="588" t="str" cm="1">
        <f t="array" ref="F61">+INDEX('ADJ DETAIL-INPUT'!$E$6:$CD$6&amp;" "&amp;'ADJ DETAIL-INPUT'!$E$7:$CD$7&amp;" "&amp;'ADJ DETAIL-INPUT'!$E$8:$CD$8,1,MATCH($D61,'ADJ DETAIL-INPUT'!$E$9:$CD$9,0))</f>
        <v>Pro Forma PPA Interest</v>
      </c>
      <c r="I61" s="588" cm="1">
        <f t="array" ref="I61">+SUM('Exh. BGM-3 (Detail)'!I$10:I$103*N('Exh. BGM-3 (Detail)'!$D$10:$D$103=$D61))</f>
        <v>-1705.6100000000001</v>
      </c>
      <c r="J61" s="588"/>
      <c r="K61" s="588" cm="1">
        <f t="array" ref="K61">+SUM('Exh. BGM-3 (Detail)'!K$10:K$103*N('Exh. BGM-3 (Detail)'!$D$10:$D$103=$D61))</f>
        <v>0</v>
      </c>
      <c r="L61" s="588"/>
      <c r="M61" s="588" cm="1">
        <f t="array" ref="M61">+SUM('Exh. BGM-3 (Detail)'!M$10:M$103*N('Exh. BGM-3 (Detail)'!$D$10:$D$103=$D61))</f>
        <v>2266.6516053582818</v>
      </c>
      <c r="O61" s="588"/>
      <c r="P61" s="588" cm="1">
        <f t="array" ref="P61">+SUM('Exh. BGM-3 (Detail)'!P$10:P$103*N('Exh. BGM-3 (Detail)'!$D$10:$D$103=$D61))</f>
        <v>-1705.6100000000001</v>
      </c>
      <c r="Q61" s="588"/>
      <c r="R61" s="588" cm="1">
        <f t="array" ref="R61">+SUM('Exh. BGM-3 (Detail)'!R$10:R$103*N('Exh. BGM-3 (Detail)'!$D$10:$D$103=$D61))</f>
        <v>0</v>
      </c>
      <c r="S61" s="588"/>
      <c r="T61" s="588" cm="1">
        <f t="array" ref="T61">+SUM('Exh. BGM-3 (Detail)'!T$10:T$103*N('Exh. BGM-3 (Detail)'!$D$10:$D$103=$D61))</f>
        <v>2266.6516053582818</v>
      </c>
      <c r="W61" s="588">
        <f t="shared" si="6"/>
        <v>0</v>
      </c>
      <c r="X61" s="588"/>
      <c r="Y61" s="588">
        <f t="shared" si="7"/>
        <v>0</v>
      </c>
      <c r="Z61" s="591"/>
      <c r="AA61" s="588">
        <f t="shared" si="8"/>
        <v>0</v>
      </c>
      <c r="AC61" s="573"/>
      <c r="AF61" s="574"/>
    </row>
    <row r="62" spans="2:32">
      <c r="B62" s="571">
        <f t="shared" ca="1" si="9"/>
        <v>50</v>
      </c>
      <c r="D62" s="590">
        <v>3.2399999999999949</v>
      </c>
      <c r="F62" s="588" t="str" cm="1">
        <f t="array" ref="F62">+INDEX('ADJ DETAIL-INPUT'!$E$6:$CD$6&amp;" "&amp;'ADJ DETAIL-INPUT'!$E$7:$CD$7&amp;" "&amp;'ADJ DETAIL-INPUT'!$E$8:$CD$8,1,MATCH($D62,'ADJ DETAIL-INPUT'!$E$9:$CD$9,0))</f>
        <v>Pro Forma Wildfire Expense</v>
      </c>
      <c r="I62" s="588" cm="1">
        <f t="array" ref="I62">+SUM('Exh. BGM-3 (Detail)'!I$10:I$103*N('Exh. BGM-3 (Detail)'!$D$10:$D$103=$D62))</f>
        <v>-3204.24</v>
      </c>
      <c r="J62" s="588"/>
      <c r="K62" s="588" cm="1">
        <f t="array" ref="K62">+SUM('Exh. BGM-3 (Detail)'!K$10:K$103*N('Exh. BGM-3 (Detail)'!$D$10:$D$103=$D62))</f>
        <v>0</v>
      </c>
      <c r="L62" s="588"/>
      <c r="M62" s="588" cm="1">
        <f t="array" ref="M62">+SUM('Exh. BGM-3 (Detail)'!M$10:M$103*N('Exh. BGM-3 (Detail)'!$D$10:$D$103=$D62))</f>
        <v>4258.2394216457578</v>
      </c>
      <c r="O62" s="588"/>
      <c r="P62" s="588" cm="1">
        <f t="array" ref="P62">+SUM('Exh. BGM-3 (Detail)'!P$10:P$103*N('Exh. BGM-3 (Detail)'!$D$10:$D$103=$D62))</f>
        <v>-3204.24</v>
      </c>
      <c r="Q62" s="588"/>
      <c r="R62" s="588" cm="1">
        <f t="array" ref="R62">+SUM('Exh. BGM-3 (Detail)'!R$10:R$103*N('Exh. BGM-3 (Detail)'!$D$10:$D$103=$D62))</f>
        <v>0</v>
      </c>
      <c r="S62" s="588"/>
      <c r="T62" s="588" cm="1">
        <f t="array" ref="T62">+SUM('Exh. BGM-3 (Detail)'!T$10:T$103*N('Exh. BGM-3 (Detail)'!$D$10:$D$103=$D62))</f>
        <v>4258.2394216457578</v>
      </c>
      <c r="W62" s="588">
        <f t="shared" si="6"/>
        <v>0</v>
      </c>
      <c r="X62" s="588"/>
      <c r="Y62" s="588">
        <f t="shared" si="7"/>
        <v>0</v>
      </c>
      <c r="Z62" s="591"/>
      <c r="AA62" s="588">
        <f t="shared" si="8"/>
        <v>0</v>
      </c>
      <c r="AC62" s="573"/>
      <c r="AF62" s="574"/>
    </row>
    <row r="63" spans="2:32">
      <c r="B63" s="571">
        <f t="shared" ca="1" si="9"/>
        <v>51</v>
      </c>
      <c r="D63" s="590">
        <v>4.01</v>
      </c>
      <c r="F63" s="588" t="s">
        <v>970</v>
      </c>
      <c r="I63" s="588" cm="1">
        <f t="array" ref="I63">+SUM('Exh. BGM-3 (Detail)'!I$10:I$103*N('Exh. BGM-3 (Detail)'!$D$10:$D$103=$D63))</f>
        <v>-4014.7885836657433</v>
      </c>
      <c r="J63" s="588"/>
      <c r="K63" s="588" cm="1">
        <f t="array" ref="K63">+SUM('Exh. BGM-3 (Detail)'!K$10:K$103*N('Exh. BGM-3 (Detail)'!$D$10:$D$103=$D63))</f>
        <v>25760.870174959498</v>
      </c>
      <c r="L63" s="588"/>
      <c r="M63" s="588" cm="1">
        <f t="array" ref="M63">+SUM('Exh. BGM-3 (Detail)'!M$10:M$103*N('Exh. BGM-3 (Detail)'!$D$10:$D$103=$D63))</f>
        <v>7742.103121631666</v>
      </c>
      <c r="O63" s="588"/>
      <c r="P63" s="588" cm="1">
        <f t="array" ref="P63">+SUM('Exh. BGM-3 (Detail)'!P$10:P$103*N('Exh. BGM-3 (Detail)'!$D$10:$D$103=$D63))</f>
        <v>5.4179990684133372E-4</v>
      </c>
      <c r="Q63" s="588"/>
      <c r="R63" s="588" cm="1">
        <f t="array" ref="R63">+SUM('Exh. BGM-3 (Detail)'!R$10:R$103*N('Exh. BGM-3 (Detail)'!$D$10:$D$103=$D63))</f>
        <v>0.10038908763090149</v>
      </c>
      <c r="S63" s="588"/>
      <c r="T63" s="588" cm="1">
        <f t="array" ref="T63">+SUM('Exh. BGM-3 (Detail)'!T$10:T$103*N('Exh. BGM-3 (Detail)'!$D$10:$D$103=$D63))</f>
        <v>8.6587722644253518E-3</v>
      </c>
      <c r="W63" s="588">
        <f t="shared" si="6"/>
        <v>-7742.0944628594016</v>
      </c>
      <c r="X63" s="588"/>
      <c r="Y63" s="588">
        <f t="shared" si="7"/>
        <v>-25760.769785871867</v>
      </c>
      <c r="Z63" s="591"/>
      <c r="AA63" s="588">
        <f t="shared" si="8"/>
        <v>-7742.0944628594016</v>
      </c>
      <c r="AC63" s="573" t="s">
        <v>911</v>
      </c>
      <c r="AF63" s="574"/>
    </row>
    <row r="64" spans="2:32">
      <c r="B64" s="571">
        <f t="shared" ca="1" si="9"/>
        <v>52</v>
      </c>
      <c r="D64" s="590">
        <v>4.0199999999999996</v>
      </c>
      <c r="F64" s="588" t="str" cm="1">
        <f t="array" ref="F64">+INDEX('ADJ DETAIL-INPUT'!$E$6:$CD$6&amp;" "&amp;'ADJ DETAIL-INPUT'!$E$7:$CD$7&amp;" "&amp;'ADJ DETAIL-INPUT'!$E$8:$CD$8,1,MATCH($D64,'ADJ DETAIL-INPUT'!$E$9:$CD$9,0))</f>
        <v>2024-2025 Capital Adds O&amp;M &amp; Revenue Offsets</v>
      </c>
      <c r="I64" s="588" cm="1">
        <f t="array" ref="I64">+SUM('Exh. BGM-3 (Detail)'!I$10:I$103*N('Exh. BGM-3 (Detail)'!$D$10:$D$103=$D64))</f>
        <v>5766.0599000000002</v>
      </c>
      <c r="J64" s="588"/>
      <c r="K64" s="588" cm="1">
        <f t="array" ref="K64">+SUM('Exh. BGM-3 (Detail)'!K$10:K$103*N('Exh. BGM-3 (Detail)'!$D$10:$D$103=$D64))</f>
        <v>0</v>
      </c>
      <c r="L64" s="588"/>
      <c r="M64" s="588" cm="1">
        <f t="array" ref="M64">+SUM('Exh. BGM-3 (Detail)'!M$10:M$103*N('Exh. BGM-3 (Detail)'!$D$10:$D$103=$D64))</f>
        <v>-7662.7417339995745</v>
      </c>
      <c r="O64" s="588"/>
      <c r="P64" s="588" cm="1">
        <f t="array" ref="P64">+SUM('Exh. BGM-3 (Detail)'!P$10:P$103*N('Exh. BGM-3 (Detail)'!$D$10:$D$103=$D64))</f>
        <v>5766.0599000000002</v>
      </c>
      <c r="Q64" s="588"/>
      <c r="R64" s="588" cm="1">
        <f t="array" ref="R64">+SUM('Exh. BGM-3 (Detail)'!R$10:R$103*N('Exh. BGM-3 (Detail)'!$D$10:$D$103=$D64))</f>
        <v>0</v>
      </c>
      <c r="S64" s="588"/>
      <c r="T64" s="588" cm="1">
        <f t="array" ref="T64">+SUM('Exh. BGM-3 (Detail)'!T$10:T$103*N('Exh. BGM-3 (Detail)'!$D$10:$D$103=$D64))</f>
        <v>-7662.7417339995745</v>
      </c>
      <c r="W64" s="588">
        <f t="shared" si="6"/>
        <v>0</v>
      </c>
      <c r="X64" s="588"/>
      <c r="Y64" s="588">
        <f t="shared" si="7"/>
        <v>0</v>
      </c>
      <c r="Z64" s="591"/>
      <c r="AA64" s="588">
        <f t="shared" si="8"/>
        <v>0</v>
      </c>
      <c r="AC64" s="573"/>
      <c r="AF64" s="574"/>
    </row>
    <row r="65" spans="1:32">
      <c r="B65" s="571">
        <f t="shared" ca="1" si="9"/>
        <v>53</v>
      </c>
      <c r="D65" s="590">
        <v>4.03</v>
      </c>
      <c r="F65" s="588" t="s">
        <v>943</v>
      </c>
      <c r="I65" s="588" cm="1">
        <f t="array" ref="I65">+SUM('Exh. BGM-3 (Detail)'!I$10:I$103*N('Exh. BGM-3 (Detail)'!$D$10:$D$103=$D65))</f>
        <v>0</v>
      </c>
      <c r="J65" s="588"/>
      <c r="K65" s="588" cm="1">
        <f t="array" ref="K65">+SUM('Exh. BGM-3 (Detail)'!K$10:K$103*N('Exh. BGM-3 (Detail)'!$D$10:$D$103=$D65))</f>
        <v>0</v>
      </c>
      <c r="L65" s="588"/>
      <c r="M65" s="588" cm="1">
        <f t="array" ref="M65">+SUM('Exh. BGM-3 (Detail)'!M$10:M$103*N('Exh. BGM-3 (Detail)'!$D$10:$D$103=$D65))</f>
        <v>0</v>
      </c>
      <c r="O65" s="588"/>
      <c r="P65" s="588" cm="1">
        <f t="array" ref="P65">+SUM('Exh. BGM-3 (Detail)'!P$10:P$103*N('Exh. BGM-3 (Detail)'!$D$10:$D$103=$D65))</f>
        <v>1659.3103731890535</v>
      </c>
      <c r="Q65" s="588"/>
      <c r="R65" s="588" cm="1">
        <f t="array" ref="R65">+SUM('Exh. BGM-3 (Detail)'!R$10:R$103*N('Exh. BGM-3 (Detail)'!$D$10:$D$103=$D65))</f>
        <v>0</v>
      </c>
      <c r="S65" s="588"/>
      <c r="T65" s="588" cm="1">
        <f t="array" ref="T65">+SUM('Exh. BGM-3 (Detail)'!T$10:T$103*N('Exh. BGM-3 (Detail)'!$D$10:$D$103=$D65))</f>
        <v>-2205.1222267555995</v>
      </c>
      <c r="W65" s="588">
        <f t="shared" si="6"/>
        <v>-2205.1222267555995</v>
      </c>
      <c r="X65" s="588"/>
      <c r="Y65" s="588">
        <f t="shared" si="7"/>
        <v>0</v>
      </c>
      <c r="Z65" s="591"/>
      <c r="AA65" s="588">
        <f t="shared" si="8"/>
        <v>-2205.1222267555995</v>
      </c>
      <c r="AC65" s="573" t="s">
        <v>964</v>
      </c>
      <c r="AF65" s="574"/>
    </row>
    <row r="66" spans="1:32">
      <c r="D66" s="590"/>
      <c r="F66" s="587"/>
      <c r="I66" s="588"/>
      <c r="J66" s="588"/>
      <c r="K66" s="588"/>
      <c r="L66" s="588"/>
      <c r="M66" s="588"/>
      <c r="P66" s="588"/>
      <c r="Q66" s="588"/>
      <c r="R66" s="588"/>
      <c r="S66" s="588"/>
      <c r="T66" s="588"/>
      <c r="W66" s="588"/>
      <c r="X66" s="588"/>
      <c r="Y66" s="588"/>
      <c r="Z66" s="591"/>
      <c r="AA66" s="588"/>
      <c r="AC66" s="573"/>
      <c r="AF66" s="574"/>
    </row>
    <row r="67" spans="1:32">
      <c r="D67" s="590"/>
      <c r="F67" s="591" t="s">
        <v>945</v>
      </c>
      <c r="I67" s="620">
        <f>+SUBTOTAL(9,I$36:I$66)</f>
        <v>-18473.423606178701</v>
      </c>
      <c r="J67" s="591"/>
      <c r="K67" s="620">
        <f>+SUBTOTAL(9,K$36:K$66)</f>
        <v>171877.38073398077</v>
      </c>
      <c r="L67" s="591"/>
      <c r="M67" s="620">
        <f>+SUBTOTAL(9,M$36:M$66)</f>
        <v>40607.595513206397</v>
      </c>
      <c r="O67" s="572"/>
      <c r="P67" s="620">
        <f>+SUBTOTAL(9,P$36:P$66)</f>
        <v>31944.542500265652</v>
      </c>
      <c r="Q67" s="591"/>
      <c r="R67" s="620">
        <f>+SUBTOTAL(9,R$36:R$66)</f>
        <v>146116.61094810889</v>
      </c>
      <c r="S67" s="591"/>
      <c r="T67" s="620">
        <f>+SUBTOTAL(9,T$36:T$66)</f>
        <v>-28801.489409171776</v>
      </c>
      <c r="U67" s="572"/>
      <c r="V67" s="572"/>
      <c r="W67" s="620">
        <f>+SUBTOTAL(9,W$36:W$66)</f>
        <v>-69409.084922378184</v>
      </c>
      <c r="X67" s="591"/>
      <c r="Y67" s="620">
        <f>+SUBTOTAL(9,Y$36:Y$66)</f>
        <v>-25760.769785871867</v>
      </c>
      <c r="Z67" s="591"/>
      <c r="AA67" s="620">
        <f>+SUBTOTAL(9,AA$36:AA$66)</f>
        <v>-69409.084922378184</v>
      </c>
      <c r="AC67" s="573"/>
      <c r="AF67" s="574"/>
    </row>
    <row r="68" spans="1:32">
      <c r="D68" s="590"/>
      <c r="F68" s="587"/>
      <c r="I68" s="588"/>
      <c r="J68" s="588"/>
      <c r="K68" s="588"/>
      <c r="L68" s="588"/>
      <c r="M68" s="588"/>
      <c r="P68" s="588"/>
      <c r="Q68" s="588"/>
      <c r="R68" s="588"/>
      <c r="S68" s="588"/>
      <c r="T68" s="588"/>
      <c r="W68" s="588"/>
      <c r="X68" s="588"/>
      <c r="Y68" s="588"/>
      <c r="Z68" s="591"/>
      <c r="AA68" s="588"/>
      <c r="AC68" s="573"/>
      <c r="AF68" s="574"/>
    </row>
    <row r="69" spans="1:32" ht="14.25" thickBot="1">
      <c r="D69" s="590"/>
      <c r="F69" s="587" t="s">
        <v>916</v>
      </c>
      <c r="I69" s="622">
        <f>+SUBTOTAL(9,I$6:I$68)</f>
        <v>117785.79962002143</v>
      </c>
      <c r="J69" s="588"/>
      <c r="K69" s="622">
        <f>+SUBTOTAL(9,K$6:K$68)</f>
        <v>2309816.7807339807</v>
      </c>
      <c r="L69" s="588"/>
      <c r="M69" s="622">
        <f>+SUBTOTAL(9,M$6:M$68)</f>
        <v>59263.130004222665</v>
      </c>
      <c r="P69" s="622">
        <f>+SUBTOTAL(9,P$6:P$68)</f>
        <v>172750.47618225898</v>
      </c>
      <c r="Q69" s="588"/>
      <c r="R69" s="622">
        <f>+SUBTOTAL(9,R$6:R$68)</f>
        <v>2255242.4968905966</v>
      </c>
      <c r="S69" s="588"/>
      <c r="T69" s="622">
        <f>+SUBTOTAL(9,T$6:T$68)</f>
        <v>-18880.14120089569</v>
      </c>
      <c r="W69" s="622">
        <f>+SUBTOTAL(9,W$6:W$68)</f>
        <v>-78143.271205118377</v>
      </c>
      <c r="X69" s="588"/>
      <c r="Y69" s="622">
        <f>+SUBTOTAL(9,Y$6:Y$68)</f>
        <v>-54574.283843384161</v>
      </c>
      <c r="Z69" s="591"/>
      <c r="AA69" s="622">
        <f>+SUBTOTAL(9,AA$6:AA$68)</f>
        <v>-78143.271205118377</v>
      </c>
      <c r="AC69" s="573"/>
      <c r="AF69" s="574"/>
    </row>
    <row r="70" spans="1:32" ht="13.5" thickTop="1">
      <c r="D70" s="590"/>
      <c r="F70" s="587"/>
      <c r="I70" s="588"/>
      <c r="J70" s="588"/>
      <c r="K70" s="588"/>
      <c r="L70" s="588"/>
      <c r="M70" s="588"/>
      <c r="P70" s="588"/>
      <c r="Q70" s="588"/>
      <c r="R70" s="588"/>
      <c r="S70" s="588"/>
      <c r="T70" s="588"/>
      <c r="W70" s="588"/>
      <c r="X70" s="588"/>
      <c r="Y70" s="588"/>
      <c r="Z70" s="591"/>
      <c r="AA70" s="588"/>
      <c r="AC70" s="573"/>
      <c r="AF70" s="574"/>
    </row>
    <row r="71" spans="1:32">
      <c r="B71" s="575" t="s">
        <v>963</v>
      </c>
      <c r="D71" s="590"/>
      <c r="F71" s="587"/>
      <c r="I71" s="588"/>
      <c r="J71" s="588"/>
      <c r="K71" s="588"/>
      <c r="L71" s="588"/>
      <c r="M71" s="588"/>
      <c r="P71" s="588"/>
      <c r="Q71" s="588"/>
      <c r="R71" s="588"/>
      <c r="S71" s="588"/>
      <c r="T71" s="588"/>
      <c r="W71" s="588"/>
      <c r="X71" s="588"/>
      <c r="Y71" s="588"/>
      <c r="Z71" s="591"/>
      <c r="AA71" s="588"/>
      <c r="AC71" s="573"/>
      <c r="AF71" s="574"/>
    </row>
    <row r="72" spans="1:32">
      <c r="B72" s="571">
        <f t="shared" ca="1" si="9"/>
        <v>54</v>
      </c>
      <c r="D72" s="590" t="s">
        <v>969</v>
      </c>
      <c r="F72" s="591" t="s">
        <v>918</v>
      </c>
      <c r="I72" s="588" cm="1">
        <f t="array" ref="I72">+SUM('Exh. BGM-3 (Detail)'!I$10:I$103*N('Exh. BGM-3 (Detail)'!$D$10:$D$103=$D72))</f>
        <v>-117785.79962002143</v>
      </c>
      <c r="J72" s="588"/>
      <c r="K72" s="588" cm="1">
        <f t="array" ref="K72">+SUM('Exh. BGM-3 (Detail)'!K$10:K$103*N('Exh. BGM-3 (Detail)'!$D$10:$D$103=$D72))</f>
        <v>-2309816.7807339807</v>
      </c>
      <c r="L72" s="588"/>
      <c r="M72" s="588" cm="1">
        <f t="array" ref="M72">+SUM('Exh. BGM-3 (Detail)'!M$10:M$103*N('Exh. BGM-3 (Detail)'!$D$10:$D$103=$D72))</f>
        <v>-59263.130004222607</v>
      </c>
      <c r="O72" s="588"/>
      <c r="P72" s="588" cm="1">
        <f t="array" ref="P72">+SUM('Exh. BGM-3 (Detail)'!P$10:P$103*N('Exh. BGM-3 (Detail)'!$D$10:$D$103=$D72))</f>
        <v>-172750.47618225901</v>
      </c>
      <c r="Q72" s="588"/>
      <c r="R72" s="588" cm="1">
        <f t="array" ref="R72">+SUM('Exh. BGM-3 (Detail)'!R$10:R$103*N('Exh. BGM-3 (Detail)'!$D$10:$D$103=$D72))</f>
        <v>-2255242.4968905966</v>
      </c>
      <c r="S72" s="588"/>
      <c r="T72" s="588" cm="1">
        <f t="array" ref="T72">+SUM('Exh. BGM-3 (Detail)'!T$10:T$103*N('Exh. BGM-3 (Detail)'!$D$10:$D$103=$D72))</f>
        <v>18880.141200895774</v>
      </c>
      <c r="W72" s="588">
        <f t="shared" ref="W72:W87" si="10">+T72-M72</f>
        <v>78143.271205118377</v>
      </c>
      <c r="X72" s="588"/>
      <c r="Y72" s="588">
        <f t="shared" ref="Y72:Y87" si="11">+R72-K72</f>
        <v>54574.283843384124</v>
      </c>
      <c r="Z72" s="591"/>
      <c r="AA72" s="588">
        <f t="shared" ref="AA72:AA87" si="12">+T72-M72</f>
        <v>78143.271205118377</v>
      </c>
      <c r="AC72" s="573"/>
      <c r="AF72" s="574"/>
    </row>
    <row r="73" spans="1:32">
      <c r="B73" s="571">
        <f t="shared" ca="1" si="9"/>
        <v>55</v>
      </c>
      <c r="D73" s="590" t="s">
        <v>820</v>
      </c>
      <c r="F73" s="588" t="str" cm="1">
        <f t="array" ref="F73">+INDEX('ADJ DETAIL-INPUT'!$E$6:$CD$6&amp;" "&amp;'ADJ DETAIL-INPUT'!$E$7:$CD$7&amp;" "&amp;'ADJ DETAIL-INPUT'!$E$8:$CD$8,1,MATCH($D73,'ADJ DETAIL-INPUT'!$E$9:$CD$9,0))</f>
        <v>Pro Forma Power Supply -  Remove Colstrip</v>
      </c>
      <c r="I73" s="588" cm="1">
        <f t="array" ref="I73">+SUM('Exh. BGM-3 (Detail)'!I$10:I$103*N('Exh. BGM-3 (Detail)'!$D$10:$D$103=$D73))</f>
        <v>-44781.35</v>
      </c>
      <c r="J73" s="588"/>
      <c r="K73" s="588" cm="1">
        <f t="array" ref="K73">+SUM('Exh. BGM-3 (Detail)'!K$10:K$103*N('Exh. BGM-3 (Detail)'!$D$10:$D$103=$D73))</f>
        <v>0</v>
      </c>
      <c r="L73" s="588"/>
      <c r="M73" s="588" cm="1">
        <f t="array" ref="M73">+SUM('Exh. BGM-3 (Detail)'!M$10:M$103*N('Exh. BGM-3 (Detail)'!$D$10:$D$103=$D73))</f>
        <v>59511.681373591317</v>
      </c>
      <c r="O73" s="588"/>
      <c r="P73" s="588" cm="1">
        <f t="array" ref="P73">+SUM('Exh. BGM-3 (Detail)'!P$10:P$103*N('Exh. BGM-3 (Detail)'!$D$10:$D$103=$D73))</f>
        <v>-41647.030737296001</v>
      </c>
      <c r="Q73" s="588"/>
      <c r="R73" s="588" cm="1">
        <f t="array" ref="R73">+SUM('Exh. BGM-3 (Detail)'!R$10:R$103*N('Exh. BGM-3 (Detail)'!$D$10:$D$103=$D73))</f>
        <v>0</v>
      </c>
      <c r="S73" s="588"/>
      <c r="T73" s="588" cm="1">
        <f t="array" ref="T73">+SUM('Exh. BGM-3 (Detail)'!T$10:T$103*N('Exh. BGM-3 (Detail)'!$D$10:$D$103=$D73))</f>
        <v>55346.362344907495</v>
      </c>
      <c r="W73" s="588">
        <f t="shared" si="10"/>
        <v>-4165.3190286838217</v>
      </c>
      <c r="X73" s="588"/>
      <c r="Y73" s="588">
        <f t="shared" si="11"/>
        <v>0</v>
      </c>
      <c r="Z73" s="591"/>
      <c r="AA73" s="588">
        <f t="shared" si="12"/>
        <v>-4165.3190286838217</v>
      </c>
      <c r="AC73" s="573" t="s">
        <v>911</v>
      </c>
      <c r="AF73" s="574"/>
    </row>
    <row r="74" spans="1:32">
      <c r="B74" s="571">
        <f t="shared" ca="1" si="9"/>
        <v>56</v>
      </c>
      <c r="D74" s="590">
        <v>5.01</v>
      </c>
      <c r="F74" s="588" t="str" cm="1">
        <f t="array" ref="F74">+INDEX('ADJ DETAIL-INPUT'!$E$6:$CD$6&amp;" "&amp;'ADJ DETAIL-INPUT'!$E$7:$CD$7&amp;" "&amp;'ADJ DETAIL-INPUT'!$E$8:$CD$8,1,MATCH($D74,'ADJ DETAIL-INPUT'!$E$9:$CD$9,0))</f>
        <v>Pro Forma AMI  Amortization</v>
      </c>
      <c r="I74" s="588" cm="1">
        <f t="array" ref="I74">+SUM('Exh. BGM-3 (Detail)'!I$10:I$103*N('Exh. BGM-3 (Detail)'!$D$10:$D$103=$D74))</f>
        <v>231.712176</v>
      </c>
      <c r="J74" s="588"/>
      <c r="K74" s="588" cm="1">
        <f t="array" ref="K74">+SUM('Exh. BGM-3 (Detail)'!K$10:K$103*N('Exh. BGM-3 (Detail)'!$D$10:$D$103=$D74))</f>
        <v>-2992</v>
      </c>
      <c r="L74" s="588"/>
      <c r="M74" s="588" cm="1">
        <f t="array" ref="M74">+SUM('Exh. BGM-3 (Detail)'!M$10:M$103*N('Exh. BGM-3 (Detail)'!$D$10:$D$103=$D74))</f>
        <v>-587.45717627046565</v>
      </c>
      <c r="O74" s="588"/>
      <c r="P74" s="588" cm="1">
        <f t="array" ref="P74">+SUM('Exh. BGM-3 (Detail)'!P$10:P$103*N('Exh. BGM-3 (Detail)'!$D$10:$D$103=$D74))</f>
        <v>231.712176</v>
      </c>
      <c r="Q74" s="588"/>
      <c r="R74" s="588" cm="1">
        <f t="array" ref="R74">+SUM('Exh. BGM-3 (Detail)'!R$10:R$103*N('Exh. BGM-3 (Detail)'!$D$10:$D$103=$D74))</f>
        <v>-2992</v>
      </c>
      <c r="S74" s="588"/>
      <c r="T74" s="588" cm="1">
        <f t="array" ref="T74">+SUM('Exh. BGM-3 (Detail)'!T$10:T$103*N('Exh. BGM-3 (Detail)'!$D$10:$D$103=$D74))</f>
        <v>-587.45717627046565</v>
      </c>
      <c r="W74" s="588">
        <f t="shared" si="10"/>
        <v>0</v>
      </c>
      <c r="X74" s="588"/>
      <c r="Y74" s="588">
        <f t="shared" si="11"/>
        <v>0</v>
      </c>
      <c r="Z74" s="591"/>
      <c r="AA74" s="588">
        <f t="shared" si="12"/>
        <v>0</v>
      </c>
      <c r="AC74" s="573"/>
      <c r="AF74" s="574"/>
    </row>
    <row r="75" spans="1:32">
      <c r="B75" s="571">
        <f t="shared" ca="1" si="9"/>
        <v>57</v>
      </c>
      <c r="D75" s="590">
        <v>5.0199999999999996</v>
      </c>
      <c r="F75" s="588" t="str" cm="1">
        <f t="array" ref="F75">+INDEX('ADJ DETAIL-INPUT'!$E$6:$CD$6&amp;" "&amp;'ADJ DETAIL-INPUT'!$E$7:$CD$7&amp;" "&amp;'ADJ DETAIL-INPUT'!$E$8:$CD$8,1,MATCH($D75,'ADJ DETAIL-INPUT'!$E$9:$CD$9,0))</f>
        <v>Pro Forma  Labor Non-Exec</v>
      </c>
      <c r="I75" s="588" cm="1">
        <f t="array" ref="I75">+SUM('Exh. BGM-3 (Detail)'!I$10:I$103*N('Exh. BGM-3 (Detail)'!$D$10:$D$103=$D75))</f>
        <v>-2087.1800000000003</v>
      </c>
      <c r="J75" s="588"/>
      <c r="K75" s="588" cm="1">
        <f t="array" ref="K75">+SUM('Exh. BGM-3 (Detail)'!K$10:K$103*N('Exh. BGM-3 (Detail)'!$D$10:$D$103=$D75))</f>
        <v>0</v>
      </c>
      <c r="L75" s="588"/>
      <c r="M75" s="588" cm="1">
        <f t="array" ref="M75">+SUM('Exh. BGM-3 (Detail)'!M$10:M$103*N('Exh. BGM-3 (Detail)'!$D$10:$D$103=$D75))</f>
        <v>2773.7348500956837</v>
      </c>
      <c r="O75" s="588"/>
      <c r="P75" s="588" cm="1">
        <f t="array" ref="P75">+SUM('Exh. BGM-3 (Detail)'!P$10:P$103*N('Exh. BGM-3 (Detail)'!$D$10:$D$103=$D75))</f>
        <v>-2087.1800000000003</v>
      </c>
      <c r="Q75" s="588"/>
      <c r="R75" s="588" cm="1">
        <f t="array" ref="R75">+SUM('Exh. BGM-3 (Detail)'!R$10:R$103*N('Exh. BGM-3 (Detail)'!$D$10:$D$103=$D75))</f>
        <v>0</v>
      </c>
      <c r="S75" s="588"/>
      <c r="T75" s="588" cm="1">
        <f t="array" ref="T75">+SUM('Exh. BGM-3 (Detail)'!T$10:T$103*N('Exh. BGM-3 (Detail)'!$D$10:$D$103=$D75))</f>
        <v>2773.7348500956837</v>
      </c>
      <c r="W75" s="588">
        <f t="shared" si="10"/>
        <v>0</v>
      </c>
      <c r="X75" s="588"/>
      <c r="Y75" s="588">
        <f t="shared" si="11"/>
        <v>0</v>
      </c>
      <c r="Z75" s="591"/>
      <c r="AA75" s="588">
        <f t="shared" si="12"/>
        <v>0</v>
      </c>
      <c r="AC75" s="573"/>
      <c r="AF75" s="574"/>
    </row>
    <row r="76" spans="1:32">
      <c r="B76" s="571">
        <f t="shared" ca="1" si="9"/>
        <v>58</v>
      </c>
      <c r="D76" s="590">
        <v>5.0299999999999994</v>
      </c>
      <c r="F76" s="588" t="str" cm="1">
        <f t="array" ref="F76">+INDEX('ADJ DETAIL-INPUT'!$E$6:$CD$6&amp;" "&amp;'ADJ DETAIL-INPUT'!$E$7:$CD$7&amp;" "&amp;'ADJ DETAIL-INPUT'!$E$8:$CD$8,1,MATCH($D76,'ADJ DETAIL-INPUT'!$E$9:$CD$9,0))</f>
        <v>Pro Forma  Employee  Benefits</v>
      </c>
      <c r="I76" s="588" cm="1">
        <f t="array" ref="I76">+SUM('Exh. BGM-3 (Detail)'!I$10:I$103*N('Exh. BGM-3 (Detail)'!$D$10:$D$103=$D76))</f>
        <v>-366.32299999999998</v>
      </c>
      <c r="J76" s="588"/>
      <c r="K76" s="588" cm="1">
        <f t="array" ref="K76">+SUM('Exh. BGM-3 (Detail)'!K$10:K$103*N('Exh. BGM-3 (Detail)'!$D$10:$D$103=$D76))</f>
        <v>0</v>
      </c>
      <c r="L76" s="588"/>
      <c r="M76" s="588" cm="1">
        <f t="array" ref="M76">+SUM('Exh. BGM-3 (Detail)'!M$10:M$103*N('Exh. BGM-3 (Detail)'!$D$10:$D$103=$D76))</f>
        <v>486.82091218371249</v>
      </c>
      <c r="O76" s="588"/>
      <c r="P76" s="588" cm="1">
        <f t="array" ref="P76">+SUM('Exh. BGM-3 (Detail)'!P$10:P$103*N('Exh. BGM-3 (Detail)'!$D$10:$D$103=$D76))</f>
        <v>-126.78785830289348</v>
      </c>
      <c r="Q76" s="588"/>
      <c r="R76" s="588" cm="1">
        <f t="array" ref="R76">+SUM('Exh. BGM-3 (Detail)'!R$10:R$103*N('Exh. BGM-3 (Detail)'!$D$10:$D$103=$D76))</f>
        <v>0</v>
      </c>
      <c r="S76" s="588"/>
      <c r="T76" s="588" cm="1">
        <f t="array" ref="T76">+SUM('Exh. BGM-3 (Detail)'!T$10:T$103*N('Exh. BGM-3 (Detail)'!$D$10:$D$103=$D76))</f>
        <v>168.49332647099391</v>
      </c>
      <c r="W76" s="588">
        <f t="shared" si="10"/>
        <v>-318.32758571271859</v>
      </c>
      <c r="X76" s="588"/>
      <c r="Y76" s="588">
        <f t="shared" si="11"/>
        <v>0</v>
      </c>
      <c r="Z76" s="591"/>
      <c r="AA76" s="588">
        <f t="shared" si="12"/>
        <v>-318.32758571271859</v>
      </c>
      <c r="AC76" s="573" t="s">
        <v>911</v>
      </c>
      <c r="AF76" s="574"/>
    </row>
    <row r="77" spans="1:32">
      <c r="B77" s="571">
        <f t="shared" ca="1" si="9"/>
        <v>59</v>
      </c>
      <c r="D77" s="590">
        <v>5.0399999999999991</v>
      </c>
      <c r="F77" s="588" t="str" cm="1">
        <f t="array" ref="F77">+INDEX('ADJ DETAIL-INPUT'!$E$6:$CD$6&amp;" "&amp;'ADJ DETAIL-INPUT'!$E$7:$CD$7&amp;" "&amp;'ADJ DETAIL-INPUT'!$E$8:$CD$8,1,MATCH($D77,'ADJ DETAIL-INPUT'!$E$9:$CD$9,0))</f>
        <v>Pro Forma  Property Tax</v>
      </c>
      <c r="I77" s="588" cm="1">
        <f t="array" ref="I77">+SUM('Exh. BGM-3 (Detail)'!I$10:I$103*N('Exh. BGM-3 (Detail)'!$D$10:$D$103=$D77))</f>
        <v>-590.13</v>
      </c>
      <c r="J77" s="588"/>
      <c r="K77" s="588" cm="1">
        <f t="array" ref="K77">+SUM('Exh. BGM-3 (Detail)'!K$10:K$103*N('Exh. BGM-3 (Detail)'!$D$10:$D$103=$D77))</f>
        <v>0</v>
      </c>
      <c r="L77" s="588"/>
      <c r="M77" s="588" cm="1">
        <f t="array" ref="M77">+SUM('Exh. BGM-3 (Detail)'!M$10:M$103*N('Exh. BGM-3 (Detail)'!$D$10:$D$103=$D77))</f>
        <v>784.24675738890062</v>
      </c>
      <c r="O77" s="588"/>
      <c r="P77" s="588" cm="1">
        <f t="array" ref="P77">+SUM('Exh. BGM-3 (Detail)'!P$10:P$103*N('Exh. BGM-3 (Detail)'!$D$10:$D$103=$D77))</f>
        <v>-558.53</v>
      </c>
      <c r="Q77" s="588"/>
      <c r="R77" s="588" cm="1">
        <f t="array" ref="R77">+SUM('Exh. BGM-3 (Detail)'!R$10:R$103*N('Exh. BGM-3 (Detail)'!$D$10:$D$103=$D77))</f>
        <v>0</v>
      </c>
      <c r="S77" s="588"/>
      <c r="T77" s="588" cm="1">
        <f t="array" ref="T77">+SUM('Exh. BGM-3 (Detail)'!T$10:T$103*N('Exh. BGM-3 (Detail)'!$D$10:$D$103=$D77))</f>
        <v>742.25228577503708</v>
      </c>
      <c r="W77" s="588">
        <f t="shared" si="10"/>
        <v>-41.994471613863539</v>
      </c>
      <c r="X77" s="588"/>
      <c r="Y77" s="588">
        <f t="shared" si="11"/>
        <v>0</v>
      </c>
      <c r="Z77" s="591"/>
      <c r="AA77" s="588">
        <f t="shared" si="12"/>
        <v>-41.994471613863539</v>
      </c>
      <c r="AC77" s="573" t="s">
        <v>911</v>
      </c>
      <c r="AF77" s="574"/>
    </row>
    <row r="78" spans="1:32">
      <c r="B78" s="571">
        <f t="shared" ca="1" si="9"/>
        <v>60</v>
      </c>
      <c r="D78" s="590">
        <v>5.0499999999999989</v>
      </c>
      <c r="F78" s="588" t="str" cm="1">
        <f t="array" ref="F78">+INDEX('ADJ DETAIL-INPUT'!$E$6:$CD$6&amp;" "&amp;'ADJ DETAIL-INPUT'!$E$7:$CD$7&amp;" "&amp;'ADJ DETAIL-INPUT'!$E$8:$CD$8,1,MATCH($D78,'ADJ DETAIL-INPUT'!$E$9:$CD$9,0))</f>
        <v>Pro Forma Nucleus/ETRM Expense</v>
      </c>
      <c r="I78" s="588" cm="1">
        <f t="array" ref="I78">+SUM('Exh. BGM-3 (Detail)'!I$10:I$103*N('Exh. BGM-3 (Detail)'!$D$10:$D$103=$D78))</f>
        <v>163.53</v>
      </c>
      <c r="J78" s="588"/>
      <c r="K78" s="588" cm="1">
        <f t="array" ref="K78">+SUM('Exh. BGM-3 (Detail)'!K$10:K$103*N('Exh. BGM-3 (Detail)'!$D$10:$D$103=$D78))</f>
        <v>0</v>
      </c>
      <c r="L78" s="588"/>
      <c r="M78" s="588" cm="1">
        <f t="array" ref="M78">+SUM('Exh. BGM-3 (Detail)'!M$10:M$103*N('Exh. BGM-3 (Detail)'!$D$10:$D$103=$D78))</f>
        <v>-217.32139060174356</v>
      </c>
      <c r="O78" s="588"/>
      <c r="P78" s="588" cm="1">
        <f t="array" ref="P78">+SUM('Exh. BGM-3 (Detail)'!P$10:P$103*N('Exh. BGM-3 (Detail)'!$D$10:$D$103=$D78))</f>
        <v>163.53</v>
      </c>
      <c r="Q78" s="588"/>
      <c r="R78" s="588" cm="1">
        <f t="array" ref="R78">+SUM('Exh. BGM-3 (Detail)'!R$10:R$103*N('Exh. BGM-3 (Detail)'!$D$10:$D$103=$D78))</f>
        <v>0</v>
      </c>
      <c r="S78" s="588"/>
      <c r="T78" s="588" cm="1">
        <f t="array" ref="T78">+SUM('Exh. BGM-3 (Detail)'!T$10:T$103*N('Exh. BGM-3 (Detail)'!$D$10:$D$103=$D78))</f>
        <v>-217.32139060174356</v>
      </c>
      <c r="W78" s="588">
        <f t="shared" si="10"/>
        <v>0</v>
      </c>
      <c r="X78" s="588"/>
      <c r="Y78" s="588">
        <f t="shared" si="11"/>
        <v>0</v>
      </c>
      <c r="Z78" s="591"/>
      <c r="AA78" s="588">
        <f t="shared" si="12"/>
        <v>0</v>
      </c>
      <c r="AC78" s="573"/>
      <c r="AF78" s="574"/>
    </row>
    <row r="79" spans="1:32">
      <c r="B79" s="571">
        <f t="shared" ca="1" si="9"/>
        <v>61</v>
      </c>
      <c r="D79" s="590">
        <v>5.0599999999999987</v>
      </c>
      <c r="F79" s="588" t="str" cm="1">
        <f t="array" ref="F79">+INDEX('ADJ DETAIL-INPUT'!$E$6:$CD$6&amp;" "&amp;'ADJ DETAIL-INPUT'!$E$7:$CD$7&amp;" "&amp;'ADJ DETAIL-INPUT'!$E$8:$CD$8,1,MATCH($D79,'ADJ DETAIL-INPUT'!$E$9:$CD$9,0))</f>
        <v>Pro Forma Misc O&amp;M Exp</v>
      </c>
      <c r="I79" s="588" cm="1">
        <f t="array" ref="I79">+SUM('Exh. BGM-3 (Detail)'!I$10:I$103*N('Exh. BGM-3 (Detail)'!$D$10:$D$103=$D79))</f>
        <v>-2804.8002000000001</v>
      </c>
      <c r="J79" s="588"/>
      <c r="K79" s="588" cm="1">
        <f t="array" ref="K79">+SUM('Exh. BGM-3 (Detail)'!K$10:K$103*N('Exh. BGM-3 (Detail)'!$D$10:$D$103=$D79))</f>
        <v>0</v>
      </c>
      <c r="L79" s="588"/>
      <c r="M79" s="588" cm="1">
        <f t="array" ref="M79">+SUM('Exh. BGM-3 (Detail)'!M$10:M$103*N('Exh. BGM-3 (Detail)'!$D$10:$D$103=$D79))</f>
        <v>3727.4083032107164</v>
      </c>
      <c r="O79" s="588"/>
      <c r="P79" s="588" cm="1">
        <f t="array" ref="P79">+SUM('Exh. BGM-3 (Detail)'!P$10:P$103*N('Exh. BGM-3 (Detail)'!$D$10:$D$103=$D79))</f>
        <v>-1023.1886993718692</v>
      </c>
      <c r="Q79" s="588"/>
      <c r="R79" s="588" cm="1">
        <f t="array" ref="R79">+SUM('Exh. BGM-3 (Detail)'!R$10:R$103*N('Exh. BGM-3 (Detail)'!$D$10:$D$103=$D79))</f>
        <v>0</v>
      </c>
      <c r="S79" s="588"/>
      <c r="T79" s="588" cm="1">
        <f t="array" ref="T79">+SUM('Exh. BGM-3 (Detail)'!T$10:T$103*N('Exh. BGM-3 (Detail)'!$D$10:$D$103=$D79))</f>
        <v>1359.7553414999325</v>
      </c>
      <c r="W79" s="588">
        <f t="shared" si="10"/>
        <v>-2367.652961710784</v>
      </c>
      <c r="X79" s="588"/>
      <c r="Y79" s="588">
        <f t="shared" si="11"/>
        <v>0</v>
      </c>
      <c r="Z79" s="591"/>
      <c r="AA79" s="588">
        <f t="shared" si="12"/>
        <v>-2367.652961710784</v>
      </c>
      <c r="AC79" s="573" t="s">
        <v>911</v>
      </c>
      <c r="AF79" s="574"/>
    </row>
    <row r="80" spans="1:32">
      <c r="A80" s="615"/>
      <c r="B80" s="571">
        <f t="shared" ca="1" si="9"/>
        <v>62</v>
      </c>
      <c r="D80" s="590">
        <v>5.0699999999999985</v>
      </c>
      <c r="F80" s="588" t="s">
        <v>970</v>
      </c>
      <c r="I80" s="588" cm="1">
        <f t="array" ref="I80">+SUM('Exh. BGM-3 (Detail)'!I$10:I$103*N('Exh. BGM-3 (Detail)'!$D$10:$D$103=$D80))</f>
        <v>-2479.0547683</v>
      </c>
      <c r="J80" s="588"/>
      <c r="K80" s="588" cm="1">
        <f t="array" ref="K80">+SUM('Exh. BGM-3 (Detail)'!K$10:K$103*N('Exh. BGM-3 (Detail)'!$D$10:$D$103=$D80))</f>
        <v>93236.1</v>
      </c>
      <c r="L80" s="588"/>
      <c r="M80" s="588" cm="1">
        <f t="array" ref="M80">+SUM('Exh. BGM-3 (Detail)'!M$10:M$103*N('Exh. BGM-3 (Detail)'!$D$10:$D$103=$D80))</f>
        <v>12005.040131697853</v>
      </c>
      <c r="O80" s="588"/>
      <c r="P80" s="588" cm="1">
        <f t="array" ref="P80">+SUM('Exh. BGM-3 (Detail)'!P$10:P$103*N('Exh. BGM-3 (Detail)'!$D$10:$D$103=$D80))</f>
        <v>-3699.4074391592694</v>
      </c>
      <c r="Q80" s="588"/>
      <c r="R80" s="588" cm="1">
        <f t="array" ref="R80">+SUM('Exh. BGM-3 (Detail)'!R$10:R$103*N('Exh. BGM-3 (Detail)'!$D$10:$D$103=$D80))</f>
        <v>84197.250480031696</v>
      </c>
      <c r="S80" s="588"/>
      <c r="T80" s="588" cm="1">
        <f t="array" ref="T80">+SUM('Exh. BGM-3 (Detail)'!T$10:T$103*N('Exh. BGM-3 (Detail)'!$D$10:$D$103=$D80))</f>
        <v>12782.365176357507</v>
      </c>
      <c r="W80" s="588">
        <f t="shared" si="10"/>
        <v>777.32504465965394</v>
      </c>
      <c r="X80" s="588"/>
      <c r="Y80" s="588">
        <f t="shared" si="11"/>
        <v>-9038.8495199683093</v>
      </c>
      <c r="Z80" s="591"/>
      <c r="AA80" s="588">
        <f t="shared" si="12"/>
        <v>777.32504465965394</v>
      </c>
      <c r="AC80" s="573" t="s">
        <v>911</v>
      </c>
      <c r="AF80" s="574"/>
    </row>
    <row r="81" spans="2:32">
      <c r="B81" s="571">
        <f t="shared" ca="1" si="9"/>
        <v>63</v>
      </c>
      <c r="D81" s="590">
        <v>5.0799999999999983</v>
      </c>
      <c r="F81" s="588" t="str" cm="1">
        <f t="array" ref="F81">+INDEX('ADJ DETAIL-INPUT'!$E$6:$CD$6&amp;" "&amp;'ADJ DETAIL-INPUT'!$E$7:$CD$7&amp;" "&amp;'ADJ DETAIL-INPUT'!$E$8:$CD$8,1,MATCH($D81,'ADJ DETAIL-INPUT'!$E$9:$CD$9,0))</f>
        <v>2026 Capital Adds O&amp;M &amp; Revenue Offsets</v>
      </c>
      <c r="I81" s="588" cm="1">
        <f t="array" ref="I81">+SUM('Exh. BGM-3 (Detail)'!I$10:I$103*N('Exh. BGM-3 (Detail)'!$D$10:$D$103=$D81))</f>
        <v>3037.0230700000002</v>
      </c>
      <c r="J81" s="588"/>
      <c r="K81" s="588" cm="1">
        <f t="array" ref="K81">+SUM('Exh. BGM-3 (Detail)'!K$10:K$103*N('Exh. BGM-3 (Detail)'!$D$10:$D$103=$D81))</f>
        <v>0</v>
      </c>
      <c r="L81" s="588"/>
      <c r="M81" s="588" cm="1">
        <f t="array" ref="M81">+SUM('Exh. BGM-3 (Detail)'!M$10:M$103*N('Exh. BGM-3 (Detail)'!$D$10:$D$103=$D81))</f>
        <v>-4036.0183260684671</v>
      </c>
      <c r="O81" s="588"/>
      <c r="P81" s="588" cm="1">
        <f t="array" ref="P81">+SUM('Exh. BGM-3 (Detail)'!P$10:P$103*N('Exh. BGM-3 (Detail)'!$D$10:$D$103=$D81))</f>
        <v>3037.0230700000002</v>
      </c>
      <c r="Q81" s="588"/>
      <c r="R81" s="588" cm="1">
        <f t="array" ref="R81">+SUM('Exh. BGM-3 (Detail)'!R$10:R$103*N('Exh. BGM-3 (Detail)'!$D$10:$D$103=$D81))</f>
        <v>0</v>
      </c>
      <c r="S81" s="588"/>
      <c r="T81" s="588" cm="1">
        <f t="array" ref="T81">+SUM('Exh. BGM-3 (Detail)'!T$10:T$103*N('Exh. BGM-3 (Detail)'!$D$10:$D$103=$D81))</f>
        <v>-4036.0183260684671</v>
      </c>
      <c r="W81" s="588">
        <f t="shared" si="10"/>
        <v>0</v>
      </c>
      <c r="X81" s="588"/>
      <c r="Y81" s="588">
        <f t="shared" si="11"/>
        <v>0</v>
      </c>
      <c r="Z81" s="591"/>
      <c r="AA81" s="588">
        <f t="shared" si="12"/>
        <v>0</v>
      </c>
      <c r="AC81" s="573"/>
      <c r="AF81" s="574"/>
    </row>
    <row r="82" spans="2:32">
      <c r="B82" s="571">
        <f t="shared" ca="1" si="9"/>
        <v>64</v>
      </c>
      <c r="D82" s="590">
        <v>5.0899999999999981</v>
      </c>
      <c r="F82" s="588" t="str" cm="1">
        <f t="array" ref="F82">+INDEX('ADJ DETAIL-INPUT'!$E$6:$CD$6&amp;" "&amp;'ADJ DETAIL-INPUT'!$E$7:$CD$7&amp;" "&amp;'ADJ DETAIL-INPUT'!$E$8:$CD$8,1,MATCH($D82,'ADJ DETAIL-INPUT'!$E$9:$CD$9,0))</f>
        <v xml:space="preserve">Pro Forma EDIT </v>
      </c>
      <c r="I82" s="588" cm="1">
        <f t="array" ref="I82">+SUM('Exh. BGM-3 (Detail)'!I$10:I$103*N('Exh. BGM-3 (Detail)'!$D$10:$D$103=$D82))</f>
        <v>-767</v>
      </c>
      <c r="J82" s="588"/>
      <c r="K82" s="588" cm="1">
        <f t="array" ref="K82">+SUM('Exh. BGM-3 (Detail)'!K$10:K$103*N('Exh. BGM-3 (Detail)'!$D$10:$D$103=$D82))</f>
        <v>0</v>
      </c>
      <c r="L82" s="588"/>
      <c r="M82" s="588" cm="1">
        <f t="array" ref="M82">+SUM('Exh. BGM-3 (Detail)'!M$10:M$103*N('Exh. BGM-3 (Detail)'!$D$10:$D$103=$D82))</f>
        <v>1019.2961939187752</v>
      </c>
      <c r="O82" s="588"/>
      <c r="P82" s="588" cm="1">
        <f t="array" ref="P82">+SUM('Exh. BGM-3 (Detail)'!P$10:P$103*N('Exh. BGM-3 (Detail)'!$D$10:$D$103=$D82))</f>
        <v>-767</v>
      </c>
      <c r="Q82" s="588"/>
      <c r="R82" s="588" cm="1">
        <f t="array" ref="R82">+SUM('Exh. BGM-3 (Detail)'!R$10:R$103*N('Exh. BGM-3 (Detail)'!$D$10:$D$103=$D82))</f>
        <v>0</v>
      </c>
      <c r="S82" s="588"/>
      <c r="T82" s="588" cm="1">
        <f t="array" ref="T82">+SUM('Exh. BGM-3 (Detail)'!T$10:T$103*N('Exh. BGM-3 (Detail)'!$D$10:$D$103=$D82))</f>
        <v>1019.2961939187752</v>
      </c>
      <c r="W82" s="588">
        <f t="shared" si="10"/>
        <v>0</v>
      </c>
      <c r="X82" s="588"/>
      <c r="Y82" s="588">
        <f t="shared" si="11"/>
        <v>0</v>
      </c>
      <c r="Z82" s="591"/>
      <c r="AA82" s="588">
        <f t="shared" si="12"/>
        <v>0</v>
      </c>
      <c r="AC82" s="573"/>
      <c r="AF82" s="574"/>
    </row>
    <row r="83" spans="2:32">
      <c r="B83" s="571">
        <f t="shared" ca="1" si="9"/>
        <v>65</v>
      </c>
      <c r="D83" s="590">
        <v>5.0999999999999979</v>
      </c>
      <c r="F83" s="588" t="str" cm="1">
        <f t="array" ref="F83">+INDEX('ADJ DETAIL-INPUT'!$E$6:$CD$6&amp;" "&amp;'ADJ DETAIL-INPUT'!$E$7:$CD$7&amp;" "&amp;'ADJ DETAIL-INPUT'!$E$8:$CD$8,1,MATCH($D83,'ADJ DETAIL-INPUT'!$E$9:$CD$9,0))</f>
        <v>PF Transportation Electrification Return (Kicker)</v>
      </c>
      <c r="I83" s="588" cm="1">
        <f t="array" ref="I83">+SUM('Exh. BGM-3 (Detail)'!I$10:I$103*N('Exh. BGM-3 (Detail)'!$D$10:$D$103=$D83))</f>
        <v>-28.44</v>
      </c>
      <c r="J83" s="588"/>
      <c r="K83" s="588" cm="1">
        <f t="array" ref="K83">+SUM('Exh. BGM-3 (Detail)'!K$10:K$103*N('Exh. BGM-3 (Detail)'!$D$10:$D$103=$D83))</f>
        <v>0</v>
      </c>
      <c r="L83" s="588"/>
      <c r="M83" s="588" cm="1">
        <f t="array" ref="M83">+SUM('Exh. BGM-3 (Detail)'!M$10:M$103*N('Exh. BGM-3 (Detail)'!$D$10:$D$103=$D83))</f>
        <v>37.795024452477143</v>
      </c>
      <c r="O83" s="588"/>
      <c r="P83" s="588" cm="1">
        <f t="array" ref="P83">+SUM('Exh. BGM-3 (Detail)'!P$10:P$103*N('Exh. BGM-3 (Detail)'!$D$10:$D$103=$D83))</f>
        <v>-28.44</v>
      </c>
      <c r="Q83" s="588"/>
      <c r="R83" s="588" cm="1">
        <f t="array" ref="R83">+SUM('Exh. BGM-3 (Detail)'!R$10:R$103*N('Exh. BGM-3 (Detail)'!$D$10:$D$103=$D83))</f>
        <v>0</v>
      </c>
      <c r="S83" s="588"/>
      <c r="T83" s="588" cm="1">
        <f t="array" ref="T83">+SUM('Exh. BGM-3 (Detail)'!T$10:T$103*N('Exh. BGM-3 (Detail)'!$D$10:$D$103=$D83))</f>
        <v>37.795024452477143</v>
      </c>
      <c r="W83" s="588">
        <f t="shared" si="10"/>
        <v>0</v>
      </c>
      <c r="X83" s="588"/>
      <c r="Y83" s="588">
        <f t="shared" si="11"/>
        <v>0</v>
      </c>
      <c r="Z83" s="591"/>
      <c r="AA83" s="588">
        <f t="shared" si="12"/>
        <v>0</v>
      </c>
      <c r="AC83" s="573"/>
      <c r="AF83" s="574"/>
    </row>
    <row r="84" spans="2:32">
      <c r="B84" s="571">
        <f t="shared" ca="1" si="9"/>
        <v>66</v>
      </c>
      <c r="D84" s="590">
        <v>5.1099999999999977</v>
      </c>
      <c r="F84" s="588" t="str" cm="1">
        <f t="array" ref="F84">+INDEX('ADJ DETAIL-INPUT'!$E$6:$CD$6&amp;" "&amp;'ADJ DETAIL-INPUT'!$E$7:$CD$7&amp;" "&amp;'ADJ DETAIL-INPUT'!$E$8:$CD$8,1,MATCH($D84,'ADJ DETAIL-INPUT'!$E$9:$CD$9,0))</f>
        <v>Pro Forma CS2 Amortization</v>
      </c>
      <c r="I84" s="588" cm="1">
        <f t="array" ref="I84">+SUM('Exh. BGM-3 (Detail)'!I$10:I$103*N('Exh. BGM-3 (Detail)'!$D$10:$D$103=$D84))</f>
        <v>-1312.19</v>
      </c>
      <c r="J84" s="588"/>
      <c r="K84" s="588" cm="1">
        <f t="array" ref="K84">+SUM('Exh. BGM-3 (Detail)'!K$10:K$103*N('Exh. BGM-3 (Detail)'!$D$10:$D$103=$D84))</f>
        <v>0</v>
      </c>
      <c r="L84" s="588"/>
      <c r="M84" s="588" cm="1">
        <f t="array" ref="M84">+SUM('Exh. BGM-3 (Detail)'!M$10:M$103*N('Exh. BGM-3 (Detail)'!$D$10:$D$103=$D84))</f>
        <v>1743.8204337656814</v>
      </c>
      <c r="O84" s="588"/>
      <c r="P84" s="588" cm="1">
        <f t="array" ref="P84">+SUM('Exh. BGM-3 (Detail)'!P$10:P$103*N('Exh. BGM-3 (Detail)'!$D$10:$D$103=$D84))</f>
        <v>-1312.19</v>
      </c>
      <c r="Q84" s="588"/>
      <c r="R84" s="588" cm="1">
        <f t="array" ref="R84">+SUM('Exh. BGM-3 (Detail)'!R$10:R$103*N('Exh. BGM-3 (Detail)'!$D$10:$D$103=$D84))</f>
        <v>0</v>
      </c>
      <c r="S84" s="588"/>
      <c r="T84" s="588" cm="1">
        <f t="array" ref="T84">+SUM('Exh. BGM-3 (Detail)'!T$10:T$103*N('Exh. BGM-3 (Detail)'!$D$10:$D$103=$D84))</f>
        <v>1743.8204337656814</v>
      </c>
      <c r="W84" s="588">
        <f t="shared" si="10"/>
        <v>0</v>
      </c>
      <c r="X84" s="588"/>
      <c r="Y84" s="588">
        <f t="shared" si="11"/>
        <v>0</v>
      </c>
      <c r="Z84" s="591"/>
      <c r="AA84" s="588">
        <f t="shared" si="12"/>
        <v>0</v>
      </c>
      <c r="AC84" s="573"/>
      <c r="AF84" s="574"/>
    </row>
    <row r="85" spans="2:32">
      <c r="B85" s="571">
        <f t="shared" ca="1" si="9"/>
        <v>67</v>
      </c>
      <c r="D85" s="590">
        <v>5.1199999999999974</v>
      </c>
      <c r="F85" s="588" t="str" cm="1">
        <f t="array" ref="F85">+INDEX('ADJ DETAIL-INPUT'!$E$6:$CD$6&amp;" "&amp;'ADJ DETAIL-INPUT'!$E$7:$CD$7&amp;" "&amp;'ADJ DETAIL-INPUT'!$E$8:$CD$8,1,MATCH($D85,'ADJ DETAIL-INPUT'!$E$9:$CD$9,0))</f>
        <v>Pro Forma PPA Interest</v>
      </c>
      <c r="I85" s="588" cm="1">
        <f t="array" ref="I85">+SUM('Exh. BGM-3 (Detail)'!I$10:I$103*N('Exh. BGM-3 (Detail)'!$D$10:$D$103=$D85))</f>
        <v>-139.04</v>
      </c>
      <c r="J85" s="588"/>
      <c r="K85" s="588" cm="1">
        <f t="array" ref="K85">+SUM('Exh. BGM-3 (Detail)'!K$10:K$103*N('Exh. BGM-3 (Detail)'!$D$10:$D$103=$D85))</f>
        <v>0</v>
      </c>
      <c r="L85" s="588"/>
      <c r="M85" s="588" cm="1">
        <f t="array" ref="M85">+SUM('Exh. BGM-3 (Detail)'!M$10:M$103*N('Exh. BGM-3 (Detail)'!$D$10:$D$103=$D85))</f>
        <v>184.77567510099934</v>
      </c>
      <c r="O85" s="588"/>
      <c r="P85" s="588" cm="1">
        <f t="array" ref="P85">+SUM('Exh. BGM-3 (Detail)'!P$10:P$103*N('Exh. BGM-3 (Detail)'!$D$10:$D$103=$D85))</f>
        <v>-139.04</v>
      </c>
      <c r="Q85" s="588"/>
      <c r="R85" s="588" cm="1">
        <f t="array" ref="R85">+SUM('Exh. BGM-3 (Detail)'!R$10:R$103*N('Exh. BGM-3 (Detail)'!$D$10:$D$103=$D85))</f>
        <v>0</v>
      </c>
      <c r="S85" s="588"/>
      <c r="T85" s="588" cm="1">
        <f t="array" ref="T85">+SUM('Exh. BGM-3 (Detail)'!T$10:T$103*N('Exh. BGM-3 (Detail)'!$D$10:$D$103=$D85))</f>
        <v>184.77567510099934</v>
      </c>
      <c r="W85" s="588">
        <f t="shared" si="10"/>
        <v>0</v>
      </c>
      <c r="X85" s="588"/>
      <c r="Y85" s="588">
        <f t="shared" si="11"/>
        <v>0</v>
      </c>
      <c r="Z85" s="591"/>
      <c r="AA85" s="588">
        <f t="shared" si="12"/>
        <v>0</v>
      </c>
      <c r="AC85" s="573" t="s">
        <v>911</v>
      </c>
      <c r="AF85" s="574"/>
    </row>
    <row r="86" spans="2:32">
      <c r="B86" s="571">
        <f t="shared" ca="1" si="9"/>
        <v>68</v>
      </c>
      <c r="D86" s="590">
        <v>5.13</v>
      </c>
      <c r="F86" s="588" t="s">
        <v>943</v>
      </c>
      <c r="I86" s="588" cm="1">
        <f t="array" ref="I86">+SUM('Exh. BGM-3 (Detail)'!I$10:I$103*N('Exh. BGM-3 (Detail)'!$D$10:$D$103=$D86))</f>
        <v>0</v>
      </c>
      <c r="J86" s="588"/>
      <c r="K86" s="588" cm="1">
        <f t="array" ref="K86">+SUM('Exh. BGM-3 (Detail)'!K$10:K$103*N('Exh. BGM-3 (Detail)'!$D$10:$D$103=$D86))</f>
        <v>0</v>
      </c>
      <c r="L86" s="588"/>
      <c r="M86" s="588" cm="1">
        <f t="array" ref="M86">+SUM('Exh. BGM-3 (Detail)'!M$10:M$103*N('Exh. BGM-3 (Detail)'!$D$10:$D$103=$D86))</f>
        <v>0</v>
      </c>
      <c r="O86" s="588"/>
      <c r="P86" s="588" cm="1">
        <f t="array" ref="P86">+SUM('Exh. BGM-3 (Detail)'!P$10:P$103*N('Exh. BGM-3 (Detail)'!$D$10:$D$103=$D86))</f>
        <v>215.34609764826891</v>
      </c>
      <c r="Q86" s="588"/>
      <c r="R86" s="588" cm="1">
        <f t="array" ref="R86">+SUM('Exh. BGM-3 (Detail)'!R$10:R$103*N('Exh. BGM-3 (Detail)'!$D$10:$D$103=$D86))</f>
        <v>0</v>
      </c>
      <c r="S86" s="588"/>
      <c r="T86" s="588" cm="1">
        <f t="array" ref="T86">+SUM('Exh. BGM-3 (Detail)'!T$10:T$103*N('Exh. BGM-3 (Detail)'!$D$10:$D$103=$D86))</f>
        <v>-286.18182230526912</v>
      </c>
      <c r="W86" s="588">
        <f t="shared" si="10"/>
        <v>-286.18182230526912</v>
      </c>
      <c r="X86" s="588"/>
      <c r="Y86" s="588">
        <f t="shared" si="11"/>
        <v>0</v>
      </c>
      <c r="Z86" s="591"/>
      <c r="AA86" s="588">
        <f t="shared" si="12"/>
        <v>-286.18182230526912</v>
      </c>
      <c r="AC86" s="573" t="s">
        <v>964</v>
      </c>
      <c r="AF86" s="574"/>
    </row>
    <row r="87" spans="2:32">
      <c r="B87" s="571">
        <f t="shared" ca="1" si="9"/>
        <v>69</v>
      </c>
      <c r="D87" s="590">
        <v>5.14</v>
      </c>
      <c r="F87" s="588" t="s">
        <v>937</v>
      </c>
      <c r="I87" s="588" cm="1">
        <f t="array" ref="I87">+SUM('Exh. BGM-3 (Detail)'!I$10:I$103*N('Exh. BGM-3 (Detail)'!$D$10:$D$103=$D87))</f>
        <v>0</v>
      </c>
      <c r="J87" s="588"/>
      <c r="K87" s="588" cm="1">
        <f t="array" ref="K87">+SUM('Exh. BGM-3 (Detail)'!K$10:K$103*N('Exh. BGM-3 (Detail)'!$D$10:$D$103=$D87))</f>
        <v>0</v>
      </c>
      <c r="L87" s="588"/>
      <c r="M87" s="588" cm="1">
        <f t="array" ref="M87">+SUM('Exh. BGM-3 (Detail)'!M$10:M$103*N('Exh. BGM-3 (Detail)'!$D$10:$D$103=$D87))</f>
        <v>0</v>
      </c>
      <c r="O87" s="588"/>
      <c r="P87" s="588" cm="1">
        <f t="array" ref="P87">+SUM('Exh. BGM-3 (Detail)'!P$10:P$103*N('Exh. BGM-3 (Detail)'!$D$10:$D$103=$D87))</f>
        <v>976.63187061548558</v>
      </c>
      <c r="Q87" s="588"/>
      <c r="R87" s="588" cm="1">
        <f t="array" ref="R87">+SUM('Exh. BGM-3 (Detail)'!R$10:R$103*N('Exh. BGM-3 (Detail)'!$D$10:$D$103=$D87))</f>
        <v>-6607.6038552</v>
      </c>
      <c r="S87" s="588"/>
      <c r="T87" s="588" cm="1">
        <f t="array" ref="T87">+SUM('Exh. BGM-3 (Detail)'!T$10:T$103*N('Exh. BGM-3 (Detail)'!$D$10:$D$103=$D87))</f>
        <v>-1915.1956485701221</v>
      </c>
      <c r="W87" s="588">
        <f t="shared" si="10"/>
        <v>-1915.1956485701221</v>
      </c>
      <c r="X87" s="588"/>
      <c r="Y87" s="588">
        <f t="shared" si="11"/>
        <v>-6607.6038552</v>
      </c>
      <c r="Z87" s="591"/>
      <c r="AA87" s="588">
        <f t="shared" si="12"/>
        <v>-1915.1956485701221</v>
      </c>
      <c r="AC87" s="573" t="s">
        <v>964</v>
      </c>
      <c r="AF87" s="574"/>
    </row>
    <row r="88" spans="2:32">
      <c r="AF88" s="574"/>
    </row>
    <row r="89" spans="2:32">
      <c r="C89" s="570"/>
      <c r="D89" s="590"/>
      <c r="E89" s="570"/>
      <c r="I89" s="612"/>
      <c r="J89" s="587"/>
      <c r="K89" s="612"/>
      <c r="L89" s="587"/>
      <c r="M89" s="612"/>
      <c r="O89" s="570"/>
      <c r="P89" s="612"/>
      <c r="Q89" s="587"/>
      <c r="R89" s="612"/>
      <c r="S89" s="587"/>
      <c r="T89" s="612"/>
      <c r="W89" s="612"/>
      <c r="X89" s="587"/>
      <c r="Y89" s="612"/>
      <c r="Z89" s="587"/>
      <c r="AA89" s="613"/>
      <c r="AC89" s="573"/>
      <c r="AF89" s="574"/>
    </row>
    <row r="90" spans="2:32" ht="13.5" thickBot="1">
      <c r="B90" s="571">
        <f ca="1">+MAX(OFFSET($B$7,0,0,ROW($B90)-ROW($B$7),1))+1</f>
        <v>70</v>
      </c>
      <c r="D90" s="590"/>
      <c r="F90" s="570" t="s">
        <v>917</v>
      </c>
      <c r="I90" s="614">
        <f>+SUBTOTAL(9,I6:I89)</f>
        <v>-51923.24272229999</v>
      </c>
      <c r="J90" s="588"/>
      <c r="K90" s="614">
        <f>+SUBTOTAL(9,K6:K89)</f>
        <v>90244.1</v>
      </c>
      <c r="L90" s="588"/>
      <c r="M90" s="614">
        <f>+SUBTOTAL(9,M6:M89)</f>
        <v>77433.822762465512</v>
      </c>
      <c r="P90" s="614">
        <f>+SUBTOTAL(9,P6:P89)</f>
        <v>-46764.551519866312</v>
      </c>
      <c r="Q90" s="588"/>
      <c r="R90" s="614">
        <f>+SUBTOTAL(9,R6:R89)</f>
        <v>74597.646624831701</v>
      </c>
      <c r="S90" s="588"/>
      <c r="T90" s="614">
        <f>+($R90*$AJ$16-$P90)/$AH$4</f>
        <v>69116.476288528575</v>
      </c>
      <c r="U90" s="572"/>
      <c r="W90" s="614">
        <f>+SUBTOTAL(9,W6:W89)</f>
        <v>-8317.3464739369228</v>
      </c>
      <c r="X90" s="588"/>
      <c r="Y90" s="614">
        <f>+SUBTOTAL(9,Y6:Y89)</f>
        <v>-15646.453375168345</v>
      </c>
      <c r="Z90" s="588"/>
      <c r="AA90" s="614">
        <f>+SUBTOTAL(9,AA6:AA89)</f>
        <v>-8317.3464739369228</v>
      </c>
      <c r="AC90" s="573"/>
      <c r="AF90" s="574"/>
    </row>
    <row r="91" spans="2:32" ht="13.5" thickTop="1">
      <c r="D91" s="590"/>
      <c r="F91" s="570"/>
      <c r="I91" s="587"/>
      <c r="J91" s="588"/>
      <c r="K91" s="587"/>
      <c r="L91" s="588"/>
      <c r="M91" s="587"/>
      <c r="P91" s="587"/>
      <c r="Q91" s="588"/>
      <c r="R91" s="587"/>
      <c r="S91" s="616"/>
      <c r="T91" s="587"/>
      <c r="W91" s="587"/>
      <c r="X91" s="588"/>
      <c r="Y91" s="587"/>
      <c r="Z91" s="588"/>
      <c r="AA91" s="587"/>
      <c r="AC91" s="573"/>
      <c r="AF91" s="574"/>
    </row>
    <row r="92" spans="2:32">
      <c r="F92" s="570"/>
      <c r="I92" s="587"/>
      <c r="K92" s="587"/>
      <c r="M92" s="587"/>
      <c r="P92" s="587"/>
      <c r="R92" s="587"/>
      <c r="T92" s="587"/>
      <c r="AF92" s="574"/>
    </row>
    <row r="93" spans="2:32">
      <c r="I93" s="582" t="s">
        <v>938</v>
      </c>
      <c r="J93" s="582"/>
      <c r="K93" s="582" t="s">
        <v>940</v>
      </c>
      <c r="L93" s="582"/>
      <c r="M93" s="582" t="s">
        <v>81</v>
      </c>
      <c r="AF93" s="574"/>
    </row>
    <row r="94" spans="2:32">
      <c r="G94" s="571"/>
      <c r="H94" s="571"/>
      <c r="I94" s="582" t="s">
        <v>968</v>
      </c>
      <c r="J94" s="582"/>
      <c r="K94" s="656" t="s">
        <v>81</v>
      </c>
      <c r="L94" s="582"/>
      <c r="M94" s="582" t="s">
        <v>939</v>
      </c>
      <c r="AF94" s="574"/>
    </row>
    <row r="95" spans="2:32">
      <c r="F95" s="570"/>
      <c r="G95" s="657" t="s">
        <v>920</v>
      </c>
      <c r="H95" s="571"/>
      <c r="I95" s="588">
        <v>77066.842148600132</v>
      </c>
      <c r="K95" s="588">
        <f>+M69</f>
        <v>59263.130004222665</v>
      </c>
      <c r="M95" s="588">
        <f>+K95-I95</f>
        <v>-17803.712144377467</v>
      </c>
      <c r="T95" s="588"/>
      <c r="AF95" s="574"/>
    </row>
    <row r="96" spans="2:32">
      <c r="F96" s="570"/>
      <c r="G96" s="657" t="s">
        <v>921</v>
      </c>
      <c r="H96" s="571"/>
      <c r="I96" s="588">
        <v>78129.676167207115</v>
      </c>
      <c r="K96" s="588">
        <f>+M90</f>
        <v>77433.822762465512</v>
      </c>
      <c r="M96" s="588">
        <f>+K96-I96</f>
        <v>-695.8534047416033</v>
      </c>
      <c r="T96" s="623"/>
      <c r="AF96" s="574"/>
    </row>
    <row r="97" spans="32:32">
      <c r="AF97" s="574"/>
    </row>
    <row r="98" spans="32:32">
      <c r="AF98" s="574"/>
    </row>
    <row r="99" spans="32:32">
      <c r="AF99" s="574"/>
    </row>
    <row r="100" spans="32:32">
      <c r="AF100" s="574"/>
    </row>
    <row r="101" spans="32:32">
      <c r="AF101" s="574"/>
    </row>
    <row r="102" spans="32:32">
      <c r="AF102" s="574"/>
    </row>
    <row r="103" spans="32:32">
      <c r="AF103" s="574"/>
    </row>
  </sheetData>
  <pageMargins left="0.25" right="0.25" top="0.75" bottom="0.75" header="0.3" footer="0.3"/>
  <pageSetup scale="75" pageOrder="overThenDown" orientation="landscape" r:id="rId1"/>
  <rowBreaks count="2" manualBreakCount="2">
    <brk id="35" max="28" man="1"/>
    <brk id="70"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B772E-1509-4253-858B-D9F835E7364A}">
  <sheetPr codeName="Sheet11">
    <tabColor rgb="FF57AAB5"/>
  </sheetPr>
  <dimension ref="A1:AL113"/>
  <sheetViews>
    <sheetView zoomScaleNormal="100" zoomScaleSheetLayoutView="100" workbookViewId="0"/>
  </sheetViews>
  <sheetFormatPr defaultColWidth="9.140625" defaultRowHeight="12.75"/>
  <cols>
    <col min="1" max="1" width="1.42578125" style="571" customWidth="1"/>
    <col min="2" max="2" width="3.28515625" style="571" customWidth="1"/>
    <col min="3" max="3" width="1.42578125" style="571" customWidth="1"/>
    <col min="4" max="4" width="4.7109375" style="571" customWidth="1"/>
    <col min="5" max="5" width="1.42578125" style="571" customWidth="1"/>
    <col min="6" max="6" width="37.140625" style="571" customWidth="1"/>
    <col min="7" max="8" width="1.42578125" style="572" customWidth="1"/>
    <col min="9" max="9" width="10" style="571" customWidth="1"/>
    <col min="10" max="10" width="1.42578125" style="571" customWidth="1"/>
    <col min="11" max="11" width="10" style="571" customWidth="1"/>
    <col min="12" max="12" width="1.42578125" style="571" customWidth="1"/>
    <col min="13" max="13" width="10" style="571" customWidth="1"/>
    <col min="14" max="14" width="1.42578125" style="572" customWidth="1"/>
    <col min="15" max="15" width="1.42578125" style="571" customWidth="1"/>
    <col min="16" max="16" width="10" style="571" customWidth="1"/>
    <col min="17" max="17" width="1.42578125" style="571" customWidth="1"/>
    <col min="18" max="18" width="10" style="571" customWidth="1"/>
    <col min="19" max="19" width="1.42578125" style="571" customWidth="1"/>
    <col min="20" max="20" width="10" style="571" customWidth="1"/>
    <col min="21" max="22" width="1.42578125" style="571" customWidth="1"/>
    <col min="23" max="23" width="10" style="572" customWidth="1"/>
    <col min="24" max="24" width="1.42578125" style="572" customWidth="1"/>
    <col min="25" max="25" width="10" style="572" customWidth="1"/>
    <col min="26" max="26" width="1.28515625" style="572" customWidth="1"/>
    <col min="27" max="27" width="10" style="572" customWidth="1"/>
    <col min="28" max="28" width="1.42578125" style="572" customWidth="1"/>
    <col min="29" max="29" width="10" style="572" customWidth="1"/>
    <col min="30" max="30" width="1.42578125" style="572" customWidth="1"/>
    <col min="31" max="31" width="10" style="572" bestFit="1" customWidth="1"/>
    <col min="32" max="32" width="17.42578125" style="572" customWidth="1"/>
    <col min="33" max="34" width="2.7109375" style="572" customWidth="1"/>
    <col min="35" max="35" width="21.140625" style="572" customWidth="1"/>
    <col min="36" max="38" width="11.85546875" style="571" customWidth="1"/>
    <col min="39" max="40" width="9.140625" style="571"/>
    <col min="41" max="41" width="11" style="571" customWidth="1"/>
    <col min="42" max="42" width="9.140625" style="571"/>
    <col min="43" max="43" width="12.28515625" style="571" bestFit="1" customWidth="1"/>
    <col min="44" max="16384" width="9.140625" style="571"/>
  </cols>
  <sheetData>
    <row r="1" spans="1:38">
      <c r="A1" s="570" t="s">
        <v>912</v>
      </c>
      <c r="B1" s="570"/>
      <c r="C1" s="570"/>
      <c r="E1" s="570"/>
      <c r="F1" s="570"/>
      <c r="I1" s="572"/>
      <c r="J1" s="570"/>
      <c r="K1" s="570"/>
      <c r="L1" s="570"/>
      <c r="M1" s="570"/>
      <c r="O1" s="570"/>
      <c r="P1" s="570"/>
      <c r="Q1" s="570"/>
      <c r="R1" s="570"/>
      <c r="S1" s="570"/>
      <c r="T1" s="570"/>
      <c r="X1" s="573"/>
      <c r="AH1" s="574"/>
      <c r="AJ1" s="572"/>
      <c r="AK1" s="572"/>
      <c r="AL1" s="572"/>
    </row>
    <row r="2" spans="1:38">
      <c r="B2" s="570"/>
      <c r="C2" s="570"/>
      <c r="D2" s="570"/>
      <c r="E2" s="570"/>
      <c r="F2" s="570"/>
      <c r="H2" s="575"/>
      <c r="I2" s="576" t="s">
        <v>919</v>
      </c>
      <c r="J2" s="577"/>
      <c r="K2" s="577"/>
      <c r="L2" s="577"/>
      <c r="M2" s="577"/>
      <c r="O2" s="570"/>
      <c r="P2" s="576" t="s">
        <v>890</v>
      </c>
      <c r="Q2" s="578"/>
      <c r="R2" s="578"/>
      <c r="S2" s="578"/>
      <c r="T2" s="578"/>
      <c r="W2" s="576" t="s">
        <v>891</v>
      </c>
      <c r="X2" s="579"/>
      <c r="Y2" s="580"/>
      <c r="Z2" s="580"/>
      <c r="AA2" s="580"/>
      <c r="AB2" s="580"/>
      <c r="AC2" s="580"/>
      <c r="AD2" s="573"/>
      <c r="AE2" s="573"/>
      <c r="AF2" s="573"/>
      <c r="AH2" s="574"/>
      <c r="AI2" s="581" t="s">
        <v>892</v>
      </c>
      <c r="AJ2" s="581"/>
      <c r="AK2" s="581"/>
      <c r="AL2" s="581"/>
    </row>
    <row r="3" spans="1:38">
      <c r="B3" s="570"/>
      <c r="C3" s="570"/>
      <c r="D3" s="570"/>
      <c r="E3" s="570"/>
      <c r="F3" s="570"/>
      <c r="I3" s="573"/>
      <c r="J3" s="573"/>
      <c r="K3" s="573"/>
      <c r="L3" s="573"/>
      <c r="M3" s="573" t="s">
        <v>893</v>
      </c>
      <c r="P3" s="573"/>
      <c r="Q3" s="573"/>
      <c r="R3" s="573"/>
      <c r="S3" s="573"/>
      <c r="T3" s="573" t="s">
        <v>893</v>
      </c>
      <c r="W3" s="573" t="s">
        <v>894</v>
      </c>
      <c r="X3" s="573"/>
      <c r="Y3" s="573"/>
      <c r="Z3" s="573"/>
      <c r="AA3" s="573"/>
      <c r="AB3" s="573"/>
      <c r="AC3" s="573" t="s">
        <v>893</v>
      </c>
      <c r="AD3" s="573"/>
      <c r="AE3" s="573"/>
      <c r="AF3" s="573"/>
      <c r="AH3" s="574"/>
      <c r="AI3" s="571"/>
    </row>
    <row r="4" spans="1:38">
      <c r="B4" s="570"/>
      <c r="C4" s="570"/>
      <c r="D4" s="582" t="s">
        <v>895</v>
      </c>
      <c r="E4" s="570"/>
      <c r="F4" s="570"/>
      <c r="I4" s="573" t="s">
        <v>896</v>
      </c>
      <c r="J4" s="573"/>
      <c r="K4" s="573"/>
      <c r="L4" s="573"/>
      <c r="M4" s="573" t="s">
        <v>897</v>
      </c>
      <c r="P4" s="573" t="s">
        <v>896</v>
      </c>
      <c r="Q4" s="573"/>
      <c r="R4" s="573"/>
      <c r="S4" s="573"/>
      <c r="T4" s="573" t="s">
        <v>897</v>
      </c>
      <c r="W4" s="573" t="s">
        <v>896</v>
      </c>
      <c r="X4" s="573"/>
      <c r="Y4" s="573" t="s">
        <v>896</v>
      </c>
      <c r="Z4" s="573"/>
      <c r="AA4" s="573"/>
      <c r="AB4" s="573"/>
      <c r="AC4" s="573" t="s">
        <v>897</v>
      </c>
      <c r="AD4" s="573"/>
      <c r="AE4" s="573" t="s">
        <v>898</v>
      </c>
      <c r="AF4" s="573"/>
      <c r="AH4" s="574"/>
      <c r="AI4" s="571" t="s">
        <v>899</v>
      </c>
      <c r="AJ4" s="583">
        <f>+'CF '!E24</f>
        <v>0.75248000000000004</v>
      </c>
    </row>
    <row r="5" spans="1:38">
      <c r="B5" s="578" t="s">
        <v>8</v>
      </c>
      <c r="C5" s="570"/>
      <c r="D5" s="584" t="s">
        <v>900</v>
      </c>
      <c r="E5" s="570"/>
      <c r="F5" s="578" t="s">
        <v>79</v>
      </c>
      <c r="I5" s="585" t="s">
        <v>901</v>
      </c>
      <c r="J5" s="573"/>
      <c r="K5" s="585" t="s">
        <v>23</v>
      </c>
      <c r="L5" s="573"/>
      <c r="M5" s="585" t="s">
        <v>902</v>
      </c>
      <c r="P5" s="585" t="s">
        <v>901</v>
      </c>
      <c r="Q5" s="573"/>
      <c r="R5" s="585" t="s">
        <v>23</v>
      </c>
      <c r="S5" s="573"/>
      <c r="T5" s="585" t="s">
        <v>902</v>
      </c>
      <c r="W5" s="585" t="s">
        <v>901</v>
      </c>
      <c r="X5" s="573"/>
      <c r="Y5" s="585" t="s">
        <v>901</v>
      </c>
      <c r="Z5" s="573"/>
      <c r="AA5" s="585" t="s">
        <v>23</v>
      </c>
      <c r="AB5" s="573"/>
      <c r="AC5" s="585" t="s">
        <v>902</v>
      </c>
      <c r="AD5" s="573"/>
      <c r="AE5" s="585" t="s">
        <v>903</v>
      </c>
      <c r="AF5" s="573"/>
      <c r="AH5" s="574"/>
      <c r="AI5" s="571" t="s">
        <v>904</v>
      </c>
      <c r="AJ5" s="586">
        <v>0.21</v>
      </c>
    </row>
    <row r="6" spans="1:38">
      <c r="AE6" s="573"/>
      <c r="AF6" s="573"/>
      <c r="AH6" s="574"/>
      <c r="AI6" s="571" t="s">
        <v>905</v>
      </c>
    </row>
    <row r="7" spans="1:38">
      <c r="B7" s="571">
        <v>1</v>
      </c>
      <c r="D7" s="571">
        <v>1</v>
      </c>
      <c r="E7" s="570"/>
      <c r="F7" s="587" t="str" cm="1">
        <f t="array" ref="F7">+INDEX('ADJ DETAIL-INPUT'!$E$6:$CD$6&amp;" "&amp;'ADJ DETAIL-INPUT'!$E$7:$CD$7&amp;" "&amp;'ADJ DETAIL-INPUT'!$E$8:$CD$8,1,MATCH($D7,'ADJ DETAIL-INPUT'!$E$9:$CD$9,0))</f>
        <v xml:space="preserve"> Results of  Operations </v>
      </c>
      <c r="I7" s="587">
        <f>+INDEX('ADJ DETAIL-INPUT'!$E$56:$CD$56,1,MATCH($D7,'ADJ DETAIL-INPUT'!$E$9:$CD$9,0))</f>
        <v>125206.70000000007</v>
      </c>
      <c r="J7" s="587"/>
      <c r="K7" s="587">
        <f>+INDEX('ADJ DETAIL-INPUT'!$E$80:$CD$80,1,MATCH($D7,'ADJ DETAIL-INPUT'!$E$9:$CD$9,0))</f>
        <v>2109184.7999999998</v>
      </c>
      <c r="L7" s="587"/>
      <c r="M7" s="587">
        <f>+($K7*$AL$16-$I7)/$AJ$4</f>
        <v>30657.281841377742</v>
      </c>
      <c r="O7" s="570"/>
      <c r="P7" s="589">
        <f>+I7</f>
        <v>125206.70000000007</v>
      </c>
      <c r="Q7" s="587"/>
      <c r="R7" s="587">
        <f>+K7</f>
        <v>2109184.7999999998</v>
      </c>
      <c r="S7" s="587"/>
      <c r="T7" s="587">
        <f>+($R7*$AL$16-$P7)/$AJ$4</f>
        <v>30657.281841377742</v>
      </c>
      <c r="AE7" s="573"/>
      <c r="AF7" s="573"/>
      <c r="AH7" s="574"/>
      <c r="AI7" s="571"/>
    </row>
    <row r="8" spans="1:38">
      <c r="D8" s="590"/>
      <c r="I8" s="588"/>
      <c r="J8" s="588"/>
      <c r="K8" s="588"/>
      <c r="L8" s="588"/>
      <c r="M8" s="588"/>
      <c r="P8" s="588"/>
      <c r="Q8" s="588"/>
      <c r="R8" s="588"/>
      <c r="S8" s="588"/>
      <c r="T8" s="588"/>
      <c r="AE8" s="573"/>
      <c r="AF8" s="573"/>
      <c r="AH8" s="574"/>
    </row>
    <row r="9" spans="1:38">
      <c r="B9" s="575" t="s">
        <v>913</v>
      </c>
      <c r="D9" s="590"/>
      <c r="I9" s="588"/>
      <c r="J9" s="588"/>
      <c r="K9" s="588"/>
      <c r="L9" s="588"/>
      <c r="M9" s="588"/>
      <c r="P9" s="588"/>
      <c r="Q9" s="588"/>
      <c r="R9" s="588"/>
      <c r="S9" s="588"/>
      <c r="T9" s="588"/>
      <c r="AE9" s="573"/>
      <c r="AF9" s="573"/>
      <c r="AH9" s="574"/>
    </row>
    <row r="10" spans="1:38">
      <c r="B10" s="571">
        <f t="shared" ref="B10:B57" ca="1" si="0">+MAX(OFFSET($B$7,0,0,ROW($B10)-ROW($B$7),1))+1</f>
        <v>2</v>
      </c>
      <c r="D10" s="590">
        <v>1.01</v>
      </c>
      <c r="F10" s="588" t="str" cm="1">
        <f t="array" ref="F10">+INDEX('ADJ DETAIL-INPUT'!$E$6:$CD$6&amp;" "&amp;'ADJ DETAIL-INPUT'!$E$7:$CD$7&amp;" "&amp;'ADJ DETAIL-INPUT'!$E$8:$CD$8,1,MATCH($D10,'ADJ DETAIL-INPUT'!$E$9:$CD$9,0))</f>
        <v>Deferred  FIT Rate Base</v>
      </c>
      <c r="I10" s="588">
        <v>15.877974000000002</v>
      </c>
      <c r="J10" s="588"/>
      <c r="K10" s="588">
        <v>2942</v>
      </c>
      <c r="L10" s="588"/>
      <c r="M10" s="588">
        <f t="shared" ref="M10:M35" si="1">+($K10*$AL$16-$I10)/$AJ$4</f>
        <v>253.75375558154369</v>
      </c>
      <c r="P10" s="588">
        <f t="shared" ref="P10:P99" si="2">+I10+Y10</f>
        <v>15.877974000000002</v>
      </c>
      <c r="Q10" s="588"/>
      <c r="R10" s="588">
        <f t="shared" ref="R10:R99" si="3">+K10+AA10</f>
        <v>2942</v>
      </c>
      <c r="S10" s="588"/>
      <c r="T10" s="588">
        <f t="shared" ref="T10:T35" si="4">+($R10*$AL$16-$P10)/$AJ$4</f>
        <v>253.75375558154369</v>
      </c>
      <c r="W10" s="588">
        <v>0</v>
      </c>
      <c r="X10" s="588"/>
      <c r="Y10" s="588">
        <f>+W10*(1-$AJ$5)</f>
        <v>0</v>
      </c>
      <c r="Z10" s="588"/>
      <c r="AA10" s="588">
        <v>0</v>
      </c>
      <c r="AB10" s="591"/>
      <c r="AC10" s="588">
        <f t="shared" ref="AC10" si="5">+T10-M10</f>
        <v>0</v>
      </c>
      <c r="AE10" s="573"/>
      <c r="AF10" s="573"/>
      <c r="AH10" s="574"/>
    </row>
    <row r="11" spans="1:38">
      <c r="B11" s="571">
        <f t="shared" ca="1" si="0"/>
        <v>3</v>
      </c>
      <c r="D11" s="590">
        <v>1.02</v>
      </c>
      <c r="F11" s="588" t="str" cm="1">
        <f t="array" ref="F11">+INDEX('ADJ DETAIL-INPUT'!$E$6:$CD$6&amp;" "&amp;'ADJ DETAIL-INPUT'!$E$7:$CD$7&amp;" "&amp;'ADJ DETAIL-INPUT'!$E$8:$CD$8,1,MATCH($D11,'ADJ DETAIL-INPUT'!$E$9:$CD$9,0))</f>
        <v>Deferred  Debits and  Credits</v>
      </c>
      <c r="I11" s="588">
        <v>0</v>
      </c>
      <c r="J11" s="588"/>
      <c r="K11" s="588">
        <v>0</v>
      </c>
      <c r="L11" s="588"/>
      <c r="M11" s="588">
        <f t="shared" si="1"/>
        <v>0</v>
      </c>
      <c r="P11" s="588">
        <f t="shared" si="2"/>
        <v>0</v>
      </c>
      <c r="Q11" s="588"/>
      <c r="R11" s="588">
        <f t="shared" si="3"/>
        <v>0</v>
      </c>
      <c r="S11" s="588"/>
      <c r="T11" s="588">
        <f t="shared" si="4"/>
        <v>0</v>
      </c>
      <c r="W11" s="588">
        <v>0</v>
      </c>
      <c r="X11" s="588"/>
      <c r="Y11" s="588">
        <f t="shared" ref="Y11:Y35" si="6">+W11*(1-$AJ$5)</f>
        <v>0</v>
      </c>
      <c r="Z11" s="588"/>
      <c r="AA11" s="588">
        <v>0</v>
      </c>
      <c r="AB11" s="591"/>
      <c r="AC11" s="588">
        <f t="shared" ref="AC11:AC35" si="7">+T11-M11</f>
        <v>0</v>
      </c>
      <c r="AE11" s="573"/>
      <c r="AF11" s="573"/>
      <c r="AH11" s="574"/>
      <c r="AI11" s="592" t="s">
        <v>907</v>
      </c>
      <c r="AJ11" s="593" t="s">
        <v>120</v>
      </c>
      <c r="AK11" s="593"/>
      <c r="AL11" s="594" t="s">
        <v>121</v>
      </c>
    </row>
    <row r="12" spans="1:38">
      <c r="B12" s="571">
        <f t="shared" ca="1" si="0"/>
        <v>4</v>
      </c>
      <c r="D12" s="595">
        <v>1.03</v>
      </c>
      <c r="F12" s="588" t="str" cm="1">
        <f t="array" ref="F12">+INDEX('ADJ DETAIL-INPUT'!$E$6:$CD$6&amp;" "&amp;'ADJ DETAIL-INPUT'!$E$7:$CD$7&amp;" "&amp;'ADJ DETAIL-INPUT'!$E$8:$CD$8,1,MATCH($D12,'ADJ DETAIL-INPUT'!$E$9:$CD$9,0))</f>
        <v xml:space="preserve">Working Capital  </v>
      </c>
      <c r="I12" s="588">
        <v>-17.480882999999999</v>
      </c>
      <c r="J12" s="588"/>
      <c r="K12" s="588">
        <v>-3239</v>
      </c>
      <c r="L12" s="588"/>
      <c r="M12" s="588">
        <f t="shared" si="1"/>
        <v>-279.37063709334467</v>
      </c>
      <c r="P12" s="588">
        <f t="shared" si="2"/>
        <v>-17.480882999999999</v>
      </c>
      <c r="Q12" s="588"/>
      <c r="R12" s="588">
        <f t="shared" si="3"/>
        <v>-3239</v>
      </c>
      <c r="S12" s="588"/>
      <c r="T12" s="588">
        <f t="shared" si="4"/>
        <v>-279.37063709334467</v>
      </c>
      <c r="W12" s="588">
        <v>0</v>
      </c>
      <c r="X12" s="588"/>
      <c r="Y12" s="588">
        <f t="shared" si="6"/>
        <v>0</v>
      </c>
      <c r="Z12" s="588"/>
      <c r="AA12" s="588">
        <v>0</v>
      </c>
      <c r="AB12" s="591"/>
      <c r="AC12" s="588">
        <f t="shared" si="7"/>
        <v>0</v>
      </c>
      <c r="AE12" s="573" t="s">
        <v>911</v>
      </c>
      <c r="AF12" s="573"/>
      <c r="AH12" s="574"/>
      <c r="AI12" s="621" t="s">
        <v>123</v>
      </c>
      <c r="AJ12" s="596" t="s">
        <v>125</v>
      </c>
      <c r="AK12" s="596" t="s">
        <v>126</v>
      </c>
      <c r="AL12" s="597" t="s">
        <v>126</v>
      </c>
    </row>
    <row r="13" spans="1:38">
      <c r="B13" s="607">
        <f t="shared" ca="1" si="0"/>
        <v>5</v>
      </c>
      <c r="C13" s="607"/>
      <c r="D13" s="655">
        <v>1.03</v>
      </c>
      <c r="E13" s="607"/>
      <c r="F13" s="609" t="s">
        <v>952</v>
      </c>
      <c r="G13" s="608"/>
      <c r="H13" s="608"/>
      <c r="I13" s="609">
        <v>0</v>
      </c>
      <c r="J13" s="609"/>
      <c r="K13" s="609">
        <v>0</v>
      </c>
      <c r="L13" s="609"/>
      <c r="M13" s="609">
        <f t="shared" si="1"/>
        <v>0</v>
      </c>
      <c r="N13" s="608"/>
      <c r="O13" s="607"/>
      <c r="P13" s="609">
        <f t="shared" ref="P13" si="8">+I13+Y13</f>
        <v>-155.50653536839383</v>
      </c>
      <c r="Q13" s="609"/>
      <c r="R13" s="609">
        <f t="shared" ref="R13" si="9">+K13+AA13</f>
        <v>-28813.514057512293</v>
      </c>
      <c r="S13" s="609"/>
      <c r="T13" s="609">
        <f t="shared" si="4"/>
        <v>-2485.2268537033815</v>
      </c>
      <c r="U13" s="607"/>
      <c r="V13" s="607"/>
      <c r="W13" s="609">
        <v>0</v>
      </c>
      <c r="X13" s="609"/>
      <c r="Y13" s="609">
        <f>+W13*(1-$AJ$5)+(AA13*$AL$13*$AJ$5)</f>
        <v>-155.50653536839383</v>
      </c>
      <c r="Z13" s="609"/>
      <c r="AA13" s="609">
        <f>+[3]ISWC!$E$115/1000</f>
        <v>-28813.514057512293</v>
      </c>
      <c r="AB13" s="611"/>
      <c r="AC13" s="609">
        <f t="shared" ref="AC13" si="10">+T13-M13</f>
        <v>-2485.2268537033815</v>
      </c>
      <c r="AE13" s="610" t="s">
        <v>964</v>
      </c>
      <c r="AF13" s="573"/>
      <c r="AH13" s="574"/>
      <c r="AI13" s="598" t="s">
        <v>908</v>
      </c>
      <c r="AJ13" s="599">
        <f>+AJ21</f>
        <v>0.51500000000000001</v>
      </c>
      <c r="AK13" s="599">
        <f>+AK21</f>
        <v>4.99E-2</v>
      </c>
      <c r="AL13" s="600">
        <f>+ROUND(AJ13*AK13,4)</f>
        <v>2.5700000000000001E-2</v>
      </c>
    </row>
    <row r="14" spans="1:38">
      <c r="B14" s="571">
        <f t="shared" ca="1" si="0"/>
        <v>6</v>
      </c>
      <c r="D14" s="590">
        <v>1.04</v>
      </c>
      <c r="F14" s="588" t="str" cm="1">
        <f t="array" ref="F14">+INDEX('ADJ DETAIL-INPUT'!$E$6:$CD$6&amp;" "&amp;'ADJ DETAIL-INPUT'!$E$7:$CD$7&amp;" "&amp;'ADJ DETAIL-INPUT'!$E$8:$CD$8,1,MATCH($D14,'ADJ DETAIL-INPUT'!$E$9:$CD$9,0))</f>
        <v xml:space="preserve">Remove Colstrip  </v>
      </c>
      <c r="I14" s="588">
        <v>-1683.4565659999998</v>
      </c>
      <c r="J14" s="588"/>
      <c r="K14" s="588">
        <v>-24878</v>
      </c>
      <c r="L14" s="588"/>
      <c r="M14" s="588">
        <f t="shared" si="1"/>
        <v>-87.001427280459666</v>
      </c>
      <c r="P14" s="588">
        <f t="shared" si="2"/>
        <v>-1683.4565659999998</v>
      </c>
      <c r="Q14" s="588"/>
      <c r="R14" s="588">
        <f t="shared" si="3"/>
        <v>-24878</v>
      </c>
      <c r="S14" s="588"/>
      <c r="T14" s="588">
        <f t="shared" si="4"/>
        <v>-87.001427280459666</v>
      </c>
      <c r="W14" s="588">
        <v>0</v>
      </c>
      <c r="X14" s="588"/>
      <c r="Y14" s="588">
        <f t="shared" si="6"/>
        <v>0</v>
      </c>
      <c r="Z14" s="588"/>
      <c r="AA14" s="588">
        <v>0</v>
      </c>
      <c r="AB14" s="591"/>
      <c r="AC14" s="588">
        <f t="shared" si="7"/>
        <v>0</v>
      </c>
      <c r="AE14" s="573"/>
      <c r="AF14" s="573"/>
      <c r="AH14" s="574"/>
      <c r="AI14" s="598" t="s">
        <v>909</v>
      </c>
      <c r="AJ14" s="599">
        <f>+AJ22</f>
        <v>0</v>
      </c>
      <c r="AK14" s="599">
        <f>+AK22</f>
        <v>0</v>
      </c>
      <c r="AL14" s="600">
        <f>+AJ14*AK14</f>
        <v>0</v>
      </c>
    </row>
    <row r="15" spans="1:38">
      <c r="B15" s="571">
        <f t="shared" ca="1" si="0"/>
        <v>7</v>
      </c>
      <c r="D15" s="590">
        <v>2.0099999999999998</v>
      </c>
      <c r="F15" s="588" t="str" cm="1">
        <f t="array" ref="F15">+INDEX('ADJ DETAIL-INPUT'!$E$6:$CD$6&amp;" "&amp;'ADJ DETAIL-INPUT'!$E$7:$CD$7&amp;" "&amp;'ADJ DETAIL-INPUT'!$E$8:$CD$8,1,MATCH($D15,'ADJ DETAIL-INPUT'!$E$9:$CD$9,0))</f>
        <v>Eliminate B &amp; O Taxes</v>
      </c>
      <c r="I15" s="588">
        <v>50.56</v>
      </c>
      <c r="J15" s="588"/>
      <c r="K15" s="588">
        <v>0</v>
      </c>
      <c r="L15" s="588"/>
      <c r="M15" s="588">
        <f t="shared" si="1"/>
        <v>-67.191154582181582</v>
      </c>
      <c r="P15" s="588">
        <f t="shared" si="2"/>
        <v>50.56</v>
      </c>
      <c r="Q15" s="588"/>
      <c r="R15" s="588">
        <f t="shared" si="3"/>
        <v>0</v>
      </c>
      <c r="S15" s="588"/>
      <c r="T15" s="588">
        <f t="shared" si="4"/>
        <v>-67.191154582181582</v>
      </c>
      <c r="W15" s="588">
        <v>0</v>
      </c>
      <c r="X15" s="588"/>
      <c r="Y15" s="588">
        <f t="shared" si="6"/>
        <v>0</v>
      </c>
      <c r="Z15" s="588"/>
      <c r="AA15" s="588">
        <v>0</v>
      </c>
      <c r="AB15" s="591"/>
      <c r="AC15" s="588">
        <f t="shared" si="7"/>
        <v>0</v>
      </c>
      <c r="AE15" s="573"/>
      <c r="AF15" s="573"/>
      <c r="AH15" s="574"/>
      <c r="AI15" s="598" t="s">
        <v>11</v>
      </c>
      <c r="AJ15" s="601">
        <f>1-SUM(AJ11:AJ14)</f>
        <v>0.48499999999999999</v>
      </c>
      <c r="AK15" s="599">
        <v>9.1999999999999998E-2</v>
      </c>
      <c r="AL15" s="600">
        <f>+ROUND(AJ15*AK15,4)</f>
        <v>4.4600000000000001E-2</v>
      </c>
    </row>
    <row r="16" spans="1:38">
      <c r="B16" s="571">
        <f t="shared" ca="1" si="0"/>
        <v>8</v>
      </c>
      <c r="D16" s="590">
        <v>2.0199999999999996</v>
      </c>
      <c r="F16" s="588" t="str" cm="1">
        <f t="array" ref="F16">+INDEX('ADJ DETAIL-INPUT'!$E$6:$CD$6&amp;" "&amp;'ADJ DETAIL-INPUT'!$E$7:$CD$7&amp;" "&amp;'ADJ DETAIL-INPUT'!$E$8:$CD$8,1,MATCH($D16,'ADJ DETAIL-INPUT'!$E$9:$CD$9,0))</f>
        <v>Restate Property Tax</v>
      </c>
      <c r="I16" s="588">
        <v>-1072.82</v>
      </c>
      <c r="J16" s="588"/>
      <c r="K16" s="588">
        <v>0</v>
      </c>
      <c r="L16" s="588"/>
      <c r="M16" s="588">
        <f t="shared" si="1"/>
        <v>1425.7123112906654</v>
      </c>
      <c r="P16" s="588">
        <f t="shared" si="2"/>
        <v>-1072.82</v>
      </c>
      <c r="Q16" s="588"/>
      <c r="R16" s="588">
        <f t="shared" si="3"/>
        <v>0</v>
      </c>
      <c r="S16" s="588"/>
      <c r="T16" s="588">
        <f t="shared" si="4"/>
        <v>1425.7123112906654</v>
      </c>
      <c r="W16" s="588">
        <v>0</v>
      </c>
      <c r="X16" s="588"/>
      <c r="Y16" s="588">
        <f t="shared" si="6"/>
        <v>0</v>
      </c>
      <c r="Z16" s="588"/>
      <c r="AA16" s="588">
        <v>0</v>
      </c>
      <c r="AB16" s="591"/>
      <c r="AC16" s="588">
        <f t="shared" si="7"/>
        <v>0</v>
      </c>
      <c r="AE16" s="573"/>
      <c r="AF16" s="573"/>
      <c r="AH16" s="574"/>
      <c r="AI16" s="602" t="s">
        <v>131</v>
      </c>
      <c r="AJ16" s="601">
        <v>1</v>
      </c>
      <c r="AK16" s="603"/>
      <c r="AL16" s="604">
        <f>+SUM(AL13:AL15)</f>
        <v>7.0300000000000001E-2</v>
      </c>
    </row>
    <row r="17" spans="2:38">
      <c r="B17" s="571">
        <f t="shared" ca="1" si="0"/>
        <v>9</v>
      </c>
      <c r="D17" s="590">
        <v>2.0299999999999994</v>
      </c>
      <c r="F17" s="588" t="str" cm="1">
        <f t="array" ref="F17">+INDEX('ADJ DETAIL-INPUT'!$E$6:$CD$6&amp;" "&amp;'ADJ DETAIL-INPUT'!$E$7:$CD$7&amp;" "&amp;'ADJ DETAIL-INPUT'!$E$8:$CD$8,1,MATCH($D17,'ADJ DETAIL-INPUT'!$E$9:$CD$9,0))</f>
        <v xml:space="preserve">Uncollectible Expense  </v>
      </c>
      <c r="I17" s="588">
        <v>-720.48</v>
      </c>
      <c r="J17" s="588"/>
      <c r="K17" s="588">
        <v>0</v>
      </c>
      <c r="L17" s="588"/>
      <c r="M17" s="588">
        <f t="shared" si="1"/>
        <v>957.47395279608759</v>
      </c>
      <c r="P17" s="588">
        <f t="shared" si="2"/>
        <v>-720.48</v>
      </c>
      <c r="Q17" s="588"/>
      <c r="R17" s="588">
        <f t="shared" si="3"/>
        <v>0</v>
      </c>
      <c r="S17" s="588"/>
      <c r="T17" s="588">
        <f t="shared" si="4"/>
        <v>957.47395279608759</v>
      </c>
      <c r="W17" s="588">
        <v>0</v>
      </c>
      <c r="X17" s="588"/>
      <c r="Y17" s="588">
        <f t="shared" si="6"/>
        <v>0</v>
      </c>
      <c r="Z17" s="588"/>
      <c r="AA17" s="588">
        <v>0</v>
      </c>
      <c r="AB17" s="591"/>
      <c r="AC17" s="588">
        <f t="shared" si="7"/>
        <v>0</v>
      </c>
      <c r="AE17" s="573"/>
      <c r="AF17" s="573"/>
      <c r="AH17" s="574"/>
      <c r="AI17" s="571"/>
    </row>
    <row r="18" spans="2:38">
      <c r="B18" s="571">
        <f t="shared" ca="1" si="0"/>
        <v>10</v>
      </c>
      <c r="D18" s="590">
        <v>2.0399999999999991</v>
      </c>
      <c r="F18" s="588" t="str" cm="1">
        <f t="array" ref="F18">+INDEX('ADJ DETAIL-INPUT'!$E$6:$CD$6&amp;" "&amp;'ADJ DETAIL-INPUT'!$E$7:$CD$7&amp;" "&amp;'ADJ DETAIL-INPUT'!$E$8:$CD$8,1,MATCH($D18,'ADJ DETAIL-INPUT'!$E$9:$CD$9,0))</f>
        <v xml:space="preserve">Regulatory Expense  </v>
      </c>
      <c r="I18" s="588">
        <v>-658.86</v>
      </c>
      <c r="J18" s="588"/>
      <c r="K18" s="588">
        <v>0</v>
      </c>
      <c r="L18" s="588"/>
      <c r="M18" s="588">
        <f t="shared" si="1"/>
        <v>875.58473314905382</v>
      </c>
      <c r="P18" s="588">
        <f t="shared" si="2"/>
        <v>-658.86</v>
      </c>
      <c r="Q18" s="588"/>
      <c r="R18" s="588">
        <f t="shared" si="3"/>
        <v>0</v>
      </c>
      <c r="S18" s="588"/>
      <c r="T18" s="588">
        <f t="shared" si="4"/>
        <v>875.58473314905382</v>
      </c>
      <c r="W18" s="588">
        <v>0</v>
      </c>
      <c r="X18" s="588"/>
      <c r="Y18" s="588">
        <f t="shared" si="6"/>
        <v>0</v>
      </c>
      <c r="Z18" s="588"/>
      <c r="AA18" s="588">
        <v>0</v>
      </c>
      <c r="AB18" s="591"/>
      <c r="AC18" s="588">
        <f t="shared" si="7"/>
        <v>0</v>
      </c>
      <c r="AE18" s="573"/>
      <c r="AF18" s="573"/>
      <c r="AH18" s="574"/>
      <c r="AI18" s="571"/>
    </row>
    <row r="19" spans="2:38">
      <c r="B19" s="571">
        <f t="shared" ca="1" si="0"/>
        <v>11</v>
      </c>
      <c r="D19" s="595">
        <v>2.0499999999999989</v>
      </c>
      <c r="F19" s="588" t="str" cm="1">
        <f t="array" ref="F19">+INDEX('ADJ DETAIL-INPUT'!$E$6:$CD$6&amp;" "&amp;'ADJ DETAIL-INPUT'!$E$7:$CD$7&amp;" "&amp;'ADJ DETAIL-INPUT'!$E$8:$CD$8,1,MATCH($D19,'ADJ DETAIL-INPUT'!$E$9:$CD$9,0))</f>
        <v>Injuries and  Damages</v>
      </c>
      <c r="I19" s="588">
        <v>248.85000000000002</v>
      </c>
      <c r="J19" s="588"/>
      <c r="K19" s="588">
        <v>0</v>
      </c>
      <c r="L19" s="588"/>
      <c r="M19" s="588">
        <f t="shared" si="1"/>
        <v>-330.70646395917498</v>
      </c>
      <c r="P19" s="588">
        <f t="shared" si="2"/>
        <v>248.85000000000002</v>
      </c>
      <c r="Q19" s="588"/>
      <c r="R19" s="588">
        <f t="shared" si="3"/>
        <v>0</v>
      </c>
      <c r="S19" s="588"/>
      <c r="T19" s="588">
        <f t="shared" si="4"/>
        <v>-330.70646395917498</v>
      </c>
      <c r="W19" s="588">
        <v>0</v>
      </c>
      <c r="X19" s="588"/>
      <c r="Y19" s="588">
        <f t="shared" si="6"/>
        <v>0</v>
      </c>
      <c r="Z19" s="588"/>
      <c r="AA19" s="588">
        <v>0</v>
      </c>
      <c r="AB19" s="591"/>
      <c r="AC19" s="588">
        <f t="shared" si="7"/>
        <v>0</v>
      </c>
      <c r="AE19" s="573"/>
      <c r="AF19" s="573"/>
      <c r="AH19" s="574"/>
      <c r="AI19" s="592" t="s">
        <v>910</v>
      </c>
      <c r="AJ19" s="593" t="s">
        <v>120</v>
      </c>
      <c r="AK19" s="593"/>
      <c r="AL19" s="594" t="s">
        <v>121</v>
      </c>
    </row>
    <row r="20" spans="2:38">
      <c r="B20" s="571">
        <f t="shared" ca="1" si="0"/>
        <v>12</v>
      </c>
      <c r="D20" s="590">
        <v>2.0599999999999987</v>
      </c>
      <c r="F20" s="588" t="str" cm="1">
        <f t="array" ref="F20">+INDEX('ADJ DETAIL-INPUT'!$E$6:$CD$6&amp;" "&amp;'ADJ DETAIL-INPUT'!$E$7:$CD$7&amp;" "&amp;'ADJ DETAIL-INPUT'!$E$8:$CD$8,1,MATCH($D20,'ADJ DETAIL-INPUT'!$E$9:$CD$9,0))</f>
        <v>FIT/DFIT/ ITC Expense</v>
      </c>
      <c r="I20" s="588">
        <v>209</v>
      </c>
      <c r="J20" s="588"/>
      <c r="K20" s="588">
        <v>0</v>
      </c>
      <c r="L20" s="588"/>
      <c r="M20" s="588">
        <f t="shared" si="1"/>
        <v>-277.74824580055281</v>
      </c>
      <c r="P20" s="588">
        <f t="shared" si="2"/>
        <v>209</v>
      </c>
      <c r="Q20" s="588"/>
      <c r="R20" s="588">
        <f t="shared" si="3"/>
        <v>0</v>
      </c>
      <c r="S20" s="588"/>
      <c r="T20" s="588">
        <f t="shared" si="4"/>
        <v>-277.74824580055281</v>
      </c>
      <c r="W20" s="588">
        <v>0</v>
      </c>
      <c r="X20" s="588"/>
      <c r="Y20" s="588">
        <f t="shared" si="6"/>
        <v>0</v>
      </c>
      <c r="Z20" s="588"/>
      <c r="AA20" s="588">
        <v>0</v>
      </c>
      <c r="AB20" s="591"/>
      <c r="AC20" s="588">
        <f t="shared" si="7"/>
        <v>0</v>
      </c>
      <c r="AE20" s="573" t="s">
        <v>911</v>
      </c>
      <c r="AF20" s="573"/>
      <c r="AH20" s="574"/>
      <c r="AI20" s="621" t="s">
        <v>123</v>
      </c>
      <c r="AJ20" s="596" t="s">
        <v>125</v>
      </c>
      <c r="AK20" s="596" t="s">
        <v>126</v>
      </c>
      <c r="AL20" s="597" t="s">
        <v>126</v>
      </c>
    </row>
    <row r="21" spans="2:38">
      <c r="B21" s="571">
        <f t="shared" ca="1" si="0"/>
        <v>13</v>
      </c>
      <c r="D21" s="654">
        <v>2.0599999999999987</v>
      </c>
      <c r="E21" s="607"/>
      <c r="F21" s="609" t="s">
        <v>931</v>
      </c>
      <c r="G21" s="608"/>
      <c r="H21" s="608"/>
      <c r="I21" s="609">
        <v>0</v>
      </c>
      <c r="J21" s="609"/>
      <c r="K21" s="609">
        <v>0</v>
      </c>
      <c r="L21" s="609"/>
      <c r="M21" s="609">
        <f t="shared" si="1"/>
        <v>0</v>
      </c>
      <c r="N21" s="608"/>
      <c r="O21" s="607"/>
      <c r="P21" s="609">
        <f t="shared" ref="P21" si="11">+I21+Y21</f>
        <v>4385.5226199999997</v>
      </c>
      <c r="Q21" s="609"/>
      <c r="R21" s="609">
        <f t="shared" ref="R21" si="12">+K21+AA21</f>
        <v>0</v>
      </c>
      <c r="S21" s="609"/>
      <c r="T21" s="609">
        <f t="shared" si="4"/>
        <v>-5828.0919359982981</v>
      </c>
      <c r="U21" s="607"/>
      <c r="V21" s="607"/>
      <c r="W21" s="609">
        <f>+Y21/(1-AJ5)</f>
        <v>5551.294455696202</v>
      </c>
      <c r="X21" s="609"/>
      <c r="Y21" s="664">
        <f>-SUM('[2]Monthly ADJ (Electric)'!$D$57:$D$68)/1000</f>
        <v>4385.5226199999997</v>
      </c>
      <c r="Z21" s="609"/>
      <c r="AA21" s="609">
        <v>0</v>
      </c>
      <c r="AB21" s="611"/>
      <c r="AC21" s="609">
        <f t="shared" ref="AC21" si="13">+T21-M21</f>
        <v>-5828.0919359982981</v>
      </c>
      <c r="AE21" s="610" t="s">
        <v>964</v>
      </c>
      <c r="AF21" s="573"/>
      <c r="AH21" s="574"/>
      <c r="AI21" s="598" t="s">
        <v>908</v>
      </c>
      <c r="AJ21" s="599">
        <f>+'RR Summary'!$K$12</f>
        <v>0.51500000000000001</v>
      </c>
      <c r="AK21" s="599">
        <f>+'RR Summary'!L12</f>
        <v>4.99E-2</v>
      </c>
      <c r="AL21" s="600">
        <f>+ROUND(AJ21*AK21,4)</f>
        <v>2.5700000000000001E-2</v>
      </c>
    </row>
    <row r="22" spans="2:38">
      <c r="B22" s="571">
        <f t="shared" ca="1" si="0"/>
        <v>14</v>
      </c>
      <c r="D22" s="590">
        <v>2.0699999999999985</v>
      </c>
      <c r="F22" s="588" t="str" cm="1">
        <f t="array" ref="F22">+INDEX('ADJ DETAIL-INPUT'!$E$6:$CD$6&amp;" "&amp;'ADJ DETAIL-INPUT'!$E$7:$CD$7&amp;" "&amp;'ADJ DETAIL-INPUT'!$E$8:$CD$8,1,MATCH($D22,'ADJ DETAIL-INPUT'!$E$9:$CD$9,0))</f>
        <v>Office Space Charges to Non-Utility</v>
      </c>
      <c r="I22" s="588">
        <v>26.07</v>
      </c>
      <c r="J22" s="588"/>
      <c r="K22" s="588">
        <v>0</v>
      </c>
      <c r="L22" s="588"/>
      <c r="M22" s="588">
        <f t="shared" si="1"/>
        <v>-34.645439081437381</v>
      </c>
      <c r="P22" s="588">
        <f t="shared" si="2"/>
        <v>26.07</v>
      </c>
      <c r="Q22" s="588"/>
      <c r="R22" s="588">
        <f t="shared" si="3"/>
        <v>0</v>
      </c>
      <c r="S22" s="588"/>
      <c r="T22" s="588">
        <f t="shared" si="4"/>
        <v>-34.645439081437381</v>
      </c>
      <c r="W22" s="588">
        <v>0</v>
      </c>
      <c r="X22" s="588"/>
      <c r="Y22" s="588">
        <f t="shared" si="6"/>
        <v>0</v>
      </c>
      <c r="Z22" s="588"/>
      <c r="AA22" s="588">
        <v>0</v>
      </c>
      <c r="AB22" s="591"/>
      <c r="AC22" s="588">
        <f t="shared" si="7"/>
        <v>0</v>
      </c>
      <c r="AE22" s="573"/>
      <c r="AF22" s="573"/>
      <c r="AH22" s="574"/>
      <c r="AI22" s="598" t="s">
        <v>909</v>
      </c>
      <c r="AJ22" s="599">
        <v>0</v>
      </c>
      <c r="AK22" s="599">
        <v>0</v>
      </c>
      <c r="AL22" s="600">
        <f>+AJ22*AK22</f>
        <v>0</v>
      </c>
    </row>
    <row r="23" spans="2:38">
      <c r="B23" s="571">
        <f t="shared" ca="1" si="0"/>
        <v>15</v>
      </c>
      <c r="D23" s="590">
        <v>2.0799999999999983</v>
      </c>
      <c r="F23" s="588" t="str" cm="1">
        <f t="array" ref="F23">+INDEX('ADJ DETAIL-INPUT'!$E$6:$CD$6&amp;" "&amp;'ADJ DETAIL-INPUT'!$E$7:$CD$7&amp;" "&amp;'ADJ DETAIL-INPUT'!$E$8:$CD$8,1,MATCH($D23,'ADJ DETAIL-INPUT'!$E$9:$CD$9,0))</f>
        <v>Restate Excise Taxes</v>
      </c>
      <c r="I23" s="588">
        <v>45.82</v>
      </c>
      <c r="J23" s="588"/>
      <c r="K23" s="588">
        <v>0</v>
      </c>
      <c r="L23" s="588"/>
      <c r="M23" s="588">
        <f t="shared" si="1"/>
        <v>-60.891983840102057</v>
      </c>
      <c r="P23" s="588">
        <f t="shared" si="2"/>
        <v>45.82</v>
      </c>
      <c r="Q23" s="588"/>
      <c r="R23" s="588">
        <f t="shared" si="3"/>
        <v>0</v>
      </c>
      <c r="S23" s="588"/>
      <c r="T23" s="588">
        <f t="shared" si="4"/>
        <v>-60.891983840102057</v>
      </c>
      <c r="W23" s="588">
        <v>0</v>
      </c>
      <c r="X23" s="588"/>
      <c r="Y23" s="588">
        <f t="shared" si="6"/>
        <v>0</v>
      </c>
      <c r="Z23" s="588"/>
      <c r="AA23" s="588">
        <v>0</v>
      </c>
      <c r="AB23" s="591"/>
      <c r="AC23" s="588">
        <f t="shared" si="7"/>
        <v>0</v>
      </c>
      <c r="AE23" s="573"/>
      <c r="AF23" s="573"/>
      <c r="AH23" s="574"/>
      <c r="AI23" s="598" t="s">
        <v>11</v>
      </c>
      <c r="AJ23" s="601">
        <f>1-SUM(AJ19:AJ22)</f>
        <v>0.48499999999999999</v>
      </c>
      <c r="AK23" s="599">
        <v>0.104</v>
      </c>
      <c r="AL23" s="600">
        <f>+ROUND(AJ23*AK23,4)</f>
        <v>5.04E-2</v>
      </c>
    </row>
    <row r="24" spans="2:38">
      <c r="B24" s="571">
        <f t="shared" ca="1" si="0"/>
        <v>16</v>
      </c>
      <c r="D24" s="590">
        <v>2.0899999999999981</v>
      </c>
      <c r="F24" s="588" t="str" cm="1">
        <f t="array" ref="F24">+INDEX('ADJ DETAIL-INPUT'!$E$6:$CD$6&amp;" "&amp;'ADJ DETAIL-INPUT'!$E$7:$CD$7&amp;" "&amp;'ADJ DETAIL-INPUT'!$E$8:$CD$8,1,MATCH($D24,'ADJ DETAIL-INPUT'!$E$9:$CD$9,0))</f>
        <v>Net Gains &amp; Losses</v>
      </c>
      <c r="I24" s="588">
        <v>53.72</v>
      </c>
      <c r="J24" s="588"/>
      <c r="K24" s="588">
        <v>0</v>
      </c>
      <c r="L24" s="588"/>
      <c r="M24" s="588">
        <f t="shared" si="1"/>
        <v>-71.390601743567927</v>
      </c>
      <c r="P24" s="588">
        <f t="shared" si="2"/>
        <v>53.72</v>
      </c>
      <c r="Q24" s="588"/>
      <c r="R24" s="588">
        <f t="shared" si="3"/>
        <v>0</v>
      </c>
      <c r="S24" s="588"/>
      <c r="T24" s="588">
        <f t="shared" si="4"/>
        <v>-71.390601743567927</v>
      </c>
      <c r="W24" s="588">
        <v>0</v>
      </c>
      <c r="X24" s="588"/>
      <c r="Y24" s="588">
        <f t="shared" si="6"/>
        <v>0</v>
      </c>
      <c r="Z24" s="588"/>
      <c r="AA24" s="588">
        <v>0</v>
      </c>
      <c r="AB24" s="591"/>
      <c r="AC24" s="588">
        <f t="shared" si="7"/>
        <v>0</v>
      </c>
      <c r="AE24" s="573"/>
      <c r="AF24" s="573"/>
      <c r="AH24" s="574"/>
      <c r="AI24" s="602" t="s">
        <v>131</v>
      </c>
      <c r="AJ24" s="601">
        <v>1</v>
      </c>
      <c r="AK24" s="603"/>
      <c r="AL24" s="604">
        <f>+SUM(AL21:AL23)</f>
        <v>7.6100000000000001E-2</v>
      </c>
    </row>
    <row r="25" spans="2:38">
      <c r="B25" s="571">
        <f t="shared" ca="1" si="0"/>
        <v>17</v>
      </c>
      <c r="D25" s="590">
        <v>2.0999999999999979</v>
      </c>
      <c r="F25" s="588" t="str" cm="1">
        <f t="array" ref="F25">+INDEX('ADJ DETAIL-INPUT'!$E$6:$CD$6&amp;" "&amp;'ADJ DETAIL-INPUT'!$E$7:$CD$7&amp;" "&amp;'ADJ DETAIL-INPUT'!$E$8:$CD$8,1,MATCH($D25,'ADJ DETAIL-INPUT'!$E$9:$CD$9,0))</f>
        <v xml:space="preserve">Weather  Normalization  </v>
      </c>
      <c r="I25" s="588">
        <v>-1101.26</v>
      </c>
      <c r="J25" s="588"/>
      <c r="K25" s="588">
        <v>0</v>
      </c>
      <c r="L25" s="588"/>
      <c r="M25" s="588">
        <f t="shared" si="1"/>
        <v>1463.5073357431427</v>
      </c>
      <c r="P25" s="588">
        <f t="shared" si="2"/>
        <v>-1101.26</v>
      </c>
      <c r="Q25" s="588"/>
      <c r="R25" s="588">
        <f t="shared" si="3"/>
        <v>0</v>
      </c>
      <c r="S25" s="588"/>
      <c r="T25" s="588">
        <f t="shared" si="4"/>
        <v>1463.5073357431427</v>
      </c>
      <c r="W25" s="588">
        <v>0</v>
      </c>
      <c r="X25" s="588"/>
      <c r="Y25" s="588">
        <f t="shared" si="6"/>
        <v>0</v>
      </c>
      <c r="Z25" s="588"/>
      <c r="AA25" s="588">
        <v>0</v>
      </c>
      <c r="AB25" s="591"/>
      <c r="AC25" s="588">
        <f t="shared" si="7"/>
        <v>0</v>
      </c>
      <c r="AE25" s="573"/>
      <c r="AF25" s="573"/>
      <c r="AH25" s="574"/>
    </row>
    <row r="26" spans="2:38">
      <c r="B26" s="571">
        <f t="shared" ca="1" si="0"/>
        <v>18</v>
      </c>
      <c r="D26" s="590">
        <v>2.1099999999999977</v>
      </c>
      <c r="F26" s="588" t="str" cm="1">
        <f t="array" ref="F26">+INDEX('ADJ DETAIL-INPUT'!$E$6:$CD$6&amp;" "&amp;'ADJ DETAIL-INPUT'!$E$7:$CD$7&amp;" "&amp;'ADJ DETAIL-INPUT'!$E$8:$CD$8,1,MATCH($D26,'ADJ DETAIL-INPUT'!$E$9:$CD$9,0))</f>
        <v>Eliminate Adder Schedules</v>
      </c>
      <c r="I26" s="588">
        <v>2.3699999999989814</v>
      </c>
      <c r="J26" s="588"/>
      <c r="K26" s="588">
        <v>0</v>
      </c>
      <c r="L26" s="588"/>
      <c r="M26" s="588">
        <f t="shared" si="1"/>
        <v>-3.1495853710384081</v>
      </c>
      <c r="P26" s="588">
        <f t="shared" si="2"/>
        <v>2.3699999999989814</v>
      </c>
      <c r="Q26" s="588"/>
      <c r="R26" s="588">
        <f t="shared" si="3"/>
        <v>0</v>
      </c>
      <c r="S26" s="588"/>
      <c r="T26" s="588">
        <f t="shared" si="4"/>
        <v>-3.1495853710384081</v>
      </c>
      <c r="W26" s="588">
        <v>0</v>
      </c>
      <c r="X26" s="588"/>
      <c r="Y26" s="588">
        <f t="shared" si="6"/>
        <v>0</v>
      </c>
      <c r="Z26" s="588"/>
      <c r="AA26" s="588">
        <v>0</v>
      </c>
      <c r="AB26" s="591"/>
      <c r="AC26" s="588">
        <f t="shared" si="7"/>
        <v>0</v>
      </c>
      <c r="AE26" s="573"/>
      <c r="AF26" s="573"/>
      <c r="AH26" s="574"/>
      <c r="AI26" s="571"/>
    </row>
    <row r="27" spans="2:38" ht="13.5">
      <c r="B27" s="571">
        <f t="shared" ca="1" si="0"/>
        <v>19</v>
      </c>
      <c r="D27" s="590">
        <v>2.1199999999999974</v>
      </c>
      <c r="F27" s="588" t="str" cm="1">
        <f t="array" ref="F27">+INDEX('ADJ DETAIL-INPUT'!$E$6:$CD$6&amp;" "&amp;'ADJ DETAIL-INPUT'!$E$7:$CD$7&amp;" "&amp;'ADJ DETAIL-INPUT'!$E$8:$CD$8,1,MATCH($D27,'ADJ DETAIL-INPUT'!$E$9:$CD$9,0))</f>
        <v>Misc. Restating Non-Util / Non- Recurring Expenses</v>
      </c>
      <c r="I27" s="588">
        <v>1024.6300000000001</v>
      </c>
      <c r="J27" s="588"/>
      <c r="K27" s="588">
        <v>0</v>
      </c>
      <c r="L27" s="588"/>
      <c r="M27" s="588">
        <f t="shared" si="1"/>
        <v>-1361.6707420795237</v>
      </c>
      <c r="P27" s="588">
        <f t="shared" si="2"/>
        <v>1024.6300000000001</v>
      </c>
      <c r="Q27" s="588"/>
      <c r="R27" s="588">
        <f t="shared" si="3"/>
        <v>0</v>
      </c>
      <c r="S27" s="588"/>
      <c r="T27" s="588">
        <f t="shared" si="4"/>
        <v>-1361.6707420795237</v>
      </c>
      <c r="W27" s="588">
        <v>0</v>
      </c>
      <c r="X27" s="588"/>
      <c r="Y27" s="588">
        <f t="shared" si="6"/>
        <v>0</v>
      </c>
      <c r="Z27" s="588"/>
      <c r="AA27" s="588">
        <v>0</v>
      </c>
      <c r="AB27" s="591"/>
      <c r="AC27" s="588">
        <f t="shared" si="7"/>
        <v>0</v>
      </c>
      <c r="AE27" s="573" t="s">
        <v>911</v>
      </c>
      <c r="AF27" s="573"/>
      <c r="AH27" s="574"/>
      <c r="AI27" s="605"/>
      <c r="AK27" s="606"/>
      <c r="AL27" s="588"/>
    </row>
    <row r="28" spans="2:38" ht="13.5">
      <c r="B28" s="571">
        <f t="shared" ca="1" si="0"/>
        <v>20</v>
      </c>
      <c r="D28" s="654">
        <v>2.1199999999999974</v>
      </c>
      <c r="E28" s="607"/>
      <c r="F28" s="609" t="s">
        <v>962</v>
      </c>
      <c r="G28" s="608"/>
      <c r="H28" s="608"/>
      <c r="I28" s="609">
        <v>0</v>
      </c>
      <c r="J28" s="609"/>
      <c r="K28" s="609">
        <v>0</v>
      </c>
      <c r="L28" s="609"/>
      <c r="M28" s="609">
        <f t="shared" si="1"/>
        <v>0</v>
      </c>
      <c r="N28" s="608"/>
      <c r="O28" s="607"/>
      <c r="P28" s="609">
        <f t="shared" ref="P28" si="14">+I28+Y28</f>
        <v>316.69437116162499</v>
      </c>
      <c r="Q28" s="609"/>
      <c r="R28" s="609">
        <f t="shared" ref="R28" si="15">+K28+AA28</f>
        <v>0</v>
      </c>
      <c r="S28" s="609"/>
      <c r="T28" s="609">
        <f t="shared" si="4"/>
        <v>-420.86749303851923</v>
      </c>
      <c r="U28" s="607"/>
      <c r="V28" s="607"/>
      <c r="W28" s="609">
        <f>[4]Pivot!$H$5/1000</f>
        <v>400.87895083749999</v>
      </c>
      <c r="X28" s="609"/>
      <c r="Y28" s="609">
        <f t="shared" ref="Y28" si="16">+W28*(1-$AJ$5)</f>
        <v>316.69437116162499</v>
      </c>
      <c r="Z28" s="609"/>
      <c r="AA28" s="609">
        <v>0</v>
      </c>
      <c r="AB28" s="611"/>
      <c r="AC28" s="609">
        <f t="shared" ref="AC28" si="17">+T28-M28</f>
        <v>-420.86749303851923</v>
      </c>
      <c r="AD28" s="608"/>
      <c r="AE28" s="610" t="s">
        <v>964</v>
      </c>
      <c r="AF28" s="573"/>
      <c r="AH28" s="574"/>
      <c r="AI28" s="605"/>
      <c r="AK28" s="606"/>
      <c r="AL28" s="588"/>
    </row>
    <row r="29" spans="2:38" ht="13.5">
      <c r="B29" s="571">
        <f t="shared" ca="1" si="0"/>
        <v>21</v>
      </c>
      <c r="D29" s="590">
        <v>2.1299999999999972</v>
      </c>
      <c r="F29" s="588" t="str" cm="1">
        <f t="array" ref="F29">+INDEX('ADJ DETAIL-INPUT'!$E$6:$CD$6&amp;" "&amp;'ADJ DETAIL-INPUT'!$E$7:$CD$7&amp;" "&amp;'ADJ DETAIL-INPUT'!$E$8:$CD$8,1,MATCH($D29,'ADJ DETAIL-INPUT'!$E$9:$CD$9,0))</f>
        <v>Restating  Incentives Expense</v>
      </c>
      <c r="I29" s="588">
        <v>-624.62535000000003</v>
      </c>
      <c r="J29" s="588"/>
      <c r="K29" s="588">
        <v>0</v>
      </c>
      <c r="L29" s="588"/>
      <c r="M29" s="588">
        <f t="shared" si="1"/>
        <v>830.08897246438448</v>
      </c>
      <c r="P29" s="588">
        <f t="shared" si="2"/>
        <v>-624.62535000000003</v>
      </c>
      <c r="Q29" s="588"/>
      <c r="R29" s="588">
        <f t="shared" si="3"/>
        <v>0</v>
      </c>
      <c r="S29" s="588"/>
      <c r="T29" s="588">
        <f t="shared" si="4"/>
        <v>830.08897246438448</v>
      </c>
      <c r="W29" s="588">
        <v>0</v>
      </c>
      <c r="X29" s="588"/>
      <c r="Y29" s="588">
        <f t="shared" si="6"/>
        <v>0</v>
      </c>
      <c r="Z29" s="588"/>
      <c r="AA29" s="588">
        <v>0</v>
      </c>
      <c r="AB29" s="591"/>
      <c r="AC29" s="588">
        <f t="shared" si="7"/>
        <v>0</v>
      </c>
      <c r="AE29" s="573"/>
      <c r="AF29" s="573"/>
      <c r="AH29" s="574"/>
      <c r="AI29" s="605"/>
      <c r="AK29" s="606"/>
      <c r="AL29" s="588"/>
    </row>
    <row r="30" spans="2:38">
      <c r="B30" s="571">
        <f t="shared" ca="1" si="0"/>
        <v>22</v>
      </c>
      <c r="D30" s="590">
        <v>2.139999999999997</v>
      </c>
      <c r="F30" s="588" t="str" cm="1">
        <f t="array" ref="F30">+INDEX('ADJ DETAIL-INPUT'!$E$6:$CD$6&amp;" "&amp;'ADJ DETAIL-INPUT'!$E$7:$CD$7&amp;" "&amp;'ADJ DETAIL-INPUT'!$E$8:$CD$8,1,MATCH($D30,'ADJ DETAIL-INPUT'!$E$9:$CD$9,0))</f>
        <v>Restate Debt Interest</v>
      </c>
      <c r="I30" s="588">
        <v>-226</v>
      </c>
      <c r="J30" s="588"/>
      <c r="K30" s="588">
        <v>0</v>
      </c>
      <c r="L30" s="588"/>
      <c r="M30" s="588">
        <f t="shared" si="1"/>
        <v>300.34020837763126</v>
      </c>
      <c r="P30" s="588">
        <f t="shared" si="2"/>
        <v>-226</v>
      </c>
      <c r="Q30" s="588"/>
      <c r="R30" s="588">
        <f t="shared" si="3"/>
        <v>0</v>
      </c>
      <c r="S30" s="588"/>
      <c r="T30" s="588">
        <f t="shared" si="4"/>
        <v>300.34020837763126</v>
      </c>
      <c r="W30" s="588">
        <v>0</v>
      </c>
      <c r="X30" s="588"/>
      <c r="Y30" s="588">
        <f t="shared" si="6"/>
        <v>0</v>
      </c>
      <c r="Z30" s="588"/>
      <c r="AA30" s="588">
        <v>0</v>
      </c>
      <c r="AB30" s="591"/>
      <c r="AC30" s="588">
        <f t="shared" si="7"/>
        <v>0</v>
      </c>
      <c r="AE30" s="573"/>
      <c r="AF30" s="573"/>
      <c r="AH30" s="574"/>
    </row>
    <row r="31" spans="2:38">
      <c r="B31" s="571">
        <f t="shared" ca="1" si="0"/>
        <v>23</v>
      </c>
      <c r="D31" s="590">
        <v>2.1499999999999968</v>
      </c>
      <c r="F31" s="588" t="str" cm="1">
        <f t="array" ref="F31">+INDEX('ADJ DETAIL-INPUT'!$E$6:$CD$6&amp;" "&amp;'ADJ DETAIL-INPUT'!$E$7:$CD$7&amp;" "&amp;'ADJ DETAIL-INPUT'!$E$8:$CD$8,1,MATCH($D31,'ADJ DETAIL-INPUT'!$E$9:$CD$9,0))</f>
        <v>Restate Capital 06.2023 EOP</v>
      </c>
      <c r="I31" s="588">
        <v>291.05805119999997</v>
      </c>
      <c r="J31" s="588"/>
      <c r="K31" s="588">
        <v>53929.599999999999</v>
      </c>
      <c r="L31" s="588"/>
      <c r="M31" s="588">
        <f t="shared" si="1"/>
        <v>4651.5426706357639</v>
      </c>
      <c r="P31" s="588">
        <f t="shared" si="2"/>
        <v>291.05805119999997</v>
      </c>
      <c r="Q31" s="588"/>
      <c r="R31" s="588">
        <f t="shared" si="3"/>
        <v>53929.599999999999</v>
      </c>
      <c r="S31" s="588"/>
      <c r="T31" s="588">
        <f t="shared" si="4"/>
        <v>4651.5426706357639</v>
      </c>
      <c r="W31" s="588">
        <v>0</v>
      </c>
      <c r="X31" s="588"/>
      <c r="Y31" s="588">
        <f t="shared" si="6"/>
        <v>0</v>
      </c>
      <c r="Z31" s="588"/>
      <c r="AA31" s="588">
        <v>0</v>
      </c>
      <c r="AB31" s="591"/>
      <c r="AC31" s="588">
        <f t="shared" si="7"/>
        <v>0</v>
      </c>
      <c r="AE31" s="573"/>
      <c r="AF31" s="573"/>
      <c r="AH31" s="574"/>
      <c r="AI31" s="571"/>
    </row>
    <row r="32" spans="2:38">
      <c r="B32" s="571">
        <f t="shared" ca="1" si="0"/>
        <v>24</v>
      </c>
      <c r="D32" s="590">
        <v>2.1599999999999966</v>
      </c>
      <c r="F32" s="588" t="str" cm="1">
        <f t="array" ref="F32">+INDEX('ADJ DETAIL-INPUT'!$E$6:$CD$6&amp;" "&amp;'ADJ DETAIL-INPUT'!$E$7:$CD$7&amp;" "&amp;'ADJ DETAIL-INPUT'!$E$8:$CD$8,1,MATCH($D32,'ADJ DETAIL-INPUT'!$E$9:$CD$9,0))</f>
        <v>Eliminate WA Power Cost Defer</v>
      </c>
      <c r="I32" s="588">
        <v>-31140</v>
      </c>
      <c r="J32" s="588"/>
      <c r="K32" s="588">
        <v>0</v>
      </c>
      <c r="L32" s="588"/>
      <c r="M32" s="588">
        <f t="shared" si="1"/>
        <v>41383.159685307248</v>
      </c>
      <c r="P32" s="588">
        <f t="shared" si="2"/>
        <v>-31140</v>
      </c>
      <c r="Q32" s="588"/>
      <c r="R32" s="588">
        <f t="shared" si="3"/>
        <v>0</v>
      </c>
      <c r="S32" s="588"/>
      <c r="T32" s="588">
        <f t="shared" si="4"/>
        <v>41383.159685307248</v>
      </c>
      <c r="W32" s="588">
        <v>0</v>
      </c>
      <c r="X32" s="588"/>
      <c r="Y32" s="588">
        <f t="shared" si="6"/>
        <v>0</v>
      </c>
      <c r="Z32" s="588"/>
      <c r="AA32" s="588">
        <v>0</v>
      </c>
      <c r="AB32" s="591"/>
      <c r="AC32" s="588">
        <f t="shared" si="7"/>
        <v>0</v>
      </c>
      <c r="AE32" s="573"/>
      <c r="AF32" s="573"/>
      <c r="AH32" s="574"/>
      <c r="AI32" s="571"/>
    </row>
    <row r="33" spans="2:35">
      <c r="B33" s="571">
        <f t="shared" ca="1" si="0"/>
        <v>25</v>
      </c>
      <c r="D33" s="590">
        <v>2.1699999999999964</v>
      </c>
      <c r="F33" s="588" t="str" cm="1">
        <f t="array" ref="F33">+INDEX('ADJ DETAIL-INPUT'!$E$6:$CD$6&amp;" "&amp;'ADJ DETAIL-INPUT'!$E$7:$CD$7&amp;" "&amp;'ADJ DETAIL-INPUT'!$E$8:$CD$8,1,MATCH($D33,'ADJ DETAIL-INPUT'!$E$9:$CD$9,0))</f>
        <v>Nez Perce Settlement Adjustment</v>
      </c>
      <c r="I33" s="588">
        <v>11.85</v>
      </c>
      <c r="J33" s="588"/>
      <c r="K33" s="588">
        <v>0</v>
      </c>
      <c r="L33" s="588"/>
      <c r="M33" s="588">
        <f t="shared" si="1"/>
        <v>-15.747926855198807</v>
      </c>
      <c r="P33" s="588">
        <f t="shared" si="2"/>
        <v>11.85</v>
      </c>
      <c r="Q33" s="588"/>
      <c r="R33" s="588">
        <f t="shared" si="3"/>
        <v>0</v>
      </c>
      <c r="S33" s="588"/>
      <c r="T33" s="588">
        <f t="shared" si="4"/>
        <v>-15.747926855198807</v>
      </c>
      <c r="W33" s="588">
        <v>0</v>
      </c>
      <c r="X33" s="588"/>
      <c r="Y33" s="588">
        <f t="shared" si="6"/>
        <v>0</v>
      </c>
      <c r="Z33" s="588"/>
      <c r="AA33" s="588">
        <v>0</v>
      </c>
      <c r="AB33" s="591"/>
      <c r="AC33" s="588">
        <f t="shared" si="7"/>
        <v>0</v>
      </c>
      <c r="AE33" s="573"/>
      <c r="AF33" s="573"/>
      <c r="AH33" s="574"/>
      <c r="AI33" s="571"/>
    </row>
    <row r="34" spans="2:35">
      <c r="B34" s="571">
        <f t="shared" ca="1" si="0"/>
        <v>26</v>
      </c>
      <c r="D34" s="590">
        <v>2.1799999999999962</v>
      </c>
      <c r="F34" s="588" t="str" cm="1">
        <f t="array" ref="F34">+INDEX('ADJ DETAIL-INPUT'!$E$6:$CD$6&amp;" "&amp;'ADJ DETAIL-INPUT'!$E$7:$CD$7&amp;" "&amp;'ADJ DETAIL-INPUT'!$E$8:$CD$8,1,MATCH($D34,'ADJ DETAIL-INPUT'!$E$9:$CD$9,0))</f>
        <v>Normalize CS2 Major Maint</v>
      </c>
      <c r="I34" s="588">
        <v>-263.86</v>
      </c>
      <c r="J34" s="588"/>
      <c r="K34" s="588">
        <v>0</v>
      </c>
      <c r="L34" s="588"/>
      <c r="M34" s="588">
        <f t="shared" si="1"/>
        <v>350.65383797576015</v>
      </c>
      <c r="P34" s="588">
        <f t="shared" si="2"/>
        <v>-263.86</v>
      </c>
      <c r="Q34" s="588"/>
      <c r="R34" s="588">
        <f t="shared" si="3"/>
        <v>0</v>
      </c>
      <c r="S34" s="588"/>
      <c r="T34" s="588">
        <f t="shared" si="4"/>
        <v>350.65383797576015</v>
      </c>
      <c r="W34" s="588">
        <v>0</v>
      </c>
      <c r="X34" s="588"/>
      <c r="Y34" s="588">
        <f t="shared" si="6"/>
        <v>0</v>
      </c>
      <c r="Z34" s="588"/>
      <c r="AA34" s="588">
        <v>0</v>
      </c>
      <c r="AB34" s="591"/>
      <c r="AC34" s="588">
        <f t="shared" si="7"/>
        <v>0</v>
      </c>
      <c r="AE34" s="573"/>
      <c r="AF34" s="573"/>
      <c r="AH34" s="574"/>
      <c r="AI34" s="571"/>
    </row>
    <row r="35" spans="2:35">
      <c r="B35" s="571">
        <f t="shared" ca="1" si="0"/>
        <v>27</v>
      </c>
      <c r="D35" s="590">
        <v>2.1899999999999959</v>
      </c>
      <c r="F35" s="588" t="str" cm="1">
        <f t="array" ref="F35">+INDEX('ADJ DETAIL-INPUT'!$E$6:$CD$6&amp;" "&amp;'ADJ DETAIL-INPUT'!$E$7:$CD$7&amp;" "&amp;'ADJ DETAIL-INPUT'!$E$8:$CD$8,1,MATCH($D35,'ADJ DETAIL-INPUT'!$E$9:$CD$9,0))</f>
        <v>Authorized  Power Supply</v>
      </c>
      <c r="I35" s="588">
        <v>46581.56</v>
      </c>
      <c r="J35" s="588"/>
      <c r="K35" s="588">
        <v>0</v>
      </c>
      <c r="L35" s="588"/>
      <c r="M35" s="588">
        <f t="shared" si="1"/>
        <v>-61904.05060599617</v>
      </c>
      <c r="P35" s="588">
        <f t="shared" si="2"/>
        <v>46581.56</v>
      </c>
      <c r="Q35" s="588"/>
      <c r="R35" s="588">
        <f t="shared" si="3"/>
        <v>0</v>
      </c>
      <c r="S35" s="588"/>
      <c r="T35" s="588">
        <f t="shared" si="4"/>
        <v>-61904.05060599617</v>
      </c>
      <c r="W35" s="588">
        <v>0</v>
      </c>
      <c r="X35" s="588"/>
      <c r="Y35" s="588">
        <f t="shared" si="6"/>
        <v>0</v>
      </c>
      <c r="Z35" s="588"/>
      <c r="AA35" s="588">
        <v>0</v>
      </c>
      <c r="AB35" s="591"/>
      <c r="AC35" s="588">
        <f t="shared" si="7"/>
        <v>0</v>
      </c>
      <c r="AE35" s="573"/>
      <c r="AF35" s="573"/>
      <c r="AH35" s="574"/>
      <c r="AI35" s="571"/>
    </row>
    <row r="36" spans="2:35">
      <c r="D36" s="590"/>
      <c r="F36" s="587"/>
      <c r="I36" s="588"/>
      <c r="J36" s="588"/>
      <c r="K36" s="588"/>
      <c r="L36" s="588"/>
      <c r="M36" s="588"/>
      <c r="P36" s="588"/>
      <c r="Q36" s="588"/>
      <c r="R36" s="588"/>
      <c r="S36" s="588"/>
      <c r="T36" s="588"/>
      <c r="W36" s="588"/>
      <c r="X36" s="588"/>
      <c r="Y36" s="588"/>
      <c r="Z36" s="588"/>
      <c r="AA36" s="588"/>
      <c r="AB36" s="591"/>
      <c r="AC36" s="588"/>
      <c r="AE36" s="573"/>
      <c r="AH36" s="574"/>
    </row>
    <row r="37" spans="2:35" ht="13.5">
      <c r="C37" s="572"/>
      <c r="D37" s="618"/>
      <c r="E37" s="572"/>
      <c r="F37" s="591" t="s">
        <v>915</v>
      </c>
      <c r="I37" s="620">
        <f>+SUBTOTAL(9,I$9:I$36)</f>
        <v>11052.523226199992</v>
      </c>
      <c r="J37" s="591"/>
      <c r="K37" s="620">
        <f>+SUBTOTAL(9,K$9:K$36)</f>
        <v>28754.6</v>
      </c>
      <c r="L37" s="591"/>
      <c r="M37" s="620">
        <f>+SUBTOTAL(9,M$9:M$36)</f>
        <v>-12001.747350361467</v>
      </c>
      <c r="O37" s="572"/>
      <c r="P37" s="620">
        <f>+SUBTOTAL(9,P$9:P$36)</f>
        <v>15599.233681993224</v>
      </c>
      <c r="Q37" s="591"/>
      <c r="R37" s="620">
        <f>+SUBTOTAL(9,R$9:R$36)</f>
        <v>-58.914057512294676</v>
      </c>
      <c r="S37" s="591"/>
      <c r="T37" s="620">
        <f>+SUBTOTAL(9,T$9:T$36)</f>
        <v>-20735.933633101668</v>
      </c>
      <c r="U37" s="572"/>
      <c r="V37" s="572"/>
      <c r="W37" s="620">
        <f>+SUBTOTAL(9,W$9:W$36)</f>
        <v>5952.1734065337023</v>
      </c>
      <c r="X37" s="591"/>
      <c r="Y37" s="620">
        <f>+SUBTOTAL(9,Y$9:Y$36)</f>
        <v>4546.7104557932307</v>
      </c>
      <c r="Z37" s="591"/>
      <c r="AA37" s="620">
        <f>+SUBTOTAL(9,AA$9:AA$36)</f>
        <v>-28813.514057512293</v>
      </c>
      <c r="AB37" s="617"/>
      <c r="AC37" s="619">
        <f>+SUBTOTAL(9,AC$9:AC$36)</f>
        <v>-8734.1862827401983</v>
      </c>
      <c r="AE37" s="573"/>
      <c r="AH37" s="574"/>
    </row>
    <row r="38" spans="2:35">
      <c r="D38" s="590"/>
      <c r="F38" s="587"/>
      <c r="I38" s="588"/>
      <c r="J38" s="588"/>
      <c r="K38" s="588"/>
      <c r="L38" s="588"/>
      <c r="M38" s="588"/>
      <c r="P38" s="588"/>
      <c r="Q38" s="588"/>
      <c r="R38" s="588"/>
      <c r="S38" s="588"/>
      <c r="T38" s="588"/>
      <c r="W38" s="588"/>
      <c r="X38" s="588"/>
      <c r="Y38" s="588"/>
      <c r="Z38" s="588"/>
      <c r="AA38" s="588"/>
      <c r="AB38" s="591"/>
      <c r="AC38" s="588"/>
      <c r="AE38" s="573"/>
      <c r="AH38" s="574"/>
    </row>
    <row r="39" spans="2:35">
      <c r="B39" s="575" t="s">
        <v>914</v>
      </c>
      <c r="D39" s="590"/>
      <c r="F39" s="587"/>
      <c r="I39" s="588"/>
      <c r="J39" s="588"/>
      <c r="K39" s="588"/>
      <c r="L39" s="588"/>
      <c r="M39" s="588"/>
      <c r="P39" s="588"/>
      <c r="Q39" s="588"/>
      <c r="R39" s="588"/>
      <c r="S39" s="588"/>
      <c r="T39" s="588"/>
      <c r="W39" s="588"/>
      <c r="X39" s="588"/>
      <c r="Y39" s="588"/>
      <c r="Z39" s="588"/>
      <c r="AA39" s="588"/>
      <c r="AB39" s="591"/>
      <c r="AC39" s="588"/>
      <c r="AE39" s="573"/>
      <c r="AH39" s="574"/>
    </row>
    <row r="40" spans="2:35">
      <c r="B40" s="571">
        <f t="shared" ca="1" si="0"/>
        <v>28</v>
      </c>
      <c r="D40" s="590" t="s">
        <v>669</v>
      </c>
      <c r="F40" s="588" t="str" cm="1">
        <f t="array" ref="F40">+INDEX('ADJ DETAIL-INPUT'!$E$6:$CD$6&amp;" "&amp;'ADJ DETAIL-INPUT'!$E$7:$CD$7&amp;" "&amp;'ADJ DETAIL-INPUT'!$E$8:$CD$8,1,MATCH($D40,'ADJ DETAIL-INPUT'!$E$9:$CD$9,0))</f>
        <v>Pro Forma Power  Supply</v>
      </c>
      <c r="I40" s="588">
        <v>-16488.88</v>
      </c>
      <c r="J40" s="588"/>
      <c r="K40" s="588">
        <v>0</v>
      </c>
      <c r="L40" s="588"/>
      <c r="M40" s="588">
        <f>+($K40*$AL$16-$I40)/$AJ$4</f>
        <v>21912.71528811397</v>
      </c>
      <c r="P40" s="588">
        <f t="shared" si="2"/>
        <v>-16488.88</v>
      </c>
      <c r="Q40" s="588"/>
      <c r="R40" s="588">
        <f t="shared" si="3"/>
        <v>0</v>
      </c>
      <c r="S40" s="588"/>
      <c r="T40" s="588">
        <f>+($R40*$AL$16-$P40)/$AJ$4</f>
        <v>21912.71528811397</v>
      </c>
      <c r="W40" s="588">
        <v>0</v>
      </c>
      <c r="X40" s="588"/>
      <c r="Y40" s="588">
        <f t="shared" ref="Y40:Y76" si="18">+W40*(1-$AJ$5)</f>
        <v>0</v>
      </c>
      <c r="Z40" s="588"/>
      <c r="AA40" s="588">
        <v>0</v>
      </c>
      <c r="AB40" s="591"/>
      <c r="AC40" s="588">
        <f t="shared" ref="AC40:AC76" si="19">+T40-M40</f>
        <v>0</v>
      </c>
      <c r="AE40" s="573" t="s">
        <v>911</v>
      </c>
      <c r="AH40" s="574"/>
    </row>
    <row r="41" spans="2:35">
      <c r="B41" s="571">
        <f t="shared" ca="1" si="0"/>
        <v>29</v>
      </c>
      <c r="D41" s="654" t="s">
        <v>669</v>
      </c>
      <c r="E41" s="607"/>
      <c r="F41" s="609" t="s">
        <v>965</v>
      </c>
      <c r="G41" s="608"/>
      <c r="H41" s="608"/>
      <c r="I41" s="609">
        <v>0</v>
      </c>
      <c r="J41" s="609"/>
      <c r="K41" s="609">
        <v>0</v>
      </c>
      <c r="L41" s="609"/>
      <c r="M41" s="609">
        <f t="shared" ref="M41:M43" si="20">+($K41*$AL$16-$I41)/$AJ$4</f>
        <v>0</v>
      </c>
      <c r="N41" s="608"/>
      <c r="O41" s="607"/>
      <c r="P41" s="609">
        <f t="shared" ref="P41:P43" si="21">+I41+Y41</f>
        <v>34046.252679726</v>
      </c>
      <c r="Q41" s="609"/>
      <c r="R41" s="609">
        <f t="shared" ref="R41:R43" si="22">+K41+AA41</f>
        <v>0</v>
      </c>
      <c r="S41" s="609"/>
      <c r="T41" s="609">
        <f t="shared" ref="T41:T43" si="23">+($R41*$AL$16-$P41)/$AJ$4</f>
        <v>-45245.392142948644</v>
      </c>
      <c r="U41" s="607"/>
      <c r="V41" s="607"/>
      <c r="W41" s="609">
        <f>65756.061*0.6554</f>
        <v>43096.522379399998</v>
      </c>
      <c r="X41" s="609"/>
      <c r="Y41" s="609">
        <f>+W41*(1-$AJ$5)+(AA41*$AL$13*$AJ$5)</f>
        <v>34046.252679726</v>
      </c>
      <c r="Z41" s="609"/>
      <c r="AA41" s="609">
        <v>0</v>
      </c>
      <c r="AB41" s="611"/>
      <c r="AC41" s="609">
        <f t="shared" ref="AC41:AC43" si="24">+T41-M41</f>
        <v>-45245.392142948644</v>
      </c>
      <c r="AD41" s="608"/>
      <c r="AE41" s="610" t="s">
        <v>964</v>
      </c>
      <c r="AH41" s="574"/>
    </row>
    <row r="42" spans="2:35">
      <c r="B42" s="571">
        <f t="shared" ca="1" si="0"/>
        <v>30</v>
      </c>
      <c r="D42" s="654" t="s">
        <v>669</v>
      </c>
      <c r="E42" s="607"/>
      <c r="F42" s="609" t="s">
        <v>935</v>
      </c>
      <c r="G42" s="608"/>
      <c r="H42" s="608"/>
      <c r="I42" s="609">
        <v>0</v>
      </c>
      <c r="J42" s="609"/>
      <c r="K42" s="609">
        <v>0</v>
      </c>
      <c r="L42" s="609"/>
      <c r="M42" s="609">
        <f t="shared" si="20"/>
        <v>0</v>
      </c>
      <c r="N42" s="608"/>
      <c r="O42" s="607"/>
      <c r="P42" s="609">
        <f t="shared" si="21"/>
        <v>106.89279069999999</v>
      </c>
      <c r="Q42" s="609"/>
      <c r="R42" s="609">
        <f t="shared" si="22"/>
        <v>0</v>
      </c>
      <c r="S42" s="609"/>
      <c r="T42" s="609">
        <f t="shared" si="23"/>
        <v>-142.05399572081649</v>
      </c>
      <c r="U42" s="607"/>
      <c r="V42" s="607"/>
      <c r="W42" s="609">
        <f>206.45*0.6554</f>
        <v>135.30732999999998</v>
      </c>
      <c r="X42" s="609"/>
      <c r="Y42" s="609">
        <f>+W42*(1-$AJ$5)+(AA42*$AL$13*$AJ$5)</f>
        <v>106.89279069999999</v>
      </c>
      <c r="Z42" s="609"/>
      <c r="AA42" s="609">
        <v>0</v>
      </c>
      <c r="AB42" s="611"/>
      <c r="AC42" s="609">
        <f t="shared" si="24"/>
        <v>-142.05399572081649</v>
      </c>
      <c r="AD42" s="608"/>
      <c r="AE42" s="610" t="s">
        <v>964</v>
      </c>
      <c r="AH42" s="574"/>
    </row>
    <row r="43" spans="2:35">
      <c r="B43" s="571">
        <f t="shared" ca="1" si="0"/>
        <v>31</v>
      </c>
      <c r="D43" s="654" t="s">
        <v>669</v>
      </c>
      <c r="E43" s="607"/>
      <c r="F43" s="609" t="s">
        <v>936</v>
      </c>
      <c r="G43" s="608"/>
      <c r="H43" s="608"/>
      <c r="I43" s="609">
        <v>0</v>
      </c>
      <c r="J43" s="609"/>
      <c r="K43" s="609">
        <v>0</v>
      </c>
      <c r="L43" s="609"/>
      <c r="M43" s="609">
        <f t="shared" si="20"/>
        <v>0</v>
      </c>
      <c r="N43" s="608"/>
      <c r="O43" s="607"/>
      <c r="P43" s="609">
        <f t="shared" si="21"/>
        <v>1566.4321701220001</v>
      </c>
      <c r="Q43" s="609"/>
      <c r="R43" s="609">
        <f t="shared" si="22"/>
        <v>0</v>
      </c>
      <c r="S43" s="609"/>
      <c r="T43" s="609">
        <f t="shared" si="23"/>
        <v>-2081.6927627604723</v>
      </c>
      <c r="U43" s="607"/>
      <c r="V43" s="607"/>
      <c r="W43" s="609">
        <f>3025.367*0.6554</f>
        <v>1982.8255318000001</v>
      </c>
      <c r="X43" s="609"/>
      <c r="Y43" s="609">
        <f>+W43*(1-$AJ$5)+(AA43*$AL$13*$AJ$5)</f>
        <v>1566.4321701220001</v>
      </c>
      <c r="Z43" s="609"/>
      <c r="AA43" s="609">
        <v>0</v>
      </c>
      <c r="AB43" s="611"/>
      <c r="AC43" s="609">
        <f t="shared" si="24"/>
        <v>-2081.6927627604723</v>
      </c>
      <c r="AD43" s="608"/>
      <c r="AE43" s="610" t="s">
        <v>964</v>
      </c>
      <c r="AH43" s="574"/>
    </row>
    <row r="44" spans="2:35">
      <c r="B44" s="571">
        <f t="shared" ca="1" si="0"/>
        <v>32</v>
      </c>
      <c r="D44" s="590" t="s">
        <v>670</v>
      </c>
      <c r="F44" s="588" t="str" cm="1">
        <f t="array" ref="F44">+INDEX('ADJ DETAIL-INPUT'!$E$6:$CD$6&amp;" "&amp;'ADJ DETAIL-INPUT'!$E$7:$CD$7&amp;" "&amp;'ADJ DETAIL-INPUT'!$E$8:$CD$8,1,MATCH($D44,'ADJ DETAIL-INPUT'!$E$9:$CD$9,0))</f>
        <v>Pro Forma Transmission Revenue/Expense</v>
      </c>
      <c r="I44" s="588">
        <v>2563.5500000000002</v>
      </c>
      <c r="J44" s="588"/>
      <c r="K44" s="588">
        <v>0</v>
      </c>
      <c r="L44" s="588"/>
      <c r="M44" s="588">
        <f t="shared" ref="M44:M76" si="25">+($K44*$AL$16-$I44)/$AJ$4</f>
        <v>-3406.8015096746758</v>
      </c>
      <c r="P44" s="588">
        <f t="shared" si="2"/>
        <v>2563.5500000000002</v>
      </c>
      <c r="Q44" s="588"/>
      <c r="R44" s="588">
        <f t="shared" si="3"/>
        <v>0</v>
      </c>
      <c r="S44" s="588"/>
      <c r="T44" s="588">
        <f t="shared" ref="T44:T76" si="26">+($R44*$AL$16-$P44)/$AJ$4</f>
        <v>-3406.8015096746758</v>
      </c>
      <c r="W44" s="588">
        <v>0</v>
      </c>
      <c r="X44" s="588"/>
      <c r="Y44" s="588">
        <f t="shared" si="18"/>
        <v>0</v>
      </c>
      <c r="Z44" s="588"/>
      <c r="AA44" s="588">
        <v>0</v>
      </c>
      <c r="AB44" s="591"/>
      <c r="AC44" s="588">
        <f t="shared" si="19"/>
        <v>0</v>
      </c>
      <c r="AE44" s="573"/>
      <c r="AH44" s="574"/>
    </row>
    <row r="45" spans="2:35">
      <c r="B45" s="571">
        <f t="shared" ca="1" si="0"/>
        <v>33</v>
      </c>
      <c r="D45" s="590">
        <v>3.01</v>
      </c>
      <c r="F45" s="588" t="str" cm="1">
        <f t="array" ref="F45">+INDEX('ADJ DETAIL-INPUT'!$E$6:$CD$6&amp;" "&amp;'ADJ DETAIL-INPUT'!$E$7:$CD$7&amp;" "&amp;'ADJ DETAIL-INPUT'!$E$8:$CD$8,1,MATCH($D45,'ADJ DETAIL-INPUT'!$E$9:$CD$9,0))</f>
        <v>Pro Forma Revenue  Normalization</v>
      </c>
      <c r="I45" s="588">
        <v>25155.97</v>
      </c>
      <c r="J45" s="588"/>
      <c r="K45" s="588">
        <v>0</v>
      </c>
      <c r="L45" s="588"/>
      <c r="M45" s="588">
        <f t="shared" si="25"/>
        <v>-33430.748990006381</v>
      </c>
      <c r="P45" s="588">
        <f t="shared" si="2"/>
        <v>25155.97</v>
      </c>
      <c r="Q45" s="588"/>
      <c r="R45" s="588">
        <f t="shared" si="3"/>
        <v>0</v>
      </c>
      <c r="S45" s="588"/>
      <c r="T45" s="588">
        <f t="shared" si="26"/>
        <v>-33430.748990006381</v>
      </c>
      <c r="W45" s="588">
        <v>0</v>
      </c>
      <c r="X45" s="588"/>
      <c r="Y45" s="588">
        <f t="shared" si="18"/>
        <v>0</v>
      </c>
      <c r="Z45" s="588"/>
      <c r="AA45" s="588">
        <v>0</v>
      </c>
      <c r="AB45" s="591"/>
      <c r="AC45" s="588">
        <f t="shared" si="19"/>
        <v>0</v>
      </c>
      <c r="AE45" s="573"/>
      <c r="AH45" s="574"/>
    </row>
    <row r="46" spans="2:35">
      <c r="B46" s="571">
        <f t="shared" ca="1" si="0"/>
        <v>34</v>
      </c>
      <c r="D46" s="590">
        <v>3.0199999999999996</v>
      </c>
      <c r="F46" s="588" t="str" cm="1">
        <f t="array" ref="F46">+INDEX('ADJ DETAIL-INPUT'!$E$6:$CD$6&amp;" "&amp;'ADJ DETAIL-INPUT'!$E$7:$CD$7&amp;" "&amp;'ADJ DETAIL-INPUT'!$E$8:$CD$8,1,MATCH($D46,'ADJ DETAIL-INPUT'!$E$9:$CD$9,0))</f>
        <v>Pro Forma  Def. Debits, Credits &amp; Regulatory Amorts</v>
      </c>
      <c r="I46" s="588">
        <v>-4912.6149999999998</v>
      </c>
      <c r="J46" s="588"/>
      <c r="K46" s="588">
        <v>0</v>
      </c>
      <c r="L46" s="588"/>
      <c r="M46" s="588">
        <f t="shared" si="25"/>
        <v>6528.5655432702524</v>
      </c>
      <c r="P46" s="588">
        <f t="shared" si="2"/>
        <v>-4912.6149999999998</v>
      </c>
      <c r="Q46" s="588"/>
      <c r="R46" s="588">
        <f t="shared" si="3"/>
        <v>0</v>
      </c>
      <c r="S46" s="588"/>
      <c r="T46" s="588">
        <f t="shared" si="26"/>
        <v>6528.5655432702524</v>
      </c>
      <c r="W46" s="588">
        <v>0</v>
      </c>
      <c r="X46" s="588"/>
      <c r="Y46" s="588">
        <f t="shared" si="18"/>
        <v>0</v>
      </c>
      <c r="Z46" s="588"/>
      <c r="AA46" s="588">
        <v>0</v>
      </c>
      <c r="AB46" s="591"/>
      <c r="AC46" s="588">
        <f t="shared" si="19"/>
        <v>0</v>
      </c>
      <c r="AE46" s="573"/>
      <c r="AH46" s="574"/>
    </row>
    <row r="47" spans="2:35">
      <c r="B47" s="571">
        <f t="shared" ca="1" si="0"/>
        <v>35</v>
      </c>
      <c r="D47" s="590">
        <v>3.0299999999999994</v>
      </c>
      <c r="F47" s="588" t="str" cm="1">
        <f t="array" ref="F47">+INDEX('ADJ DETAIL-INPUT'!$E$6:$CD$6&amp;" "&amp;'ADJ DETAIL-INPUT'!$E$7:$CD$7&amp;" "&amp;'ADJ DETAIL-INPUT'!$E$8:$CD$8,1,MATCH($D47,'ADJ DETAIL-INPUT'!$E$9:$CD$9,0))</f>
        <v>Pro Forma  EDIT (RSGM)</v>
      </c>
      <c r="I47" s="588">
        <v>-92</v>
      </c>
      <c r="J47" s="588"/>
      <c r="K47" s="588">
        <v>0</v>
      </c>
      <c r="L47" s="588"/>
      <c r="M47" s="588">
        <f t="shared" si="25"/>
        <v>122.26238571124813</v>
      </c>
      <c r="P47" s="588">
        <f t="shared" si="2"/>
        <v>-92</v>
      </c>
      <c r="Q47" s="588"/>
      <c r="R47" s="588">
        <f t="shared" si="3"/>
        <v>0</v>
      </c>
      <c r="S47" s="588"/>
      <c r="T47" s="588">
        <f t="shared" si="26"/>
        <v>122.26238571124813</v>
      </c>
      <c r="W47" s="588">
        <v>0</v>
      </c>
      <c r="X47" s="588"/>
      <c r="Y47" s="588">
        <f t="shared" si="18"/>
        <v>0</v>
      </c>
      <c r="Z47" s="588"/>
      <c r="AA47" s="588">
        <v>0</v>
      </c>
      <c r="AB47" s="591"/>
      <c r="AC47" s="588">
        <f t="shared" si="19"/>
        <v>0</v>
      </c>
      <c r="AE47" s="573"/>
      <c r="AH47" s="574"/>
    </row>
    <row r="48" spans="2:35">
      <c r="B48" s="571">
        <f t="shared" ca="1" si="0"/>
        <v>36</v>
      </c>
      <c r="D48" s="590">
        <v>3.0399999999999991</v>
      </c>
      <c r="F48" s="588" t="str" cm="1">
        <f t="array" ref="F48">+INDEX('ADJ DETAIL-INPUT'!$E$6:$CD$6&amp;" "&amp;'ADJ DETAIL-INPUT'!$E$7:$CD$7&amp;" "&amp;'ADJ DETAIL-INPUT'!$E$8:$CD$8,1,MATCH($D48,'ADJ DETAIL-INPUT'!$E$9:$CD$9,0))</f>
        <v>Pro Forma AMI  Amortization</v>
      </c>
      <c r="I48" s="588">
        <v>1792.755987</v>
      </c>
      <c r="J48" s="588"/>
      <c r="K48" s="588">
        <v>-7529</v>
      </c>
      <c r="L48" s="588"/>
      <c r="M48" s="588">
        <f t="shared" si="25"/>
        <v>-3085.8556865298747</v>
      </c>
      <c r="P48" s="588">
        <f t="shared" si="2"/>
        <v>1792.755987</v>
      </c>
      <c r="Q48" s="588"/>
      <c r="R48" s="588">
        <f t="shared" si="3"/>
        <v>-7529</v>
      </c>
      <c r="S48" s="588"/>
      <c r="T48" s="588">
        <f t="shared" si="26"/>
        <v>-3085.8556865298747</v>
      </c>
      <c r="W48" s="588">
        <v>0</v>
      </c>
      <c r="X48" s="588"/>
      <c r="Y48" s="588">
        <f t="shared" si="18"/>
        <v>0</v>
      </c>
      <c r="Z48" s="588"/>
      <c r="AA48" s="588">
        <v>0</v>
      </c>
      <c r="AB48" s="591"/>
      <c r="AC48" s="588">
        <f t="shared" si="19"/>
        <v>0</v>
      </c>
      <c r="AE48" s="573"/>
      <c r="AH48" s="574"/>
    </row>
    <row r="49" spans="2:34">
      <c r="B49" s="571">
        <f t="shared" ca="1" si="0"/>
        <v>37</v>
      </c>
      <c r="D49" s="590">
        <v>3.0499999999999989</v>
      </c>
      <c r="F49" s="588" t="str" cm="1">
        <f t="array" ref="F49">+INDEX('ADJ DETAIL-INPUT'!$E$6:$CD$6&amp;" "&amp;'ADJ DETAIL-INPUT'!$E$7:$CD$7&amp;" "&amp;'ADJ DETAIL-INPUT'!$E$8:$CD$8,1,MATCH($D49,'ADJ DETAIL-INPUT'!$E$9:$CD$9,0))</f>
        <v>Pro Forma  Labor Non-Exec</v>
      </c>
      <c r="I49" s="588">
        <v>-5209.8130000000001</v>
      </c>
      <c r="J49" s="588"/>
      <c r="K49" s="588">
        <v>0</v>
      </c>
      <c r="L49" s="588"/>
      <c r="M49" s="588">
        <f t="shared" si="25"/>
        <v>6923.5235487986392</v>
      </c>
      <c r="P49" s="588">
        <f t="shared" si="2"/>
        <v>-5209.8130000000001</v>
      </c>
      <c r="Q49" s="588"/>
      <c r="R49" s="588">
        <f t="shared" si="3"/>
        <v>0</v>
      </c>
      <c r="S49" s="588"/>
      <c r="T49" s="588">
        <f t="shared" si="26"/>
        <v>6923.5235487986392</v>
      </c>
      <c r="W49" s="588">
        <v>0</v>
      </c>
      <c r="X49" s="588"/>
      <c r="Y49" s="588">
        <f t="shared" si="18"/>
        <v>0</v>
      </c>
      <c r="Z49" s="588"/>
      <c r="AA49" s="588">
        <v>0</v>
      </c>
      <c r="AB49" s="591"/>
      <c r="AC49" s="588">
        <f t="shared" si="19"/>
        <v>0</v>
      </c>
      <c r="AE49" s="573"/>
      <c r="AH49" s="574"/>
    </row>
    <row r="50" spans="2:34">
      <c r="B50" s="571">
        <f t="shared" ca="1" si="0"/>
        <v>38</v>
      </c>
      <c r="D50" s="590">
        <v>3.0599999999999987</v>
      </c>
      <c r="F50" s="588" t="str" cm="1">
        <f t="array" ref="F50">+INDEX('ADJ DETAIL-INPUT'!$E$6:$CD$6&amp;" "&amp;'ADJ DETAIL-INPUT'!$E$7:$CD$7&amp;" "&amp;'ADJ DETAIL-INPUT'!$E$8:$CD$8,1,MATCH($D50,'ADJ DETAIL-INPUT'!$E$9:$CD$9,0))</f>
        <v>Pro Forma  Labor Exec</v>
      </c>
      <c r="I50" s="588">
        <v>-47.429230000000004</v>
      </c>
      <c r="J50" s="588"/>
      <c r="K50" s="588">
        <v>0</v>
      </c>
      <c r="L50" s="588"/>
      <c r="M50" s="588">
        <f t="shared" si="25"/>
        <v>63.030552307038064</v>
      </c>
      <c r="P50" s="588">
        <f t="shared" si="2"/>
        <v>-47.429230000000004</v>
      </c>
      <c r="Q50" s="588"/>
      <c r="R50" s="588">
        <f t="shared" si="3"/>
        <v>0</v>
      </c>
      <c r="S50" s="588"/>
      <c r="T50" s="588">
        <f t="shared" si="26"/>
        <v>63.030552307038064</v>
      </c>
      <c r="W50" s="588">
        <v>0</v>
      </c>
      <c r="X50" s="588"/>
      <c r="Y50" s="588">
        <f t="shared" si="18"/>
        <v>0</v>
      </c>
      <c r="Z50" s="588"/>
      <c r="AA50" s="588">
        <v>0</v>
      </c>
      <c r="AB50" s="591"/>
      <c r="AC50" s="588">
        <f t="shared" si="19"/>
        <v>0</v>
      </c>
      <c r="AE50" s="573"/>
      <c r="AH50" s="574"/>
    </row>
    <row r="51" spans="2:34">
      <c r="B51" s="571">
        <f t="shared" ca="1" si="0"/>
        <v>39</v>
      </c>
      <c r="D51" s="590">
        <v>3.0699999999999985</v>
      </c>
      <c r="F51" s="588" t="str" cm="1">
        <f t="array" ref="F51">+INDEX('ADJ DETAIL-INPUT'!$E$6:$CD$6&amp;" "&amp;'ADJ DETAIL-INPUT'!$E$7:$CD$7&amp;" "&amp;'ADJ DETAIL-INPUT'!$E$8:$CD$8,1,MATCH($D51,'ADJ DETAIL-INPUT'!$E$9:$CD$9,0))</f>
        <v>Pro Forma  Employee  Benefits</v>
      </c>
      <c r="I51" s="588">
        <v>4288.5940000000001</v>
      </c>
      <c r="J51" s="588"/>
      <c r="K51" s="588">
        <v>0</v>
      </c>
      <c r="L51" s="588"/>
      <c r="M51" s="588">
        <f t="shared" si="25"/>
        <v>-5699.2797150754832</v>
      </c>
      <c r="P51" s="588">
        <f t="shared" si="2"/>
        <v>4288.5940000000001</v>
      </c>
      <c r="Q51" s="588"/>
      <c r="R51" s="588">
        <f t="shared" si="3"/>
        <v>0</v>
      </c>
      <c r="S51" s="588"/>
      <c r="T51" s="588">
        <f t="shared" si="26"/>
        <v>-5699.2797150754832</v>
      </c>
      <c r="W51" s="588">
        <v>0</v>
      </c>
      <c r="X51" s="588"/>
      <c r="Y51" s="588">
        <f t="shared" si="18"/>
        <v>0</v>
      </c>
      <c r="Z51" s="588"/>
      <c r="AA51" s="588">
        <v>0</v>
      </c>
      <c r="AB51" s="591"/>
      <c r="AC51" s="588">
        <f t="shared" si="19"/>
        <v>0</v>
      </c>
      <c r="AE51" s="573" t="s">
        <v>911</v>
      </c>
      <c r="AH51" s="574"/>
    </row>
    <row r="52" spans="2:34">
      <c r="B52" s="571">
        <f t="shared" ca="1" si="0"/>
        <v>40</v>
      </c>
      <c r="D52" s="654">
        <v>3.0699999999999985</v>
      </c>
      <c r="E52" s="607"/>
      <c r="F52" s="609" t="s">
        <v>966</v>
      </c>
      <c r="G52" s="608"/>
      <c r="H52" s="608"/>
      <c r="I52" s="609">
        <v>0</v>
      </c>
      <c r="J52" s="609"/>
      <c r="K52" s="609">
        <v>0</v>
      </c>
      <c r="L52" s="609"/>
      <c r="M52" s="609">
        <f t="shared" si="25"/>
        <v>0</v>
      </c>
      <c r="N52" s="608"/>
      <c r="O52" s="607"/>
      <c r="P52" s="609">
        <f t="shared" ref="P52" si="27">+I52+Y52</f>
        <v>967.02144833718603</v>
      </c>
      <c r="Q52" s="609"/>
      <c r="R52" s="609">
        <f t="shared" ref="R52" si="28">+K52+AA52</f>
        <v>0</v>
      </c>
      <c r="S52" s="609"/>
      <c r="T52" s="609">
        <f t="shared" si="26"/>
        <v>-1285.1124924744659</v>
      </c>
      <c r="U52" s="607"/>
      <c r="V52" s="607"/>
      <c r="W52" s="609">
        <f>-'[5]E-3.07,5.03 Benefits'!$I$48/1000</f>
        <v>1224.0777827052987</v>
      </c>
      <c r="X52" s="609"/>
      <c r="Y52" s="609">
        <f>+W52*(1-$AJ$5)+(AA52*$AL$13*$AJ$5)</f>
        <v>967.02144833718603</v>
      </c>
      <c r="Z52" s="609"/>
      <c r="AA52" s="609">
        <v>0</v>
      </c>
      <c r="AB52" s="611"/>
      <c r="AC52" s="609">
        <f t="shared" ref="AC52" si="29">+T52-M52</f>
        <v>-1285.1124924744659</v>
      </c>
      <c r="AD52" s="608"/>
      <c r="AE52" s="610" t="s">
        <v>964</v>
      </c>
      <c r="AH52" s="574"/>
    </row>
    <row r="53" spans="2:34">
      <c r="B53" s="571">
        <f t="shared" ca="1" si="0"/>
        <v>41</v>
      </c>
      <c r="D53" s="590">
        <v>3.0799999999999983</v>
      </c>
      <c r="F53" s="588" t="str" cm="1">
        <f t="array" ref="F53">+INDEX('ADJ DETAIL-INPUT'!$E$6:$CD$6&amp;" "&amp;'ADJ DETAIL-INPUT'!$E$7:$CD$7&amp;" "&amp;'ADJ DETAIL-INPUT'!$E$8:$CD$8,1,MATCH($D53,'ADJ DETAIL-INPUT'!$E$9:$CD$9,0))</f>
        <v xml:space="preserve">Pro Forma  Incentives </v>
      </c>
      <c r="I53" s="588">
        <v>-919.32300000000009</v>
      </c>
      <c r="J53" s="588"/>
      <c r="K53" s="588">
        <v>0</v>
      </c>
      <c r="L53" s="588"/>
      <c r="M53" s="588">
        <f t="shared" si="25"/>
        <v>1221.7241654263237</v>
      </c>
      <c r="P53" s="588">
        <f t="shared" si="2"/>
        <v>-919.32300000000009</v>
      </c>
      <c r="Q53" s="588"/>
      <c r="R53" s="588">
        <f t="shared" si="3"/>
        <v>0</v>
      </c>
      <c r="S53" s="588"/>
      <c r="T53" s="588">
        <f t="shared" si="26"/>
        <v>1221.7241654263237</v>
      </c>
      <c r="W53" s="588">
        <v>0</v>
      </c>
      <c r="X53" s="588"/>
      <c r="Y53" s="588">
        <f t="shared" si="18"/>
        <v>0</v>
      </c>
      <c r="Z53" s="588"/>
      <c r="AA53" s="588">
        <v>0</v>
      </c>
      <c r="AB53" s="591"/>
      <c r="AC53" s="588">
        <f t="shared" si="19"/>
        <v>0</v>
      </c>
      <c r="AE53" s="573"/>
      <c r="AH53" s="574"/>
    </row>
    <row r="54" spans="2:34">
      <c r="B54" s="571">
        <f t="shared" ca="1" si="0"/>
        <v>42</v>
      </c>
      <c r="D54" s="590">
        <v>3.0899999999999981</v>
      </c>
      <c r="F54" s="588" t="str" cm="1">
        <f t="array" ref="F54">+INDEX('ADJ DETAIL-INPUT'!$E$6:$CD$6&amp;" "&amp;'ADJ DETAIL-INPUT'!$E$7:$CD$7&amp;" "&amp;'ADJ DETAIL-INPUT'!$E$8:$CD$8,1,MATCH($D54,'ADJ DETAIL-INPUT'!$E$9:$CD$9,0))</f>
        <v>Pro Forma  LIRAP Labor</v>
      </c>
      <c r="I54" s="588">
        <v>-206.98000000000002</v>
      </c>
      <c r="J54" s="588"/>
      <c r="K54" s="588">
        <v>0</v>
      </c>
      <c r="L54" s="588"/>
      <c r="M54" s="588">
        <f t="shared" si="25"/>
        <v>275.06378907080585</v>
      </c>
      <c r="P54" s="588">
        <f t="shared" si="2"/>
        <v>-206.98000000000002</v>
      </c>
      <c r="Q54" s="588"/>
      <c r="R54" s="588">
        <f t="shared" si="3"/>
        <v>0</v>
      </c>
      <c r="S54" s="588"/>
      <c r="T54" s="588">
        <f t="shared" si="26"/>
        <v>275.06378907080585</v>
      </c>
      <c r="W54" s="588">
        <v>0</v>
      </c>
      <c r="X54" s="588"/>
      <c r="Y54" s="588">
        <f t="shared" si="18"/>
        <v>0</v>
      </c>
      <c r="Z54" s="588"/>
      <c r="AA54" s="588">
        <v>0</v>
      </c>
      <c r="AB54" s="591"/>
      <c r="AC54" s="588">
        <f t="shared" si="19"/>
        <v>0</v>
      </c>
      <c r="AE54" s="573"/>
      <c r="AH54" s="574"/>
    </row>
    <row r="55" spans="2:34">
      <c r="B55" s="571">
        <f t="shared" ca="1" si="0"/>
        <v>43</v>
      </c>
      <c r="D55" s="590">
        <v>3.0999999999999979</v>
      </c>
      <c r="F55" s="588" t="str" cm="1">
        <f t="array" ref="F55">+INDEX('ADJ DETAIL-INPUT'!$E$6:$CD$6&amp;" "&amp;'ADJ DETAIL-INPUT'!$E$7:$CD$7&amp;" "&amp;'ADJ DETAIL-INPUT'!$E$8:$CD$8,1,MATCH($D55,'ADJ DETAIL-INPUT'!$E$9:$CD$9,0))</f>
        <v>Pro Forma  CCA Labor</v>
      </c>
      <c r="I55" s="588">
        <v>-300.99</v>
      </c>
      <c r="J55" s="588"/>
      <c r="K55" s="588">
        <v>0</v>
      </c>
      <c r="L55" s="588"/>
      <c r="M55" s="588">
        <f t="shared" si="25"/>
        <v>399.99734212204976</v>
      </c>
      <c r="P55" s="588">
        <f t="shared" si="2"/>
        <v>-300.99</v>
      </c>
      <c r="Q55" s="588"/>
      <c r="R55" s="588">
        <f t="shared" si="3"/>
        <v>0</v>
      </c>
      <c r="S55" s="588"/>
      <c r="T55" s="588">
        <f t="shared" si="26"/>
        <v>399.99734212204976</v>
      </c>
      <c r="W55" s="588">
        <v>0</v>
      </c>
      <c r="X55" s="588"/>
      <c r="Y55" s="588">
        <f t="shared" si="18"/>
        <v>0</v>
      </c>
      <c r="Z55" s="588"/>
      <c r="AA55" s="588">
        <v>0</v>
      </c>
      <c r="AB55" s="591"/>
      <c r="AC55" s="588">
        <f t="shared" si="19"/>
        <v>0</v>
      </c>
      <c r="AE55" s="573"/>
      <c r="AH55" s="574"/>
    </row>
    <row r="56" spans="2:34">
      <c r="B56" s="571">
        <f t="shared" ca="1" si="0"/>
        <v>44</v>
      </c>
      <c r="D56" s="590">
        <v>3.1099999999999977</v>
      </c>
      <c r="F56" s="588" t="str" cm="1">
        <f t="array" ref="F56">+INDEX('ADJ DETAIL-INPUT'!$E$6:$CD$6&amp;" "&amp;'ADJ DETAIL-INPUT'!$E$7:$CD$7&amp;" "&amp;'ADJ DETAIL-INPUT'!$E$8:$CD$8,1,MATCH($D56,'ADJ DETAIL-INPUT'!$E$9:$CD$9,0))</f>
        <v>Pro Forma  Property Tax</v>
      </c>
      <c r="I56" s="588">
        <v>146.15</v>
      </c>
      <c r="J56" s="588"/>
      <c r="K56" s="588">
        <v>0</v>
      </c>
      <c r="L56" s="588"/>
      <c r="M56" s="588">
        <f t="shared" si="25"/>
        <v>-194.22443121411865</v>
      </c>
      <c r="P56" s="588">
        <f t="shared" si="2"/>
        <v>146.15</v>
      </c>
      <c r="Q56" s="588"/>
      <c r="R56" s="588">
        <f t="shared" si="3"/>
        <v>0</v>
      </c>
      <c r="S56" s="588"/>
      <c r="T56" s="588">
        <f t="shared" si="26"/>
        <v>-194.22443121411865</v>
      </c>
      <c r="W56" s="588">
        <v>0</v>
      </c>
      <c r="X56" s="588"/>
      <c r="Y56" s="588">
        <f t="shared" si="18"/>
        <v>0</v>
      </c>
      <c r="Z56" s="588"/>
      <c r="AA56" s="588">
        <v>0</v>
      </c>
      <c r="AB56" s="591"/>
      <c r="AC56" s="588">
        <f t="shared" si="19"/>
        <v>0</v>
      </c>
      <c r="AE56" s="573" t="s">
        <v>911</v>
      </c>
      <c r="AH56" s="574"/>
    </row>
    <row r="57" spans="2:34">
      <c r="B57" s="571">
        <f t="shared" ca="1" si="0"/>
        <v>45</v>
      </c>
      <c r="D57" s="654">
        <v>3.1099999999999977</v>
      </c>
      <c r="E57" s="607"/>
      <c r="F57" s="609" t="s">
        <v>944</v>
      </c>
      <c r="G57" s="608"/>
      <c r="H57" s="608"/>
      <c r="I57" s="609">
        <v>0</v>
      </c>
      <c r="J57" s="609"/>
      <c r="K57" s="609">
        <v>0</v>
      </c>
      <c r="L57" s="609"/>
      <c r="M57" s="609">
        <f t="shared" si="25"/>
        <v>0</v>
      </c>
      <c r="N57" s="608"/>
      <c r="O57" s="607"/>
      <c r="P57" s="609">
        <f t="shared" ref="P57" si="30">+I57+Y57</f>
        <v>428.97</v>
      </c>
      <c r="Q57" s="609"/>
      <c r="R57" s="609">
        <f t="shared" ref="R57" si="31">+K57+AA57</f>
        <v>0</v>
      </c>
      <c r="S57" s="609"/>
      <c r="T57" s="609">
        <f t="shared" si="26"/>
        <v>-570.07495215819688</v>
      </c>
      <c r="U57" s="607"/>
      <c r="V57" s="607"/>
      <c r="W57" s="609">
        <v>543</v>
      </c>
      <c r="X57" s="609"/>
      <c r="Y57" s="609">
        <f t="shared" ref="Y57" si="32">+W57*(1-$AJ$5)</f>
        <v>428.97</v>
      </c>
      <c r="Z57" s="609"/>
      <c r="AA57" s="609">
        <v>0</v>
      </c>
      <c r="AB57" s="611"/>
      <c r="AC57" s="609">
        <f t="shared" ref="AC57" si="33">+T57-M57</f>
        <v>-570.07495215819688</v>
      </c>
      <c r="AD57" s="608"/>
      <c r="AE57" s="610" t="s">
        <v>964</v>
      </c>
      <c r="AH57" s="574"/>
    </row>
    <row r="58" spans="2:34">
      <c r="B58" s="571">
        <f ca="1">+MAX(OFFSET($B$7,0,0,ROW($B58)-ROW($B$7),1))+1</f>
        <v>46</v>
      </c>
      <c r="D58" s="590">
        <v>3.1199999999999974</v>
      </c>
      <c r="F58" s="588" t="str" cm="1">
        <f t="array" ref="F58">+INDEX('ADJ DETAIL-INPUT'!$E$6:$CD$6&amp;" "&amp;'ADJ DETAIL-INPUT'!$E$7:$CD$7&amp;" "&amp;'ADJ DETAIL-INPUT'!$E$8:$CD$8,1,MATCH($D58,'ADJ DETAIL-INPUT'!$E$9:$CD$9,0))</f>
        <v>Pro Forma Insurance Expense</v>
      </c>
      <c r="I58" s="588">
        <v>-4155.3999999999996</v>
      </c>
      <c r="J58" s="588"/>
      <c r="K58" s="588">
        <v>0</v>
      </c>
      <c r="L58" s="588"/>
      <c r="M58" s="588">
        <f t="shared" si="25"/>
        <v>5522.2730172230486</v>
      </c>
      <c r="P58" s="588">
        <f t="shared" si="2"/>
        <v>-4155.3999999999996</v>
      </c>
      <c r="Q58" s="588"/>
      <c r="R58" s="588">
        <f t="shared" si="3"/>
        <v>0</v>
      </c>
      <c r="S58" s="588"/>
      <c r="T58" s="588">
        <f t="shared" si="26"/>
        <v>5522.2730172230486</v>
      </c>
      <c r="W58" s="588">
        <v>0</v>
      </c>
      <c r="X58" s="588"/>
      <c r="Y58" s="588">
        <f t="shared" si="18"/>
        <v>0</v>
      </c>
      <c r="Z58" s="588"/>
      <c r="AA58" s="588">
        <v>0</v>
      </c>
      <c r="AB58" s="591"/>
      <c r="AC58" s="588">
        <f t="shared" si="19"/>
        <v>0</v>
      </c>
      <c r="AE58" s="573"/>
      <c r="AH58" s="574"/>
    </row>
    <row r="59" spans="2:34">
      <c r="B59" s="571">
        <f ca="1">+MAX(OFFSET($B$7,0,0,ROW($B59)-ROW($B$7),1))+1</f>
        <v>47</v>
      </c>
      <c r="D59" s="590">
        <v>3.1299999999999972</v>
      </c>
      <c r="F59" s="588" t="str" cm="1">
        <f t="array" ref="F59">+INDEX('ADJ DETAIL-INPUT'!$E$6:$CD$6&amp;" "&amp;'ADJ DETAIL-INPUT'!$E$7:$CD$7&amp;" "&amp;'ADJ DETAIL-INPUT'!$E$8:$CD$8,1,MATCH($D59,'ADJ DETAIL-INPUT'!$E$9:$CD$9,0))</f>
        <v>Pro Forma  IS/IT Expense</v>
      </c>
      <c r="I59" s="588">
        <v>-80.185000000000002</v>
      </c>
      <c r="J59" s="588"/>
      <c r="K59" s="588">
        <v>0</v>
      </c>
      <c r="L59" s="588"/>
      <c r="M59" s="588">
        <f t="shared" si="25"/>
        <v>106.56097172017861</v>
      </c>
      <c r="P59" s="588">
        <f t="shared" si="2"/>
        <v>-80.185000000000002</v>
      </c>
      <c r="Q59" s="588"/>
      <c r="R59" s="588">
        <f t="shared" si="3"/>
        <v>0</v>
      </c>
      <c r="S59" s="588"/>
      <c r="T59" s="588">
        <f t="shared" si="26"/>
        <v>106.56097172017861</v>
      </c>
      <c r="W59" s="588">
        <v>0</v>
      </c>
      <c r="X59" s="588"/>
      <c r="Y59" s="588">
        <f t="shared" si="18"/>
        <v>0</v>
      </c>
      <c r="Z59" s="588"/>
      <c r="AA59" s="588">
        <v>0</v>
      </c>
      <c r="AB59" s="591"/>
      <c r="AC59" s="588">
        <f t="shared" si="19"/>
        <v>0</v>
      </c>
      <c r="AE59" s="573"/>
      <c r="AH59" s="574"/>
    </row>
    <row r="60" spans="2:34">
      <c r="B60" s="571">
        <f ca="1">+MAX(OFFSET($B$7,0,0,ROW($B60)-ROW($B$7),1))+1</f>
        <v>48</v>
      </c>
      <c r="D60" s="590">
        <v>3.139999999999997</v>
      </c>
      <c r="F60" s="588" t="str" cm="1">
        <f t="array" ref="F60">+INDEX('ADJ DETAIL-INPUT'!$E$6:$CD$6&amp;" "&amp;'ADJ DETAIL-INPUT'!$E$7:$CD$7&amp;" "&amp;'ADJ DETAIL-INPUT'!$E$8:$CD$8,1,MATCH($D60,'ADJ DETAIL-INPUT'!$E$9:$CD$9,0))</f>
        <v>Pro Forma Misc O&amp;M Exp</v>
      </c>
      <c r="I60" s="588">
        <v>-7012.0004999999992</v>
      </c>
      <c r="J60" s="588"/>
      <c r="K60" s="588">
        <v>0</v>
      </c>
      <c r="L60" s="588"/>
      <c r="M60" s="588">
        <f t="shared" si="25"/>
        <v>9318.5207580267906</v>
      </c>
      <c r="P60" s="588">
        <f t="shared" si="2"/>
        <v>-7012.0004999999992</v>
      </c>
      <c r="Q60" s="588"/>
      <c r="R60" s="588">
        <f t="shared" si="3"/>
        <v>0</v>
      </c>
      <c r="S60" s="588"/>
      <c r="T60" s="588">
        <f t="shared" si="26"/>
        <v>9318.5207580267906</v>
      </c>
      <c r="W60" s="588">
        <v>0</v>
      </c>
      <c r="X60" s="588"/>
      <c r="Y60" s="588">
        <f t="shared" si="18"/>
        <v>0</v>
      </c>
      <c r="Z60" s="588"/>
      <c r="AA60" s="588">
        <v>0</v>
      </c>
      <c r="AB60" s="591"/>
      <c r="AC60" s="588">
        <f t="shared" si="19"/>
        <v>0</v>
      </c>
      <c r="AE60" s="573" t="s">
        <v>911</v>
      </c>
      <c r="AH60" s="574"/>
    </row>
    <row r="61" spans="2:34">
      <c r="B61" s="571">
        <f ca="1">+MAX(OFFSET($B$7,0,0,ROW($B61)-ROW($B$7),1))+1</f>
        <v>49</v>
      </c>
      <c r="C61" s="653"/>
      <c r="D61" s="654">
        <v>3.139999999999997</v>
      </c>
      <c r="E61" s="607"/>
      <c r="F61" s="609" t="s">
        <v>930</v>
      </c>
      <c r="G61" s="608"/>
      <c r="H61" s="608"/>
      <c r="I61" s="609">
        <v>0</v>
      </c>
      <c r="J61" s="609"/>
      <c r="K61" s="609">
        <v>0</v>
      </c>
      <c r="L61" s="609"/>
      <c r="M61" s="609">
        <f t="shared" si="25"/>
        <v>0</v>
      </c>
      <c r="N61" s="608"/>
      <c r="O61" s="607"/>
      <c r="P61" s="609">
        <f t="shared" ref="P61" si="34">+I61+Y61</f>
        <v>7011.9995589044584</v>
      </c>
      <c r="Q61" s="609"/>
      <c r="R61" s="609">
        <f t="shared" ref="R61" si="35">+K61+AA61</f>
        <v>0</v>
      </c>
      <c r="S61" s="609"/>
      <c r="T61" s="609">
        <f t="shared" si="26"/>
        <v>-9318.5195073682462</v>
      </c>
      <c r="U61" s="607"/>
      <c r="V61" s="607"/>
      <c r="W61" s="609">
        <f>-[6]Electric!$K$172/1000</f>
        <v>8875.9488087398204</v>
      </c>
      <c r="X61" s="609"/>
      <c r="Y61" s="609">
        <f>+W61*(1-$AJ$5)+(AA61*$AL$13*$AJ$5)</f>
        <v>7011.9995589044584</v>
      </c>
      <c r="Z61" s="609"/>
      <c r="AA61" s="609">
        <v>0</v>
      </c>
      <c r="AB61" s="611"/>
      <c r="AC61" s="609">
        <f t="shared" ref="AC61" si="36">+T61-M61</f>
        <v>-9318.5195073682462</v>
      </c>
      <c r="AD61" s="608"/>
      <c r="AE61" s="610" t="s">
        <v>964</v>
      </c>
      <c r="AH61" s="574"/>
    </row>
    <row r="62" spans="2:34">
      <c r="B62" s="571">
        <f t="shared" ref="B62:B103" ca="1" si="37">+MAX(OFFSET($B$7,0,0,ROW($B62)-ROW($B$7),1))+1</f>
        <v>50</v>
      </c>
      <c r="D62" s="590">
        <v>3.1499999999999968</v>
      </c>
      <c r="F62" s="588" t="str" cm="1">
        <f t="array" ref="F62">+INDEX('ADJ DETAIL-INPUT'!$E$6:$CD$6&amp;" "&amp;'ADJ DETAIL-INPUT'!$E$7:$CD$7&amp;" "&amp;'ADJ DETAIL-INPUT'!$E$8:$CD$8,1,MATCH($D62,'ADJ DETAIL-INPUT'!$E$9:$CD$9,0))</f>
        <v>Pro Forma Capital Additions to 12.31.2023 EOP</v>
      </c>
      <c r="I62" s="588">
        <v>-2860.8231869129622</v>
      </c>
      <c r="J62" s="588"/>
      <c r="K62" s="588">
        <v>83421.310559021265</v>
      </c>
      <c r="L62" s="588"/>
      <c r="M62" s="588">
        <f t="shared" si="25"/>
        <v>11595.446150345731</v>
      </c>
      <c r="P62" s="588">
        <f t="shared" si="2"/>
        <v>-2860.8231869129622</v>
      </c>
      <c r="Q62" s="588"/>
      <c r="R62" s="588">
        <f t="shared" si="3"/>
        <v>83421.310559021265</v>
      </c>
      <c r="S62" s="588"/>
      <c r="T62" s="588">
        <f t="shared" si="26"/>
        <v>11595.446150345731</v>
      </c>
      <c r="W62" s="588">
        <v>0</v>
      </c>
      <c r="X62" s="588"/>
      <c r="Y62" s="588">
        <f t="shared" si="18"/>
        <v>0</v>
      </c>
      <c r="Z62" s="588"/>
      <c r="AA62" s="588">
        <v>0</v>
      </c>
      <c r="AB62" s="591"/>
      <c r="AC62" s="588">
        <f t="shared" si="19"/>
        <v>0</v>
      </c>
      <c r="AE62" s="573"/>
      <c r="AH62" s="574"/>
    </row>
    <row r="63" spans="2:34">
      <c r="B63" s="571">
        <f t="shared" ca="1" si="37"/>
        <v>51</v>
      </c>
      <c r="D63" s="571">
        <v>3.1599999999999966</v>
      </c>
      <c r="F63" s="588" t="str" cm="1">
        <f t="array" ref="F63">+INDEX('ADJ DETAIL-INPUT'!$E$6:$CD$6&amp;" "&amp;'ADJ DETAIL-INPUT'!$E$7:$CD$7&amp;" "&amp;'ADJ DETAIL-INPUT'!$E$8:$CD$8,1,MATCH($D63,'ADJ DETAIL-INPUT'!$E$9:$CD$9,0))</f>
        <v>Pro Forma Depreciation Expense</v>
      </c>
      <c r="I63" s="588">
        <v>592.73699999999997</v>
      </c>
      <c r="J63" s="588"/>
      <c r="K63" s="588">
        <v>0</v>
      </c>
      <c r="L63" s="588"/>
      <c r="M63" s="588">
        <f t="shared" si="25"/>
        <v>-787.71130129704432</v>
      </c>
      <c r="P63" s="588">
        <f t="shared" si="2"/>
        <v>592.73699999999997</v>
      </c>
      <c r="Q63" s="588"/>
      <c r="R63" s="588">
        <f t="shared" si="3"/>
        <v>0</v>
      </c>
      <c r="S63" s="588"/>
      <c r="T63" s="588">
        <f t="shared" si="26"/>
        <v>-787.71130129704432</v>
      </c>
      <c r="W63" s="588">
        <v>0</v>
      </c>
      <c r="X63" s="588"/>
      <c r="Y63" s="588">
        <f t="shared" si="18"/>
        <v>0</v>
      </c>
      <c r="Z63" s="588"/>
      <c r="AA63" s="588">
        <v>0</v>
      </c>
      <c r="AB63" s="591"/>
      <c r="AC63" s="588">
        <f t="shared" si="19"/>
        <v>0</v>
      </c>
      <c r="AE63" s="573"/>
      <c r="AH63" s="574"/>
    </row>
    <row r="64" spans="2:34">
      <c r="B64" s="571">
        <f t="shared" ca="1" si="37"/>
        <v>52</v>
      </c>
      <c r="D64" s="590">
        <v>3.1699999999999964</v>
      </c>
      <c r="F64" s="588" t="str" cm="1">
        <f t="array" ref="F64">+INDEX('ADJ DETAIL-INPUT'!$E$6:$CD$6&amp;" "&amp;'ADJ DETAIL-INPUT'!$E$7:$CD$7&amp;" "&amp;'ADJ DETAIL-INPUT'!$E$8:$CD$8,1,MATCH($D64,'ADJ DETAIL-INPUT'!$E$9:$CD$9,0))</f>
        <v>Pro Forma Capital Additions to 12.31.2024 EOP</v>
      </c>
      <c r="I64" s="588">
        <v>-3292.1299926000002</v>
      </c>
      <c r="J64" s="588"/>
      <c r="K64" s="588">
        <v>70224.200000000012</v>
      </c>
      <c r="L64" s="587"/>
      <c r="M64" s="588">
        <f t="shared" si="25"/>
        <v>10935.694307622796</v>
      </c>
      <c r="O64" s="570"/>
      <c r="P64" s="588">
        <f t="shared" si="2"/>
        <v>-3292.1299926000002</v>
      </c>
      <c r="Q64" s="588"/>
      <c r="R64" s="588">
        <f t="shared" si="3"/>
        <v>70224.200000000012</v>
      </c>
      <c r="S64" s="588"/>
      <c r="T64" s="588">
        <f t="shared" si="26"/>
        <v>10935.694307622796</v>
      </c>
      <c r="W64" s="588">
        <v>0</v>
      </c>
      <c r="X64" s="588"/>
      <c r="Y64" s="588">
        <f t="shared" si="18"/>
        <v>0</v>
      </c>
      <c r="Z64" s="588"/>
      <c r="AA64" s="588">
        <v>0</v>
      </c>
      <c r="AB64" s="591"/>
      <c r="AC64" s="588">
        <f t="shared" si="19"/>
        <v>0</v>
      </c>
      <c r="AE64" s="573"/>
      <c r="AH64" s="574"/>
    </row>
    <row r="65" spans="2:34">
      <c r="B65" s="571">
        <f t="shared" ca="1" si="37"/>
        <v>53</v>
      </c>
      <c r="D65" s="590">
        <v>3.1799999999999962</v>
      </c>
      <c r="F65" s="588" t="str" cm="1">
        <f t="array" ref="F65">+INDEX('ADJ DETAIL-INPUT'!$E$6:$CD$6&amp;" "&amp;'ADJ DETAIL-INPUT'!$E$7:$CD$7&amp;" "&amp;'ADJ DETAIL-INPUT'!$E$8:$CD$8,1,MATCH($D65,'ADJ DETAIL-INPUT'!$E$9:$CD$9,0))</f>
        <v>Pro Forma New Regulatory Amortizations</v>
      </c>
      <c r="I65" s="588">
        <v>-3616.4619999999995</v>
      </c>
      <c r="J65" s="588"/>
      <c r="K65" s="588">
        <v>0</v>
      </c>
      <c r="L65" s="587"/>
      <c r="M65" s="588">
        <f t="shared" si="25"/>
        <v>4806.0573038486064</v>
      </c>
      <c r="O65" s="570"/>
      <c r="P65" s="588">
        <f t="shared" si="2"/>
        <v>-3616.4619999999995</v>
      </c>
      <c r="Q65" s="588"/>
      <c r="R65" s="588">
        <f t="shared" si="3"/>
        <v>0</v>
      </c>
      <c r="S65" s="588"/>
      <c r="T65" s="588">
        <f t="shared" si="26"/>
        <v>4806.0573038486064</v>
      </c>
      <c r="W65" s="588">
        <v>0</v>
      </c>
      <c r="X65" s="588"/>
      <c r="Y65" s="588">
        <f t="shared" si="18"/>
        <v>0</v>
      </c>
      <c r="Z65" s="588"/>
      <c r="AA65" s="588">
        <v>0</v>
      </c>
      <c r="AB65" s="591"/>
      <c r="AC65" s="588">
        <f t="shared" si="19"/>
        <v>0</v>
      </c>
      <c r="AE65" s="573"/>
      <c r="AH65" s="574"/>
    </row>
    <row r="66" spans="2:34">
      <c r="B66" s="571">
        <f t="shared" ca="1" si="37"/>
        <v>54</v>
      </c>
      <c r="D66" s="590">
        <v>3.1899999999999959</v>
      </c>
      <c r="F66" s="588" t="str" cm="1">
        <f t="array" ref="F66">+INDEX('ADJ DETAIL-INPUT'!$E$6:$CD$6&amp;" "&amp;'ADJ DETAIL-INPUT'!$E$7:$CD$7&amp;" "&amp;'ADJ DETAIL-INPUT'!$E$8:$CD$8,1,MATCH($D66,'ADJ DETAIL-INPUT'!$E$9:$CD$9,0))</f>
        <v>Pro Forma Nucleus/ETRM Expense</v>
      </c>
      <c r="I66" s="588">
        <v>-444.77</v>
      </c>
      <c r="J66" s="588"/>
      <c r="K66" s="588">
        <v>0</v>
      </c>
      <c r="L66" s="588"/>
      <c r="M66" s="588">
        <f t="shared" si="25"/>
        <v>591.07218796512859</v>
      </c>
      <c r="P66" s="588">
        <f t="shared" si="2"/>
        <v>-444.77</v>
      </c>
      <c r="Q66" s="588"/>
      <c r="R66" s="588">
        <f t="shared" si="3"/>
        <v>0</v>
      </c>
      <c r="S66" s="588"/>
      <c r="T66" s="588">
        <f t="shared" si="26"/>
        <v>591.07218796512859</v>
      </c>
      <c r="W66" s="588">
        <v>0</v>
      </c>
      <c r="X66" s="588"/>
      <c r="Y66" s="588">
        <f t="shared" si="18"/>
        <v>0</v>
      </c>
      <c r="Z66" s="588"/>
      <c r="AA66" s="588">
        <v>0</v>
      </c>
      <c r="AB66" s="591"/>
      <c r="AC66" s="588">
        <f t="shared" si="19"/>
        <v>0</v>
      </c>
      <c r="AE66" s="573"/>
      <c r="AH66" s="574"/>
    </row>
    <row r="67" spans="2:34">
      <c r="B67" s="571">
        <f t="shared" ca="1" si="37"/>
        <v>55</v>
      </c>
      <c r="D67" s="590">
        <v>3.1999999999999957</v>
      </c>
      <c r="F67" s="588" t="str" cm="1">
        <f t="array" ref="F67">+INDEX('ADJ DETAIL-INPUT'!$E$6:$CD$6&amp;" "&amp;'ADJ DETAIL-INPUT'!$E$7:$CD$7&amp;" "&amp;'ADJ DETAIL-INPUT'!$E$8:$CD$8,1,MATCH($D67,'ADJ DETAIL-INPUT'!$E$9:$CD$9,0))</f>
        <v>Pro Forma BOD Fees Expense</v>
      </c>
      <c r="I67" s="588">
        <v>-374.38099999999997</v>
      </c>
      <c r="J67" s="588"/>
      <c r="K67" s="588">
        <v>0</v>
      </c>
      <c r="L67" s="588"/>
      <c r="M67" s="588">
        <f t="shared" si="25"/>
        <v>497.52950244524766</v>
      </c>
      <c r="P67" s="588">
        <f t="shared" si="2"/>
        <v>-374.38099999999997</v>
      </c>
      <c r="Q67" s="588"/>
      <c r="R67" s="588">
        <f t="shared" si="3"/>
        <v>0</v>
      </c>
      <c r="S67" s="588"/>
      <c r="T67" s="588">
        <f t="shared" si="26"/>
        <v>497.52950244524766</v>
      </c>
      <c r="W67" s="588">
        <v>0</v>
      </c>
      <c r="X67" s="588"/>
      <c r="Y67" s="588">
        <f t="shared" si="18"/>
        <v>0</v>
      </c>
      <c r="Z67" s="588"/>
      <c r="AA67" s="588">
        <v>0</v>
      </c>
      <c r="AB67" s="591"/>
      <c r="AC67" s="588">
        <f t="shared" si="19"/>
        <v>0</v>
      </c>
      <c r="AE67" s="573" t="s">
        <v>911</v>
      </c>
      <c r="AH67" s="574"/>
    </row>
    <row r="68" spans="2:34">
      <c r="B68" s="571">
        <f t="shared" ca="1" si="37"/>
        <v>56</v>
      </c>
      <c r="D68" s="654">
        <v>3.1999999999999957</v>
      </c>
      <c r="E68" s="607"/>
      <c r="F68" s="609" t="s">
        <v>946</v>
      </c>
      <c r="G68" s="608"/>
      <c r="H68" s="608"/>
      <c r="I68" s="609">
        <v>0</v>
      </c>
      <c r="J68" s="609"/>
      <c r="K68" s="609">
        <v>0</v>
      </c>
      <c r="L68" s="609"/>
      <c r="M68" s="609">
        <f t="shared" si="25"/>
        <v>0</v>
      </c>
      <c r="N68" s="608"/>
      <c r="O68" s="607"/>
      <c r="P68" s="609">
        <f t="shared" ref="P68" si="38">+I68+Y68</f>
        <v>616.2979600000001</v>
      </c>
      <c r="Q68" s="609"/>
      <c r="R68" s="609">
        <f t="shared" ref="R68" si="39">+K68+AA68</f>
        <v>0</v>
      </c>
      <c r="S68" s="609"/>
      <c r="T68" s="609">
        <f t="shared" si="26"/>
        <v>-819.02237933234119</v>
      </c>
      <c r="U68" s="607"/>
      <c r="V68" s="607"/>
      <c r="W68" s="609">
        <f>-'[7]MR-BOD-3'!$K$12/1000</f>
        <v>780.12400000000002</v>
      </c>
      <c r="X68" s="609"/>
      <c r="Y68" s="609">
        <f t="shared" ref="Y68" si="40">+W68*(1-$AJ$5)</f>
        <v>616.2979600000001</v>
      </c>
      <c r="Z68" s="609"/>
      <c r="AA68" s="609">
        <v>0</v>
      </c>
      <c r="AB68" s="611"/>
      <c r="AC68" s="609">
        <f t="shared" ref="AC68" si="41">+T68-M68</f>
        <v>-819.02237933234119</v>
      </c>
      <c r="AD68" s="608"/>
      <c r="AE68" s="610" t="s">
        <v>964</v>
      </c>
      <c r="AH68" s="574"/>
    </row>
    <row r="69" spans="2:34">
      <c r="B69" s="571">
        <f t="shared" ca="1" si="37"/>
        <v>57</v>
      </c>
      <c r="D69" s="590">
        <v>3.2099999999999955</v>
      </c>
      <c r="F69" s="588" t="str" cm="1">
        <f t="array" ref="F69">+INDEX('ADJ DETAIL-INPUT'!$E$6:$CD$6&amp;" "&amp;'ADJ DETAIL-INPUT'!$E$7:$CD$7&amp;" "&amp;'ADJ DETAIL-INPUT'!$E$8:$CD$8,1,MATCH($D69,'ADJ DETAIL-INPUT'!$E$9:$CD$9,0))</f>
        <v>PF Transportation Electrification Return (Kicker)</v>
      </c>
      <c r="I69" s="588">
        <v>-104.28</v>
      </c>
      <c r="J69" s="588"/>
      <c r="K69" s="588">
        <v>0</v>
      </c>
      <c r="L69" s="588"/>
      <c r="M69" s="588">
        <f t="shared" si="25"/>
        <v>138.58175632574952</v>
      </c>
      <c r="P69" s="588">
        <f>+I69+Y69</f>
        <v>-104.28</v>
      </c>
      <c r="Q69" s="588"/>
      <c r="R69" s="588">
        <f>+K69+AA69</f>
        <v>0</v>
      </c>
      <c r="S69" s="588"/>
      <c r="T69" s="588">
        <f t="shared" si="26"/>
        <v>138.58175632574952</v>
      </c>
      <c r="W69" s="588">
        <v>0</v>
      </c>
      <c r="X69" s="588"/>
      <c r="Y69" s="588">
        <f t="shared" si="18"/>
        <v>0</v>
      </c>
      <c r="Z69" s="588"/>
      <c r="AA69" s="588">
        <v>0</v>
      </c>
      <c r="AB69" s="591"/>
      <c r="AC69" s="588">
        <f t="shared" si="19"/>
        <v>0</v>
      </c>
      <c r="AE69" s="573"/>
      <c r="AH69" s="574"/>
    </row>
    <row r="70" spans="2:34">
      <c r="B70" s="571">
        <f t="shared" ca="1" si="37"/>
        <v>58</v>
      </c>
      <c r="D70" s="590">
        <v>3.2199999999999953</v>
      </c>
      <c r="F70" s="588" t="str" cm="1">
        <f t="array" ref="F70">+INDEX('ADJ DETAIL-INPUT'!$E$6:$CD$6&amp;" "&amp;'ADJ DETAIL-INPUT'!$E$7:$CD$7&amp;" "&amp;'ADJ DETAIL-INPUT'!$E$8:$CD$8,1,MATCH($D70,'ADJ DETAIL-INPUT'!$E$9:$CD$9,0))</f>
        <v xml:space="preserve">Pro Forma Remove Normalize CS2 Major Maint </v>
      </c>
      <c r="I70" s="588">
        <v>263.86</v>
      </c>
      <c r="J70" s="588"/>
      <c r="K70" s="588">
        <v>0</v>
      </c>
      <c r="L70" s="588"/>
      <c r="M70" s="588">
        <f t="shared" si="25"/>
        <v>-350.65383797576015</v>
      </c>
      <c r="P70" s="588">
        <f>+I70+Y70</f>
        <v>263.86</v>
      </c>
      <c r="Q70" s="588"/>
      <c r="R70" s="588">
        <f>+K70+AA70</f>
        <v>0</v>
      </c>
      <c r="S70" s="588"/>
      <c r="T70" s="588">
        <f t="shared" si="26"/>
        <v>-350.65383797576015</v>
      </c>
      <c r="W70" s="588">
        <v>0</v>
      </c>
      <c r="X70" s="588"/>
      <c r="Y70" s="588">
        <f t="shared" si="18"/>
        <v>0</v>
      </c>
      <c r="Z70" s="588"/>
      <c r="AA70" s="588">
        <v>0</v>
      </c>
      <c r="AB70" s="591"/>
      <c r="AC70" s="588">
        <f t="shared" si="19"/>
        <v>0</v>
      </c>
      <c r="AE70" s="573"/>
      <c r="AH70" s="574"/>
    </row>
    <row r="71" spans="2:34">
      <c r="B71" s="571">
        <f t="shared" ca="1" si="37"/>
        <v>59</v>
      </c>
      <c r="D71" s="590">
        <v>3.2299999999999951</v>
      </c>
      <c r="F71" s="588" t="str" cm="1">
        <f t="array" ref="F71">+INDEX('ADJ DETAIL-INPUT'!$E$6:$CD$6&amp;" "&amp;'ADJ DETAIL-INPUT'!$E$7:$CD$7&amp;" "&amp;'ADJ DETAIL-INPUT'!$E$8:$CD$8,1,MATCH($D71,'ADJ DETAIL-INPUT'!$E$9:$CD$9,0))</f>
        <v>Pro Forma PPA Interest</v>
      </c>
      <c r="I71" s="588">
        <v>-1705.6100000000001</v>
      </c>
      <c r="J71" s="588"/>
      <c r="K71" s="588">
        <v>0</v>
      </c>
      <c r="L71" s="588"/>
      <c r="M71" s="588">
        <f t="shared" si="25"/>
        <v>2266.6516053582818</v>
      </c>
      <c r="P71" s="588">
        <f t="shared" si="2"/>
        <v>-1705.6100000000001</v>
      </c>
      <c r="Q71" s="588"/>
      <c r="R71" s="588">
        <f t="shared" si="3"/>
        <v>0</v>
      </c>
      <c r="S71" s="588"/>
      <c r="T71" s="588">
        <f t="shared" si="26"/>
        <v>2266.6516053582818</v>
      </c>
      <c r="W71" s="588">
        <v>0</v>
      </c>
      <c r="X71" s="588"/>
      <c r="Y71" s="588">
        <f t="shared" si="18"/>
        <v>0</v>
      </c>
      <c r="Z71" s="588"/>
      <c r="AA71" s="588">
        <v>0</v>
      </c>
      <c r="AB71" s="591"/>
      <c r="AC71" s="588">
        <f t="shared" si="19"/>
        <v>0</v>
      </c>
      <c r="AE71" s="573"/>
      <c r="AH71" s="574"/>
    </row>
    <row r="72" spans="2:34">
      <c r="B72" s="571">
        <f t="shared" ca="1" si="37"/>
        <v>60</v>
      </c>
      <c r="D72" s="590">
        <v>3.2399999999999949</v>
      </c>
      <c r="F72" s="588" t="str" cm="1">
        <f t="array" ref="F72">+INDEX('ADJ DETAIL-INPUT'!$E$6:$CD$6&amp;" "&amp;'ADJ DETAIL-INPUT'!$E$7:$CD$7&amp;" "&amp;'ADJ DETAIL-INPUT'!$E$8:$CD$8,1,MATCH($D72,'ADJ DETAIL-INPUT'!$E$9:$CD$9,0))</f>
        <v>Pro Forma Wildfire Expense</v>
      </c>
      <c r="I72" s="588">
        <v>-3204.24</v>
      </c>
      <c r="J72" s="588"/>
      <c r="K72" s="588">
        <v>0</v>
      </c>
      <c r="L72" s="588"/>
      <c r="M72" s="588">
        <f t="shared" si="25"/>
        <v>4258.2394216457578</v>
      </c>
      <c r="P72" s="588">
        <f t="shared" si="2"/>
        <v>-3204.24</v>
      </c>
      <c r="Q72" s="588"/>
      <c r="R72" s="588">
        <f t="shared" si="3"/>
        <v>0</v>
      </c>
      <c r="S72" s="588"/>
      <c r="T72" s="588">
        <f t="shared" si="26"/>
        <v>4258.2394216457578</v>
      </c>
      <c r="W72" s="588">
        <v>0</v>
      </c>
      <c r="X72" s="588"/>
      <c r="Y72" s="588">
        <f t="shared" si="18"/>
        <v>0</v>
      </c>
      <c r="Z72" s="588"/>
      <c r="AA72" s="588">
        <v>0</v>
      </c>
      <c r="AB72" s="591"/>
      <c r="AC72" s="588">
        <f t="shared" si="19"/>
        <v>0</v>
      </c>
      <c r="AE72" s="573"/>
      <c r="AH72" s="574"/>
    </row>
    <row r="73" spans="2:34">
      <c r="B73" s="571">
        <f t="shared" ca="1" si="37"/>
        <v>61</v>
      </c>
      <c r="D73" s="590">
        <v>4.01</v>
      </c>
      <c r="F73" s="588" t="str" cm="1">
        <f t="array" ref="F73">+INDEX('ADJ DETAIL-INPUT'!$E$6:$CD$6&amp;" "&amp;'ADJ DETAIL-INPUT'!$E$7:$CD$7&amp;" "&amp;'ADJ DETAIL-INPUT'!$E$8:$CD$8,1,MATCH($D73,'ADJ DETAIL-INPUT'!$E$9:$CD$9,0))</f>
        <v>Provisional Capital Additions to 12.31.2025 AMA</v>
      </c>
      <c r="I73" s="588">
        <v>-4014.7885836657433</v>
      </c>
      <c r="J73" s="588"/>
      <c r="K73" s="588">
        <v>25760.870174959498</v>
      </c>
      <c r="L73" s="588"/>
      <c r="M73" s="588">
        <f t="shared" si="25"/>
        <v>7742.103121631666</v>
      </c>
      <c r="P73" s="588">
        <f t="shared" si="2"/>
        <v>-4014.7885836657433</v>
      </c>
      <c r="Q73" s="588"/>
      <c r="R73" s="588">
        <f t="shared" si="3"/>
        <v>25760.870174959498</v>
      </c>
      <c r="S73" s="588"/>
      <c r="T73" s="588">
        <f t="shared" si="26"/>
        <v>7742.103121631666</v>
      </c>
      <c r="W73" s="588">
        <v>0</v>
      </c>
      <c r="X73" s="588"/>
      <c r="Y73" s="588">
        <f t="shared" si="18"/>
        <v>0</v>
      </c>
      <c r="Z73" s="588"/>
      <c r="AA73" s="588">
        <v>0</v>
      </c>
      <c r="AB73" s="591"/>
      <c r="AC73" s="588">
        <f t="shared" si="19"/>
        <v>0</v>
      </c>
      <c r="AE73" s="573" t="s">
        <v>911</v>
      </c>
      <c r="AH73" s="574"/>
    </row>
    <row r="74" spans="2:34">
      <c r="B74" s="571">
        <f t="shared" ca="1" si="37"/>
        <v>62</v>
      </c>
      <c r="C74" s="607"/>
      <c r="D74" s="654">
        <v>4.01</v>
      </c>
      <c r="E74" s="607"/>
      <c r="F74" s="609" t="s">
        <v>947</v>
      </c>
      <c r="G74" s="608"/>
      <c r="H74" s="608"/>
      <c r="I74" s="609">
        <v>0</v>
      </c>
      <c r="J74" s="609"/>
      <c r="K74" s="609">
        <v>0</v>
      </c>
      <c r="L74" s="609"/>
      <c r="M74" s="609">
        <f t="shared" si="25"/>
        <v>0</v>
      </c>
      <c r="N74" s="608"/>
      <c r="O74" s="607"/>
      <c r="P74" s="609">
        <f t="shared" ref="P74" si="42">+I74+Y74</f>
        <v>4014.7891254656502</v>
      </c>
      <c r="Q74" s="609"/>
      <c r="R74" s="609">
        <f t="shared" ref="R74" si="43">+K74+AA74</f>
        <v>-25760.769785871867</v>
      </c>
      <c r="S74" s="609"/>
      <c r="T74" s="609">
        <f t="shared" si="26"/>
        <v>-7742.0944628594016</v>
      </c>
      <c r="U74" s="607"/>
      <c r="V74" s="607"/>
      <c r="W74" s="609">
        <f>-'[8]E-CAP SUMMARY'!$AH$79</f>
        <v>5258</v>
      </c>
      <c r="X74" s="609"/>
      <c r="Y74" s="609">
        <f>+W74*(1-$AJ$5)+(AA74*$AL$13*$AJ$5)</f>
        <v>4014.7891254656502</v>
      </c>
      <c r="Z74" s="609"/>
      <c r="AA74" s="609">
        <f>'[8]E-CAP SUMMARY'!$AH$77</f>
        <v>-25760.769785871867</v>
      </c>
      <c r="AB74" s="611"/>
      <c r="AC74" s="609">
        <f t="shared" ref="AC74" si="44">+T74-M74</f>
        <v>-7742.0944628594016</v>
      </c>
      <c r="AD74" s="608"/>
      <c r="AE74" s="610" t="s">
        <v>964</v>
      </c>
      <c r="AH74" s="574"/>
    </row>
    <row r="75" spans="2:34">
      <c r="B75" s="571">
        <f t="shared" ca="1" si="37"/>
        <v>63</v>
      </c>
      <c r="D75" s="590">
        <v>4.0199999999999996</v>
      </c>
      <c r="F75" s="588" t="str" cm="1">
        <f t="array" ref="F75">+INDEX('ADJ DETAIL-INPUT'!$E$6:$CD$6&amp;" "&amp;'ADJ DETAIL-INPUT'!$E$7:$CD$7&amp;" "&amp;'ADJ DETAIL-INPUT'!$E$8:$CD$8,1,MATCH($D75,'ADJ DETAIL-INPUT'!$E$9:$CD$9,0))</f>
        <v>2024-2025 Capital Adds O&amp;M &amp; Revenue Offsets</v>
      </c>
      <c r="I75" s="588">
        <v>5766.0599000000002</v>
      </c>
      <c r="J75" s="588"/>
      <c r="K75" s="588">
        <v>0</v>
      </c>
      <c r="L75" s="588"/>
      <c r="M75" s="588">
        <f t="shared" si="25"/>
        <v>-7662.7417339995745</v>
      </c>
      <c r="P75" s="588">
        <f t="shared" si="2"/>
        <v>5766.0599000000002</v>
      </c>
      <c r="Q75" s="588"/>
      <c r="R75" s="588">
        <f t="shared" si="3"/>
        <v>0</v>
      </c>
      <c r="S75" s="588"/>
      <c r="T75" s="588">
        <f t="shared" si="26"/>
        <v>-7662.7417339995745</v>
      </c>
      <c r="W75" s="588">
        <v>0</v>
      </c>
      <c r="X75" s="588"/>
      <c r="Y75" s="588">
        <f t="shared" si="18"/>
        <v>0</v>
      </c>
      <c r="Z75" s="588"/>
      <c r="AA75" s="588">
        <v>0</v>
      </c>
      <c r="AB75" s="591"/>
      <c r="AC75" s="588">
        <f t="shared" si="19"/>
        <v>0</v>
      </c>
      <c r="AE75" s="573"/>
      <c r="AH75" s="574"/>
    </row>
    <row r="76" spans="2:34">
      <c r="B76" s="571">
        <f t="shared" ca="1" si="37"/>
        <v>64</v>
      </c>
      <c r="D76" s="654">
        <v>4.03</v>
      </c>
      <c r="E76" s="607"/>
      <c r="F76" s="609" t="s">
        <v>943</v>
      </c>
      <c r="G76" s="608"/>
      <c r="H76" s="608"/>
      <c r="I76" s="609">
        <v>0</v>
      </c>
      <c r="J76" s="609"/>
      <c r="K76" s="609">
        <v>0</v>
      </c>
      <c r="L76" s="609"/>
      <c r="M76" s="609">
        <f t="shared" si="25"/>
        <v>0</v>
      </c>
      <c r="N76" s="608"/>
      <c r="O76" s="607"/>
      <c r="P76" s="609">
        <f t="shared" si="2"/>
        <v>1659.3103731890535</v>
      </c>
      <c r="Q76" s="609"/>
      <c r="R76" s="609">
        <f t="shared" si="3"/>
        <v>0</v>
      </c>
      <c r="S76" s="609"/>
      <c r="T76" s="609">
        <f t="shared" si="26"/>
        <v>-2205.1222267555995</v>
      </c>
      <c r="U76" s="607"/>
      <c r="V76" s="607"/>
      <c r="W76" s="609">
        <f>+'[9]Figure 1, Tables 5, 6'!$AE$44/1000</f>
        <v>2100.3928774544979</v>
      </c>
      <c r="X76" s="609"/>
      <c r="Y76" s="609">
        <f t="shared" si="18"/>
        <v>1659.3103731890535</v>
      </c>
      <c r="Z76" s="609"/>
      <c r="AA76" s="609">
        <v>0</v>
      </c>
      <c r="AB76" s="611"/>
      <c r="AC76" s="609">
        <f t="shared" si="19"/>
        <v>-2205.1222267555995</v>
      </c>
      <c r="AD76" s="608"/>
      <c r="AE76" s="610" t="s">
        <v>964</v>
      </c>
      <c r="AH76" s="574"/>
    </row>
    <row r="77" spans="2:34">
      <c r="D77" s="590"/>
      <c r="F77" s="587"/>
      <c r="I77" s="588"/>
      <c r="J77" s="588"/>
      <c r="K77" s="588"/>
      <c r="L77" s="588"/>
      <c r="M77" s="588"/>
      <c r="P77" s="588"/>
      <c r="Q77" s="588"/>
      <c r="R77" s="588"/>
      <c r="S77" s="588"/>
      <c r="T77" s="588"/>
      <c r="W77" s="588"/>
      <c r="X77" s="588"/>
      <c r="Y77" s="588"/>
      <c r="Z77" s="588"/>
      <c r="AA77" s="588"/>
      <c r="AB77" s="591"/>
      <c r="AC77" s="588"/>
      <c r="AE77" s="573"/>
      <c r="AH77" s="574"/>
    </row>
    <row r="78" spans="2:34">
      <c r="D78" s="590"/>
      <c r="F78" s="591" t="s">
        <v>945</v>
      </c>
      <c r="I78" s="620">
        <f>+SUBTOTAL(9,I$39:I$77)</f>
        <v>-18473.423606178701</v>
      </c>
      <c r="J78" s="591"/>
      <c r="K78" s="620">
        <f>+SUBTOTAL(9,K$39:K$77)</f>
        <v>171877.38073398077</v>
      </c>
      <c r="L78" s="591"/>
      <c r="M78" s="620">
        <f>+SUBTOTAL(9,M$39:M$77)</f>
        <v>40607.595513206397</v>
      </c>
      <c r="O78" s="572"/>
      <c r="P78" s="620">
        <f>+SUBTOTAL(9,P$39:P$77)</f>
        <v>31944.542500265652</v>
      </c>
      <c r="Q78" s="591"/>
      <c r="R78" s="620">
        <f>+SUBTOTAL(9,R$39:R$77)</f>
        <v>146116.61094810889</v>
      </c>
      <c r="S78" s="591"/>
      <c r="T78" s="620">
        <f>+SUBTOTAL(9,T$39:T$77)</f>
        <v>-28801.48940917178</v>
      </c>
      <c r="U78" s="572"/>
      <c r="V78" s="572"/>
      <c r="W78" s="620">
        <f>+SUBTOTAL(9,W$39:W$77)</f>
        <v>63996.198710099619</v>
      </c>
      <c r="X78" s="591"/>
      <c r="Y78" s="620">
        <f>+SUBTOTAL(9,Y$39:Y$77)</f>
        <v>50417.966106444357</v>
      </c>
      <c r="Z78" s="591"/>
      <c r="AA78" s="620">
        <f>+SUBTOTAL(9,AA$39:AA$77)</f>
        <v>-25760.769785871867</v>
      </c>
      <c r="AB78" s="591"/>
      <c r="AC78" s="620">
        <f>+SUBTOTAL(9,AC$39:AC$77)</f>
        <v>-69409.084922378184</v>
      </c>
      <c r="AE78" s="573"/>
      <c r="AH78" s="574"/>
    </row>
    <row r="79" spans="2:34">
      <c r="D79" s="590"/>
      <c r="F79" s="587"/>
      <c r="I79" s="588"/>
      <c r="J79" s="588"/>
      <c r="K79" s="588"/>
      <c r="L79" s="588"/>
      <c r="M79" s="588"/>
      <c r="P79" s="588"/>
      <c r="Q79" s="588"/>
      <c r="R79" s="588"/>
      <c r="S79" s="588"/>
      <c r="T79" s="588"/>
      <c r="W79" s="588"/>
      <c r="X79" s="588"/>
      <c r="Y79" s="588"/>
      <c r="Z79" s="588"/>
      <c r="AA79" s="588"/>
      <c r="AB79" s="591"/>
      <c r="AC79" s="588"/>
      <c r="AE79" s="573"/>
      <c r="AH79" s="574"/>
    </row>
    <row r="80" spans="2:34" ht="14.25" thickBot="1">
      <c r="D80" s="590"/>
      <c r="F80" s="587" t="s">
        <v>916</v>
      </c>
      <c r="I80" s="622">
        <f>+SUBTOTAL(9,I$6:I$79)</f>
        <v>117785.79962002143</v>
      </c>
      <c r="J80" s="588"/>
      <c r="K80" s="622">
        <f>+SUBTOTAL(9,K$6:K$79)</f>
        <v>2309816.7807339807</v>
      </c>
      <c r="L80" s="588"/>
      <c r="M80" s="622">
        <f>+SUBTOTAL(9,M$6:M$79)</f>
        <v>59263.130004222665</v>
      </c>
      <c r="P80" s="622">
        <f>+SUBTOTAL(9,P$6:P$79)</f>
        <v>172750.47618225898</v>
      </c>
      <c r="Q80" s="588"/>
      <c r="R80" s="622">
        <f>+SUBTOTAL(9,R$6:R$79)</f>
        <v>2255242.4968905966</v>
      </c>
      <c r="S80" s="588"/>
      <c r="T80" s="622">
        <f>+SUBTOTAL(9,T$6:T$79)</f>
        <v>-18880.141200895701</v>
      </c>
      <c r="W80" s="622">
        <f>+SUBTOTAL(9,W$6:W$79)</f>
        <v>69948.372116633313</v>
      </c>
      <c r="X80" s="588"/>
      <c r="Y80" s="622">
        <f>+SUBTOTAL(9,Y$6:Y$79)</f>
        <v>54964.67656223759</v>
      </c>
      <c r="Z80" s="588"/>
      <c r="AA80" s="622">
        <f>+SUBTOTAL(9,AA$6:AA$79)</f>
        <v>-54574.283843384161</v>
      </c>
      <c r="AB80" s="591"/>
      <c r="AC80" s="622">
        <f>+SUBTOTAL(9,AC$6:AC$79)</f>
        <v>-78143.271205118377</v>
      </c>
      <c r="AE80" s="573"/>
      <c r="AH80" s="574"/>
    </row>
    <row r="81" spans="1:34" ht="13.5" thickTop="1">
      <c r="D81" s="590"/>
      <c r="F81" s="587"/>
      <c r="I81" s="588"/>
      <c r="J81" s="588"/>
      <c r="K81" s="588"/>
      <c r="L81" s="588"/>
      <c r="M81" s="588"/>
      <c r="P81" s="588"/>
      <c r="Q81" s="588"/>
      <c r="R81" s="588"/>
      <c r="S81" s="588"/>
      <c r="T81" s="588"/>
      <c r="W81" s="588"/>
      <c r="X81" s="588"/>
      <c r="Y81" s="588"/>
      <c r="Z81" s="588"/>
      <c r="AA81" s="588"/>
      <c r="AB81" s="591"/>
      <c r="AC81" s="588"/>
      <c r="AE81" s="573"/>
      <c r="AH81" s="574"/>
    </row>
    <row r="82" spans="1:34">
      <c r="B82" s="575" t="s">
        <v>963</v>
      </c>
      <c r="D82" s="590"/>
      <c r="F82" s="587"/>
      <c r="I82" s="588"/>
      <c r="J82" s="588"/>
      <c r="K82" s="588"/>
      <c r="L82" s="588"/>
      <c r="M82" s="588"/>
      <c r="P82" s="588"/>
      <c r="Q82" s="588"/>
      <c r="R82" s="588"/>
      <c r="S82" s="588"/>
      <c r="T82" s="588"/>
      <c r="W82" s="588"/>
      <c r="X82" s="588"/>
      <c r="Y82" s="588"/>
      <c r="Z82" s="588"/>
      <c r="AA82" s="588"/>
      <c r="AB82" s="591"/>
      <c r="AC82" s="588"/>
      <c r="AE82" s="573"/>
      <c r="AH82" s="574"/>
    </row>
    <row r="83" spans="1:34">
      <c r="B83" s="571">
        <f t="shared" ca="1" si="37"/>
        <v>65</v>
      </c>
      <c r="D83" s="590" t="s">
        <v>969</v>
      </c>
      <c r="F83" s="591" t="s">
        <v>918</v>
      </c>
      <c r="I83" s="588">
        <f>-I80</f>
        <v>-117785.79962002143</v>
      </c>
      <c r="J83" s="588"/>
      <c r="K83" s="588">
        <f>-K80</f>
        <v>-2309816.7807339807</v>
      </c>
      <c r="L83" s="588"/>
      <c r="M83" s="588">
        <f t="shared" ref="M83:M103" si="45">+($K83*$AL$16-$I83)/$AJ$4</f>
        <v>-59263.130004222607</v>
      </c>
      <c r="P83" s="588">
        <f t="shared" ref="P83" si="46">+I83+Y83</f>
        <v>-172750.47618225901</v>
      </c>
      <c r="Q83" s="588"/>
      <c r="R83" s="588">
        <f>+K83+AA83</f>
        <v>-2255242.4968905966</v>
      </c>
      <c r="S83" s="588"/>
      <c r="T83" s="588">
        <f t="shared" ref="T83:T103" si="47">+($R83*$AL$16-$P83)/$AJ$4</f>
        <v>18880.141200895774</v>
      </c>
      <c r="W83" s="588">
        <f>-W80</f>
        <v>-69948.372116633313</v>
      </c>
      <c r="X83" s="588"/>
      <c r="Y83" s="588">
        <f>+W83*(1-$AJ$5)+(AA83*$AL$13*$AJ$5)</f>
        <v>-54964.676562237575</v>
      </c>
      <c r="Z83" s="588"/>
      <c r="AA83" s="588">
        <f>-AA80</f>
        <v>54574.283843384161</v>
      </c>
      <c r="AB83" s="591"/>
      <c r="AC83" s="588">
        <f t="shared" ref="AC83" si="48">+T83-M83</f>
        <v>78143.271205118377</v>
      </c>
      <c r="AE83" s="573"/>
      <c r="AH83" s="574"/>
    </row>
    <row r="84" spans="1:34">
      <c r="B84" s="571">
        <f t="shared" ca="1" si="37"/>
        <v>66</v>
      </c>
      <c r="D84" s="590" t="s">
        <v>820</v>
      </c>
      <c r="F84" s="588" t="str" cm="1">
        <f t="array" ref="F84">+INDEX('ADJ DETAIL-INPUT'!$E$6:$CD$6&amp;" "&amp;'ADJ DETAIL-INPUT'!$E$7:$CD$7&amp;" "&amp;'ADJ DETAIL-INPUT'!$E$8:$CD$8,1,MATCH($D84,'ADJ DETAIL-INPUT'!$E$9:$CD$9,0))</f>
        <v>Pro Forma Power Supply -  Remove Colstrip</v>
      </c>
      <c r="I84" s="588">
        <v>-44781.35</v>
      </c>
      <c r="J84" s="588"/>
      <c r="K84" s="588">
        <v>0</v>
      </c>
      <c r="L84" s="588"/>
      <c r="M84" s="588">
        <f t="shared" si="45"/>
        <v>59511.681373591317</v>
      </c>
      <c r="P84" s="588">
        <f t="shared" si="2"/>
        <v>-44781.35</v>
      </c>
      <c r="Q84" s="588"/>
      <c r="R84" s="588">
        <f t="shared" si="3"/>
        <v>0</v>
      </c>
      <c r="S84" s="588"/>
      <c r="T84" s="588">
        <f t="shared" si="47"/>
        <v>59511.681373591317</v>
      </c>
      <c r="W84" s="588">
        <v>0</v>
      </c>
      <c r="X84" s="588"/>
      <c r="Y84" s="588">
        <f t="shared" ref="Y84:Y101" si="49">+W84*(1-$AJ$5)</f>
        <v>0</v>
      </c>
      <c r="Z84" s="588"/>
      <c r="AA84" s="588">
        <v>0</v>
      </c>
      <c r="AB84" s="591"/>
      <c r="AC84" s="588">
        <f t="shared" ref="AC84:AC101" si="50">+T84-M84</f>
        <v>0</v>
      </c>
      <c r="AE84" s="573" t="s">
        <v>911</v>
      </c>
      <c r="AH84" s="574"/>
    </row>
    <row r="85" spans="1:34">
      <c r="B85" s="571">
        <f t="shared" ca="1" si="37"/>
        <v>67</v>
      </c>
      <c r="D85" s="654" t="s">
        <v>820</v>
      </c>
      <c r="F85" s="609" t="s">
        <v>967</v>
      </c>
      <c r="G85" s="608"/>
      <c r="H85" s="608"/>
      <c r="I85" s="609">
        <v>0</v>
      </c>
      <c r="J85" s="609"/>
      <c r="K85" s="609">
        <v>0</v>
      </c>
      <c r="L85" s="609"/>
      <c r="M85" s="609">
        <f t="shared" si="45"/>
        <v>0</v>
      </c>
      <c r="N85" s="608"/>
      <c r="O85" s="607"/>
      <c r="P85" s="609">
        <f t="shared" ref="P85" si="51">+I85+Y85</f>
        <v>3134.3192627039998</v>
      </c>
      <c r="Q85" s="609"/>
      <c r="R85" s="609">
        <f t="shared" ref="R85" si="52">+K85+AA85</f>
        <v>0</v>
      </c>
      <c r="S85" s="609"/>
      <c r="T85" s="609">
        <f t="shared" si="47"/>
        <v>-4165.319028683818</v>
      </c>
      <c r="U85" s="607"/>
      <c r="V85" s="607"/>
      <c r="W85" s="609">
        <f>+SUM('[10]For Authorized 09.26.22'!$R$29,'[10]For Authorized 09.26.22'!$R$31,'[10]For Authorized 09.26.22'!$R$19)*0.012*0.6554</f>
        <v>3967.4927375999996</v>
      </c>
      <c r="X85" s="609"/>
      <c r="Y85" s="609">
        <f>+W85*(1-$AJ$5)+(AA85*$AL$13*$AJ$5)</f>
        <v>3134.3192627039998</v>
      </c>
      <c r="Z85" s="609"/>
      <c r="AA85" s="609">
        <v>0</v>
      </c>
      <c r="AB85" s="611"/>
      <c r="AC85" s="609">
        <f t="shared" ref="AC85" si="53">+T85-M85</f>
        <v>-4165.319028683818</v>
      </c>
      <c r="AE85" s="610" t="s">
        <v>964</v>
      </c>
      <c r="AH85" s="574"/>
    </row>
    <row r="86" spans="1:34">
      <c r="B86" s="571">
        <f t="shared" ca="1" si="37"/>
        <v>68</v>
      </c>
      <c r="D86" s="590">
        <v>5.01</v>
      </c>
      <c r="F86" s="588" t="str" cm="1">
        <f t="array" ref="F86">+INDEX('ADJ DETAIL-INPUT'!$E$6:$CD$6&amp;" "&amp;'ADJ DETAIL-INPUT'!$E$7:$CD$7&amp;" "&amp;'ADJ DETAIL-INPUT'!$E$8:$CD$8,1,MATCH($D86,'ADJ DETAIL-INPUT'!$E$9:$CD$9,0))</f>
        <v>Pro Forma AMI  Amortization</v>
      </c>
      <c r="I86" s="588">
        <v>231.712176</v>
      </c>
      <c r="J86" s="588"/>
      <c r="K86" s="588">
        <v>-2992</v>
      </c>
      <c r="L86" s="588"/>
      <c r="M86" s="588">
        <f t="shared" si="45"/>
        <v>-587.45717627046565</v>
      </c>
      <c r="P86" s="588">
        <f t="shared" si="2"/>
        <v>231.712176</v>
      </c>
      <c r="Q86" s="588"/>
      <c r="R86" s="588">
        <f t="shared" si="3"/>
        <v>-2992</v>
      </c>
      <c r="S86" s="588"/>
      <c r="T86" s="588">
        <f t="shared" si="47"/>
        <v>-587.45717627046565</v>
      </c>
      <c r="W86" s="588">
        <v>0</v>
      </c>
      <c r="X86" s="588"/>
      <c r="Y86" s="588">
        <f t="shared" si="49"/>
        <v>0</v>
      </c>
      <c r="Z86" s="588"/>
      <c r="AA86" s="588">
        <v>0</v>
      </c>
      <c r="AB86" s="591"/>
      <c r="AC86" s="588">
        <f t="shared" si="50"/>
        <v>0</v>
      </c>
      <c r="AE86" s="573"/>
      <c r="AH86" s="574"/>
    </row>
    <row r="87" spans="1:34">
      <c r="B87" s="571">
        <f t="shared" ca="1" si="37"/>
        <v>69</v>
      </c>
      <c r="D87" s="590">
        <v>5.0199999999999996</v>
      </c>
      <c r="F87" s="588" t="str" cm="1">
        <f t="array" ref="F87">+INDEX('ADJ DETAIL-INPUT'!$E$6:$CD$6&amp;" "&amp;'ADJ DETAIL-INPUT'!$E$7:$CD$7&amp;" "&amp;'ADJ DETAIL-INPUT'!$E$8:$CD$8,1,MATCH($D87,'ADJ DETAIL-INPUT'!$E$9:$CD$9,0))</f>
        <v>Pro Forma  Labor Non-Exec</v>
      </c>
      <c r="I87" s="588">
        <v>-2087.1800000000003</v>
      </c>
      <c r="J87" s="588"/>
      <c r="K87" s="588">
        <v>0</v>
      </c>
      <c r="L87" s="588"/>
      <c r="M87" s="588">
        <f t="shared" si="45"/>
        <v>2773.7348500956837</v>
      </c>
      <c r="P87" s="588">
        <f t="shared" si="2"/>
        <v>-2087.1800000000003</v>
      </c>
      <c r="Q87" s="588"/>
      <c r="R87" s="588">
        <f t="shared" si="3"/>
        <v>0</v>
      </c>
      <c r="S87" s="588"/>
      <c r="T87" s="588">
        <f t="shared" si="47"/>
        <v>2773.7348500956837</v>
      </c>
      <c r="W87" s="588">
        <v>0</v>
      </c>
      <c r="X87" s="588"/>
      <c r="Y87" s="588">
        <f t="shared" si="49"/>
        <v>0</v>
      </c>
      <c r="Z87" s="588"/>
      <c r="AA87" s="588">
        <v>0</v>
      </c>
      <c r="AB87" s="591"/>
      <c r="AC87" s="588">
        <f t="shared" si="50"/>
        <v>0</v>
      </c>
      <c r="AE87" s="573"/>
      <c r="AH87" s="574"/>
    </row>
    <row r="88" spans="1:34">
      <c r="B88" s="571">
        <f t="shared" ca="1" si="37"/>
        <v>70</v>
      </c>
      <c r="D88" s="590">
        <v>5.0299999999999994</v>
      </c>
      <c r="F88" s="588" t="str" cm="1">
        <f t="array" ref="F88">+INDEX('ADJ DETAIL-INPUT'!$E$6:$CD$6&amp;" "&amp;'ADJ DETAIL-INPUT'!$E$7:$CD$7&amp;" "&amp;'ADJ DETAIL-INPUT'!$E$8:$CD$8,1,MATCH($D88,'ADJ DETAIL-INPUT'!$E$9:$CD$9,0))</f>
        <v>Pro Forma  Employee  Benefits</v>
      </c>
      <c r="I88" s="588">
        <v>-366.32299999999998</v>
      </c>
      <c r="J88" s="588"/>
      <c r="K88" s="588">
        <v>0</v>
      </c>
      <c r="L88" s="588"/>
      <c r="M88" s="588">
        <f t="shared" si="45"/>
        <v>486.82091218371249</v>
      </c>
      <c r="P88" s="588">
        <f>+I88+Y88</f>
        <v>-366.32299999999998</v>
      </c>
      <c r="Q88" s="588"/>
      <c r="R88" s="588">
        <f>+K88+AA88</f>
        <v>0</v>
      </c>
      <c r="S88" s="588"/>
      <c r="T88" s="588">
        <f t="shared" si="47"/>
        <v>486.82091218371249</v>
      </c>
      <c r="W88" s="588">
        <v>0</v>
      </c>
      <c r="X88" s="588"/>
      <c r="Y88" s="588">
        <f t="shared" si="49"/>
        <v>0</v>
      </c>
      <c r="Z88" s="588"/>
      <c r="AA88" s="588">
        <v>0</v>
      </c>
      <c r="AB88" s="591"/>
      <c r="AC88" s="588">
        <f t="shared" si="50"/>
        <v>0</v>
      </c>
      <c r="AE88" s="573" t="s">
        <v>911</v>
      </c>
      <c r="AH88" s="574"/>
    </row>
    <row r="89" spans="1:34">
      <c r="A89" s="615"/>
      <c r="B89" s="571">
        <f t="shared" ca="1" si="37"/>
        <v>71</v>
      </c>
      <c r="C89" s="615"/>
      <c r="D89" s="654">
        <v>5.0299999999999994</v>
      </c>
      <c r="E89" s="607"/>
      <c r="F89" s="609" t="s">
        <v>928</v>
      </c>
      <c r="G89" s="608"/>
      <c r="H89" s="608"/>
      <c r="I89" s="609">
        <v>0</v>
      </c>
      <c r="J89" s="609"/>
      <c r="K89" s="609">
        <v>0</v>
      </c>
      <c r="L89" s="609"/>
      <c r="M89" s="609">
        <f t="shared" si="45"/>
        <v>0</v>
      </c>
      <c r="N89" s="608"/>
      <c r="O89" s="607"/>
      <c r="P89" s="609">
        <f>+I89+Y89</f>
        <v>239.5351416971065</v>
      </c>
      <c r="Q89" s="609"/>
      <c r="R89" s="609">
        <f>+K89+AA89</f>
        <v>0</v>
      </c>
      <c r="S89" s="609"/>
      <c r="T89" s="609">
        <f t="shared" si="47"/>
        <v>-318.32758571271859</v>
      </c>
      <c r="U89" s="607"/>
      <c r="V89" s="607"/>
      <c r="W89" s="609">
        <f>-'[5]E-3.07,5.03 Benefits'!$K$48/1000</f>
        <v>303.20904012291959</v>
      </c>
      <c r="X89" s="609"/>
      <c r="Y89" s="609">
        <f>+W89*(1-$AJ$5)+(AA89*$AL$13*$AJ$5)</f>
        <v>239.5351416971065</v>
      </c>
      <c r="Z89" s="609"/>
      <c r="AA89" s="609">
        <v>0</v>
      </c>
      <c r="AB89" s="611"/>
      <c r="AC89" s="609">
        <f t="shared" ref="AC89" si="54">+T89-M89</f>
        <v>-318.32758571271859</v>
      </c>
      <c r="AD89" s="608"/>
      <c r="AE89" s="610" t="s">
        <v>964</v>
      </c>
      <c r="AH89" s="574"/>
    </row>
    <row r="90" spans="1:34">
      <c r="B90" s="571">
        <f t="shared" ca="1" si="37"/>
        <v>72</v>
      </c>
      <c r="D90" s="590">
        <v>5.0399999999999991</v>
      </c>
      <c r="F90" s="588" t="str" cm="1">
        <f t="array" ref="F90">+INDEX('ADJ DETAIL-INPUT'!$E$6:$CD$6&amp;" "&amp;'ADJ DETAIL-INPUT'!$E$7:$CD$7&amp;" "&amp;'ADJ DETAIL-INPUT'!$E$8:$CD$8,1,MATCH($D90,'ADJ DETAIL-INPUT'!$E$9:$CD$9,0))</f>
        <v>Pro Forma  Property Tax</v>
      </c>
      <c r="I90" s="588">
        <v>-590.13</v>
      </c>
      <c r="J90" s="588"/>
      <c r="K90" s="588">
        <v>0</v>
      </c>
      <c r="L90" s="588"/>
      <c r="M90" s="588">
        <f t="shared" si="45"/>
        <v>784.24675738890062</v>
      </c>
      <c r="P90" s="588">
        <f t="shared" si="2"/>
        <v>-590.13</v>
      </c>
      <c r="Q90" s="588"/>
      <c r="R90" s="588">
        <f t="shared" si="3"/>
        <v>0</v>
      </c>
      <c r="S90" s="588"/>
      <c r="T90" s="588">
        <f t="shared" si="47"/>
        <v>784.24675738890062</v>
      </c>
      <c r="W90" s="588">
        <v>0</v>
      </c>
      <c r="X90" s="588"/>
      <c r="Y90" s="588">
        <f t="shared" si="49"/>
        <v>0</v>
      </c>
      <c r="Z90" s="588"/>
      <c r="AA90" s="588">
        <v>0</v>
      </c>
      <c r="AB90" s="591"/>
      <c r="AC90" s="588">
        <f t="shared" si="50"/>
        <v>0</v>
      </c>
      <c r="AE90" s="573" t="s">
        <v>911</v>
      </c>
      <c r="AH90" s="574"/>
    </row>
    <row r="91" spans="1:34">
      <c r="B91" s="571">
        <f t="shared" ca="1" si="37"/>
        <v>73</v>
      </c>
      <c r="D91" s="654">
        <v>5.0399999999999991</v>
      </c>
      <c r="E91" s="607"/>
      <c r="F91" s="609" t="s">
        <v>944</v>
      </c>
      <c r="G91" s="608"/>
      <c r="H91" s="608"/>
      <c r="I91" s="609">
        <v>0</v>
      </c>
      <c r="J91" s="609"/>
      <c r="K91" s="609">
        <v>0</v>
      </c>
      <c r="L91" s="609"/>
      <c r="M91" s="609">
        <f t="shared" si="45"/>
        <v>0</v>
      </c>
      <c r="N91" s="608"/>
      <c r="O91" s="607"/>
      <c r="P91" s="609">
        <f t="shared" ref="P91" si="55">+I91+Y91</f>
        <v>31.6</v>
      </c>
      <c r="Q91" s="609"/>
      <c r="R91" s="609">
        <f t="shared" ref="R91" si="56">+K91+AA91</f>
        <v>0</v>
      </c>
      <c r="S91" s="609"/>
      <c r="T91" s="609">
        <f t="shared" si="47"/>
        <v>-41.994471613863489</v>
      </c>
      <c r="U91" s="607"/>
      <c r="V91" s="607"/>
      <c r="W91" s="609">
        <v>40</v>
      </c>
      <c r="X91" s="609"/>
      <c r="Y91" s="609">
        <f t="shared" ref="Y91" si="57">+W91*(1-$AJ$5)</f>
        <v>31.6</v>
      </c>
      <c r="Z91" s="609"/>
      <c r="AA91" s="609">
        <v>0</v>
      </c>
      <c r="AB91" s="611"/>
      <c r="AC91" s="609">
        <f t="shared" ref="AC91" si="58">+T91-M91</f>
        <v>-41.994471613863489</v>
      </c>
      <c r="AD91" s="608"/>
      <c r="AE91" s="610" t="s">
        <v>964</v>
      </c>
      <c r="AH91" s="574"/>
    </row>
    <row r="92" spans="1:34">
      <c r="B92" s="571">
        <f t="shared" ca="1" si="37"/>
        <v>74</v>
      </c>
      <c r="D92" s="590">
        <v>5.0499999999999989</v>
      </c>
      <c r="F92" s="588" t="str" cm="1">
        <f t="array" ref="F92">+INDEX('ADJ DETAIL-INPUT'!$E$6:$CD$6&amp;" "&amp;'ADJ DETAIL-INPUT'!$E$7:$CD$7&amp;" "&amp;'ADJ DETAIL-INPUT'!$E$8:$CD$8,1,MATCH($D92,'ADJ DETAIL-INPUT'!$E$9:$CD$9,0))</f>
        <v>Pro Forma Nucleus/ETRM Expense</v>
      </c>
      <c r="I92" s="588">
        <v>163.53</v>
      </c>
      <c r="J92" s="588"/>
      <c r="K92" s="588">
        <v>0</v>
      </c>
      <c r="L92" s="588"/>
      <c r="M92" s="588">
        <f t="shared" si="45"/>
        <v>-217.32139060174356</v>
      </c>
      <c r="P92" s="588">
        <f t="shared" si="2"/>
        <v>163.53</v>
      </c>
      <c r="Q92" s="588"/>
      <c r="R92" s="588">
        <f t="shared" si="3"/>
        <v>0</v>
      </c>
      <c r="S92" s="588"/>
      <c r="T92" s="588">
        <f t="shared" si="47"/>
        <v>-217.32139060174356</v>
      </c>
      <c r="W92" s="588">
        <v>0</v>
      </c>
      <c r="X92" s="588"/>
      <c r="Y92" s="588">
        <f t="shared" si="49"/>
        <v>0</v>
      </c>
      <c r="Z92" s="588"/>
      <c r="AA92" s="588">
        <v>0</v>
      </c>
      <c r="AB92" s="591"/>
      <c r="AC92" s="588">
        <f t="shared" si="50"/>
        <v>0</v>
      </c>
      <c r="AE92" s="573"/>
      <c r="AH92" s="574"/>
    </row>
    <row r="93" spans="1:34">
      <c r="B93" s="571">
        <f t="shared" ca="1" si="37"/>
        <v>75</v>
      </c>
      <c r="D93" s="590">
        <v>5.0599999999999987</v>
      </c>
      <c r="F93" s="588" t="str" cm="1">
        <f t="array" ref="F93">+INDEX('ADJ DETAIL-INPUT'!$E$6:$CD$6&amp;" "&amp;'ADJ DETAIL-INPUT'!$E$7:$CD$7&amp;" "&amp;'ADJ DETAIL-INPUT'!$E$8:$CD$8,1,MATCH($D93,'ADJ DETAIL-INPUT'!$E$9:$CD$9,0))</f>
        <v>Pro Forma Misc O&amp;M Exp</v>
      </c>
      <c r="I93" s="588">
        <v>-2804.8002000000001</v>
      </c>
      <c r="J93" s="588"/>
      <c r="K93" s="588">
        <v>0</v>
      </c>
      <c r="L93" s="588"/>
      <c r="M93" s="588">
        <f t="shared" si="45"/>
        <v>3727.4083032107164</v>
      </c>
      <c r="P93" s="588">
        <f t="shared" si="2"/>
        <v>-2804.8002000000001</v>
      </c>
      <c r="Q93" s="588"/>
      <c r="R93" s="588">
        <f t="shared" si="3"/>
        <v>0</v>
      </c>
      <c r="S93" s="588"/>
      <c r="T93" s="588">
        <f t="shared" si="47"/>
        <v>3727.4083032107164</v>
      </c>
      <c r="W93" s="588">
        <v>0</v>
      </c>
      <c r="X93" s="588"/>
      <c r="Y93" s="588">
        <f t="shared" si="49"/>
        <v>0</v>
      </c>
      <c r="Z93" s="588"/>
      <c r="AA93" s="588">
        <v>0</v>
      </c>
      <c r="AB93" s="591"/>
      <c r="AC93" s="588">
        <f t="shared" si="50"/>
        <v>0</v>
      </c>
      <c r="AE93" s="573" t="s">
        <v>911</v>
      </c>
      <c r="AH93" s="574"/>
    </row>
    <row r="94" spans="1:34">
      <c r="B94" s="571">
        <f t="shared" ca="1" si="37"/>
        <v>76</v>
      </c>
      <c r="D94" s="654">
        <v>5.0599999999999987</v>
      </c>
      <c r="E94" s="607"/>
      <c r="F94" s="609" t="s">
        <v>930</v>
      </c>
      <c r="G94" s="608"/>
      <c r="H94" s="608"/>
      <c r="I94" s="609">
        <v>0</v>
      </c>
      <c r="J94" s="609"/>
      <c r="K94" s="609">
        <v>0</v>
      </c>
      <c r="L94" s="609"/>
      <c r="M94" s="609">
        <f t="shared" si="45"/>
        <v>0</v>
      </c>
      <c r="N94" s="608"/>
      <c r="O94" s="607"/>
      <c r="P94" s="609">
        <f t="shared" ref="P94" si="59">+I94+Y94</f>
        <v>1781.6115006281309</v>
      </c>
      <c r="Q94" s="609"/>
      <c r="R94" s="609">
        <f t="shared" ref="R94" si="60">+K94+AA94</f>
        <v>0</v>
      </c>
      <c r="S94" s="609"/>
      <c r="T94" s="609">
        <f t="shared" si="47"/>
        <v>-2367.652961710784</v>
      </c>
      <c r="U94" s="607"/>
      <c r="V94" s="607"/>
      <c r="W94" s="609">
        <f>-[6]Electric!$M$172/1000</f>
        <v>2255.2044311748491</v>
      </c>
      <c r="X94" s="609"/>
      <c r="Y94" s="609">
        <f>+W94*(1-$AJ$5)+(AA94*$AL$13*$AJ$5)</f>
        <v>1781.6115006281309</v>
      </c>
      <c r="Z94" s="609"/>
      <c r="AA94" s="609">
        <v>0</v>
      </c>
      <c r="AB94" s="611"/>
      <c r="AC94" s="609">
        <f t="shared" ref="AC94" si="61">+T94-M94</f>
        <v>-2367.652961710784</v>
      </c>
      <c r="AD94" s="608"/>
      <c r="AE94" s="610" t="s">
        <v>964</v>
      </c>
      <c r="AH94" s="574"/>
    </row>
    <row r="95" spans="1:34">
      <c r="B95" s="571">
        <f t="shared" ca="1" si="37"/>
        <v>77</v>
      </c>
      <c r="D95" s="590">
        <v>5.0699999999999985</v>
      </c>
      <c r="F95" s="588" t="str" cm="1">
        <f t="array" ref="F95">+INDEX('ADJ DETAIL-INPUT'!$E$6:$CD$6&amp;" "&amp;'ADJ DETAIL-INPUT'!$E$7:$CD$7&amp;" "&amp;'ADJ DETAIL-INPUT'!$E$8:$CD$8,1,MATCH($D95,'ADJ DETAIL-INPUT'!$E$9:$CD$9,0))</f>
        <v>Provisional Capital Adds to 12.31.2026 AMA</v>
      </c>
      <c r="I95" s="588">
        <v>-2479.0547683</v>
      </c>
      <c r="J95" s="588"/>
      <c r="K95" s="588">
        <v>93236.1</v>
      </c>
      <c r="L95" s="588"/>
      <c r="M95" s="588">
        <f t="shared" si="45"/>
        <v>12005.040131697853</v>
      </c>
      <c r="P95" s="588">
        <f t="shared" si="2"/>
        <v>-2479.0547683</v>
      </c>
      <c r="Q95" s="588"/>
      <c r="R95" s="588">
        <f t="shared" si="3"/>
        <v>93236.1</v>
      </c>
      <c r="S95" s="588"/>
      <c r="T95" s="588">
        <f t="shared" si="47"/>
        <v>12005.040131697853</v>
      </c>
      <c r="W95" s="588">
        <v>0</v>
      </c>
      <c r="X95" s="588"/>
      <c r="Y95" s="588">
        <f t="shared" si="49"/>
        <v>0</v>
      </c>
      <c r="Z95" s="588"/>
      <c r="AA95" s="588">
        <v>0</v>
      </c>
      <c r="AB95" s="591"/>
      <c r="AC95" s="588">
        <f t="shared" si="50"/>
        <v>0</v>
      </c>
      <c r="AE95" s="573" t="s">
        <v>911</v>
      </c>
      <c r="AH95" s="574"/>
    </row>
    <row r="96" spans="1:34">
      <c r="B96" s="571">
        <f t="shared" ca="1" si="37"/>
        <v>78</v>
      </c>
      <c r="D96" s="654">
        <v>5.0699999999999985</v>
      </c>
      <c r="E96" s="607"/>
      <c r="F96" s="609" t="s">
        <v>947</v>
      </c>
      <c r="G96" s="608"/>
      <c r="H96" s="608"/>
      <c r="I96" s="609">
        <v>0</v>
      </c>
      <c r="J96" s="609"/>
      <c r="K96" s="609">
        <v>0</v>
      </c>
      <c r="L96" s="609"/>
      <c r="M96" s="609">
        <f t="shared" si="45"/>
        <v>0</v>
      </c>
      <c r="N96" s="608"/>
      <c r="O96" s="607"/>
      <c r="P96" s="609">
        <f t="shared" ref="P96" si="62">+I96+Y96</f>
        <v>-1220.3526708592692</v>
      </c>
      <c r="Q96" s="609"/>
      <c r="R96" s="609">
        <f t="shared" ref="R96" si="63">+K96+AA96</f>
        <v>-9038.8495199683093</v>
      </c>
      <c r="S96" s="609"/>
      <c r="T96" s="609">
        <f t="shared" si="47"/>
        <v>777.32504465965474</v>
      </c>
      <c r="U96" s="607"/>
      <c r="V96" s="607"/>
      <c r="W96" s="609">
        <f>-'[8]E-CAP SUMMARY'!$AQ$79</f>
        <v>-1483</v>
      </c>
      <c r="X96" s="609"/>
      <c r="Y96" s="609">
        <f>+W96*(1-$AJ$5)+(AA96*$AL$13*$AJ$5)</f>
        <v>-1220.3526708592692</v>
      </c>
      <c r="Z96" s="609"/>
      <c r="AA96" s="609">
        <f>+'[8]E-CAP SUMMARY'!$AQ$77</f>
        <v>-9038.8495199683093</v>
      </c>
      <c r="AB96" s="611"/>
      <c r="AC96" s="609">
        <f t="shared" ref="AC96" si="64">+T96-M96</f>
        <v>777.32504465965474</v>
      </c>
      <c r="AD96" s="608"/>
      <c r="AE96" s="610" t="s">
        <v>964</v>
      </c>
      <c r="AH96" s="574"/>
    </row>
    <row r="97" spans="2:34">
      <c r="B97" s="571">
        <f t="shared" ca="1" si="37"/>
        <v>79</v>
      </c>
      <c r="D97" s="590">
        <v>5.0799999999999983</v>
      </c>
      <c r="F97" s="588" t="str" cm="1">
        <f t="array" ref="F97">+INDEX('ADJ DETAIL-INPUT'!$E$6:$CD$6&amp;" "&amp;'ADJ DETAIL-INPUT'!$E$7:$CD$7&amp;" "&amp;'ADJ DETAIL-INPUT'!$E$8:$CD$8,1,MATCH($D97,'ADJ DETAIL-INPUT'!$E$9:$CD$9,0))</f>
        <v>2026 Capital Adds O&amp;M &amp; Revenue Offsets</v>
      </c>
      <c r="I97" s="588">
        <v>3037.0230700000002</v>
      </c>
      <c r="J97" s="588"/>
      <c r="K97" s="588">
        <v>0</v>
      </c>
      <c r="L97" s="588"/>
      <c r="M97" s="588">
        <f t="shared" si="45"/>
        <v>-4036.0183260684671</v>
      </c>
      <c r="P97" s="588">
        <f t="shared" si="2"/>
        <v>3037.0230700000002</v>
      </c>
      <c r="Q97" s="588"/>
      <c r="R97" s="588">
        <f t="shared" si="3"/>
        <v>0</v>
      </c>
      <c r="S97" s="588"/>
      <c r="T97" s="588">
        <f t="shared" si="47"/>
        <v>-4036.0183260684671</v>
      </c>
      <c r="W97" s="588">
        <v>0</v>
      </c>
      <c r="X97" s="588"/>
      <c r="Y97" s="588">
        <f t="shared" si="49"/>
        <v>0</v>
      </c>
      <c r="Z97" s="588"/>
      <c r="AA97" s="588">
        <v>0</v>
      </c>
      <c r="AB97" s="591"/>
      <c r="AC97" s="588">
        <f t="shared" si="50"/>
        <v>0</v>
      </c>
      <c r="AE97" s="573"/>
      <c r="AH97" s="574"/>
    </row>
    <row r="98" spans="2:34">
      <c r="B98" s="571">
        <f t="shared" ca="1" si="37"/>
        <v>80</v>
      </c>
      <c r="D98" s="590">
        <v>5.0899999999999981</v>
      </c>
      <c r="F98" s="588" t="str" cm="1">
        <f t="array" ref="F98">+INDEX('ADJ DETAIL-INPUT'!$E$6:$CD$6&amp;" "&amp;'ADJ DETAIL-INPUT'!$E$7:$CD$7&amp;" "&amp;'ADJ DETAIL-INPUT'!$E$8:$CD$8,1,MATCH($D98,'ADJ DETAIL-INPUT'!$E$9:$CD$9,0))</f>
        <v xml:space="preserve">Pro Forma EDIT </v>
      </c>
      <c r="I98" s="588">
        <v>-767</v>
      </c>
      <c r="J98" s="588"/>
      <c r="K98" s="588">
        <v>0</v>
      </c>
      <c r="L98" s="588"/>
      <c r="M98" s="588">
        <f t="shared" si="45"/>
        <v>1019.2961939187752</v>
      </c>
      <c r="P98" s="588">
        <f t="shared" si="2"/>
        <v>-767</v>
      </c>
      <c r="Q98" s="588"/>
      <c r="R98" s="588">
        <f t="shared" si="3"/>
        <v>0</v>
      </c>
      <c r="S98" s="588"/>
      <c r="T98" s="588">
        <f t="shared" si="47"/>
        <v>1019.2961939187752</v>
      </c>
      <c r="W98" s="588">
        <v>0</v>
      </c>
      <c r="X98" s="588"/>
      <c r="Y98" s="588">
        <f t="shared" si="49"/>
        <v>0</v>
      </c>
      <c r="Z98" s="588"/>
      <c r="AA98" s="588">
        <v>0</v>
      </c>
      <c r="AB98" s="591"/>
      <c r="AC98" s="588">
        <f t="shared" si="50"/>
        <v>0</v>
      </c>
      <c r="AE98" s="573"/>
      <c r="AH98" s="574"/>
    </row>
    <row r="99" spans="2:34">
      <c r="B99" s="571">
        <f t="shared" ca="1" si="37"/>
        <v>81</v>
      </c>
      <c r="D99" s="590">
        <v>5.0999999999999979</v>
      </c>
      <c r="F99" s="588" t="str" cm="1">
        <f t="array" ref="F99">+INDEX('ADJ DETAIL-INPUT'!$E$6:$CD$6&amp;" "&amp;'ADJ DETAIL-INPUT'!$E$7:$CD$7&amp;" "&amp;'ADJ DETAIL-INPUT'!$E$8:$CD$8,1,MATCH($D99,'ADJ DETAIL-INPUT'!$E$9:$CD$9,0))</f>
        <v>PF Transportation Electrification Return (Kicker)</v>
      </c>
      <c r="I99" s="588">
        <v>-28.44</v>
      </c>
      <c r="J99" s="588"/>
      <c r="K99" s="588">
        <v>0</v>
      </c>
      <c r="L99" s="588"/>
      <c r="M99" s="588">
        <f t="shared" si="45"/>
        <v>37.795024452477143</v>
      </c>
      <c r="P99" s="588">
        <f t="shared" si="2"/>
        <v>-28.44</v>
      </c>
      <c r="Q99" s="588"/>
      <c r="R99" s="588">
        <f t="shared" si="3"/>
        <v>0</v>
      </c>
      <c r="S99" s="588"/>
      <c r="T99" s="588">
        <f t="shared" si="47"/>
        <v>37.795024452477143</v>
      </c>
      <c r="W99" s="588">
        <v>0</v>
      </c>
      <c r="X99" s="588"/>
      <c r="Y99" s="588">
        <f t="shared" si="49"/>
        <v>0</v>
      </c>
      <c r="Z99" s="588"/>
      <c r="AA99" s="588">
        <v>0</v>
      </c>
      <c r="AB99" s="591"/>
      <c r="AC99" s="588">
        <f t="shared" si="50"/>
        <v>0</v>
      </c>
      <c r="AE99" s="573"/>
      <c r="AH99" s="574"/>
    </row>
    <row r="100" spans="2:34">
      <c r="B100" s="571">
        <f t="shared" ca="1" si="37"/>
        <v>82</v>
      </c>
      <c r="D100" s="590">
        <v>5.1099999999999977</v>
      </c>
      <c r="F100" s="588" t="str" cm="1">
        <f t="array" ref="F100">+INDEX('ADJ DETAIL-INPUT'!$E$6:$CD$6&amp;" "&amp;'ADJ DETAIL-INPUT'!$E$7:$CD$7&amp;" "&amp;'ADJ DETAIL-INPUT'!$E$8:$CD$8,1,MATCH($D100,'ADJ DETAIL-INPUT'!$E$9:$CD$9,0))</f>
        <v>Pro Forma CS2 Amortization</v>
      </c>
      <c r="I100" s="588">
        <v>-1312.19</v>
      </c>
      <c r="J100" s="588"/>
      <c r="K100" s="588">
        <v>0</v>
      </c>
      <c r="L100" s="588"/>
      <c r="M100" s="588">
        <f t="shared" si="45"/>
        <v>1743.8204337656814</v>
      </c>
      <c r="P100" s="588">
        <f t="shared" ref="P100:P101" si="65">+I100+Y100</f>
        <v>-1312.19</v>
      </c>
      <c r="Q100" s="588"/>
      <c r="R100" s="588">
        <f t="shared" ref="R100:R101" si="66">+K100+AA100</f>
        <v>0</v>
      </c>
      <c r="S100" s="588"/>
      <c r="T100" s="588">
        <f t="shared" si="47"/>
        <v>1743.8204337656814</v>
      </c>
      <c r="W100" s="588">
        <v>0</v>
      </c>
      <c r="X100" s="588"/>
      <c r="Y100" s="588">
        <f t="shared" si="49"/>
        <v>0</v>
      </c>
      <c r="Z100" s="588"/>
      <c r="AA100" s="588">
        <v>0</v>
      </c>
      <c r="AB100" s="591"/>
      <c r="AC100" s="588">
        <f t="shared" si="50"/>
        <v>0</v>
      </c>
      <c r="AE100" s="573"/>
      <c r="AH100" s="574"/>
    </row>
    <row r="101" spans="2:34">
      <c r="B101" s="571">
        <f t="shared" ca="1" si="37"/>
        <v>83</v>
      </c>
      <c r="D101" s="590">
        <v>5.1199999999999974</v>
      </c>
      <c r="F101" s="588" t="str" cm="1">
        <f t="array" ref="F101">+INDEX('ADJ DETAIL-INPUT'!$E$6:$CD$6&amp;" "&amp;'ADJ DETAIL-INPUT'!$E$7:$CD$7&amp;" "&amp;'ADJ DETAIL-INPUT'!$E$8:$CD$8,1,MATCH($D101,'ADJ DETAIL-INPUT'!$E$9:$CD$9,0))</f>
        <v>Pro Forma PPA Interest</v>
      </c>
      <c r="I101" s="588">
        <v>-139.04</v>
      </c>
      <c r="J101" s="588"/>
      <c r="K101" s="588">
        <v>0</v>
      </c>
      <c r="L101" s="588"/>
      <c r="M101" s="588">
        <f t="shared" si="45"/>
        <v>184.77567510099934</v>
      </c>
      <c r="P101" s="588">
        <f t="shared" si="65"/>
        <v>-139.04</v>
      </c>
      <c r="Q101" s="588"/>
      <c r="R101" s="588">
        <f t="shared" si="66"/>
        <v>0</v>
      </c>
      <c r="S101" s="588"/>
      <c r="T101" s="588">
        <f t="shared" si="47"/>
        <v>184.77567510099934</v>
      </c>
      <c r="W101" s="588">
        <v>0</v>
      </c>
      <c r="X101" s="588"/>
      <c r="Y101" s="588">
        <f t="shared" si="49"/>
        <v>0</v>
      </c>
      <c r="Z101" s="588"/>
      <c r="AA101" s="588">
        <v>0</v>
      </c>
      <c r="AB101" s="591"/>
      <c r="AC101" s="588">
        <f t="shared" si="50"/>
        <v>0</v>
      </c>
      <c r="AE101" s="573" t="s">
        <v>911</v>
      </c>
      <c r="AH101" s="574"/>
    </row>
    <row r="102" spans="2:34">
      <c r="B102" s="571">
        <f t="shared" ca="1" si="37"/>
        <v>84</v>
      </c>
      <c r="D102" s="654">
        <v>5.13</v>
      </c>
      <c r="E102" s="607"/>
      <c r="F102" s="609" t="s">
        <v>943</v>
      </c>
      <c r="G102" s="608"/>
      <c r="H102" s="608"/>
      <c r="I102" s="609">
        <v>0</v>
      </c>
      <c r="J102" s="609"/>
      <c r="K102" s="609">
        <v>0</v>
      </c>
      <c r="L102" s="609"/>
      <c r="M102" s="609">
        <f t="shared" si="45"/>
        <v>0</v>
      </c>
      <c r="N102" s="608"/>
      <c r="O102" s="607"/>
      <c r="P102" s="609">
        <f t="shared" ref="P102" si="67">+I102+Y102</f>
        <v>215.34609764826891</v>
      </c>
      <c r="Q102" s="609"/>
      <c r="R102" s="609">
        <f t="shared" ref="R102" si="68">+K102+AA102</f>
        <v>0</v>
      </c>
      <c r="S102" s="609"/>
      <c r="T102" s="609">
        <f t="shared" si="47"/>
        <v>-286.18182230526912</v>
      </c>
      <c r="U102" s="607"/>
      <c r="V102" s="607"/>
      <c r="W102" s="609">
        <f>+'[9]Figure 1, Tables 5, 6'!$AG$44/1000</f>
        <v>272.58999702312519</v>
      </c>
      <c r="X102" s="609"/>
      <c r="Y102" s="609">
        <f t="shared" ref="Y102" si="69">+W102*(1-$AJ$5)</f>
        <v>215.34609764826891</v>
      </c>
      <c r="Z102" s="609"/>
      <c r="AA102" s="609">
        <v>0</v>
      </c>
      <c r="AB102" s="611"/>
      <c r="AC102" s="609">
        <f t="shared" ref="AC102" si="70">+T102-M102</f>
        <v>-286.18182230526912</v>
      </c>
      <c r="AD102" s="608"/>
      <c r="AE102" s="610" t="s">
        <v>964</v>
      </c>
      <c r="AH102" s="574"/>
    </row>
    <row r="103" spans="2:34">
      <c r="B103" s="571">
        <f t="shared" ca="1" si="37"/>
        <v>85</v>
      </c>
      <c r="D103" s="654">
        <v>5.14</v>
      </c>
      <c r="E103" s="607"/>
      <c r="F103" s="609" t="s">
        <v>937</v>
      </c>
      <c r="G103" s="608"/>
      <c r="H103" s="608"/>
      <c r="I103" s="609">
        <v>0</v>
      </c>
      <c r="J103" s="609"/>
      <c r="K103" s="609">
        <v>0</v>
      </c>
      <c r="L103" s="609"/>
      <c r="M103" s="609">
        <f t="shared" si="45"/>
        <v>0</v>
      </c>
      <c r="N103" s="608"/>
      <c r="O103" s="607"/>
      <c r="P103" s="609">
        <f t="shared" ref="P103" si="71">+I103+Y103</f>
        <v>976.63187061548558</v>
      </c>
      <c r="Q103" s="609"/>
      <c r="R103" s="609">
        <f t="shared" ref="R103" si="72">+K103+AA103</f>
        <v>-6607.6038552</v>
      </c>
      <c r="S103" s="609"/>
      <c r="T103" s="609">
        <f t="shared" si="47"/>
        <v>-1915.1956485701221</v>
      </c>
      <c r="U103" s="607"/>
      <c r="V103" s="607"/>
      <c r="W103" s="609">
        <f>1955.117*0.6554</f>
        <v>1281.3836818</v>
      </c>
      <c r="X103" s="609"/>
      <c r="Y103" s="609">
        <f>+W103*(1-$AJ$5)+(AA103*$AL$13*$AJ$5)</f>
        <v>976.63187061548558</v>
      </c>
      <c r="Z103" s="609"/>
      <c r="AA103" s="609">
        <f>-10081.788*0.6554</f>
        <v>-6607.6038552</v>
      </c>
      <c r="AB103" s="611"/>
      <c r="AC103" s="609">
        <f t="shared" ref="AC103" si="73">+T103-M103</f>
        <v>-1915.1956485701221</v>
      </c>
      <c r="AD103" s="608"/>
      <c r="AE103" s="610" t="s">
        <v>964</v>
      </c>
      <c r="AH103" s="574"/>
    </row>
    <row r="104" spans="2:34">
      <c r="AH104" s="574"/>
    </row>
    <row r="105" spans="2:34">
      <c r="C105" s="570"/>
      <c r="D105" s="590"/>
      <c r="E105" s="570"/>
      <c r="I105" s="612"/>
      <c r="J105" s="587"/>
      <c r="K105" s="612"/>
      <c r="L105" s="587"/>
      <c r="M105" s="612"/>
      <c r="O105" s="570"/>
      <c r="P105" s="612"/>
      <c r="Q105" s="587"/>
      <c r="R105" s="612"/>
      <c r="S105" s="587"/>
      <c r="T105" s="612"/>
      <c r="W105" s="612"/>
      <c r="X105" s="571"/>
      <c r="Y105" s="612"/>
      <c r="Z105" s="587"/>
      <c r="AA105" s="612"/>
      <c r="AB105" s="587"/>
      <c r="AC105" s="613"/>
      <c r="AE105" s="573"/>
      <c r="AH105" s="574"/>
    </row>
    <row r="106" spans="2:34" ht="13.5" thickBot="1">
      <c r="B106" s="571">
        <f ca="1">+MAX(OFFSET($B$7,0,0,ROW($B106)-ROW($B$7),1))+1</f>
        <v>86</v>
      </c>
      <c r="D106" s="590"/>
      <c r="F106" s="570" t="s">
        <v>917</v>
      </c>
      <c r="I106" s="614">
        <f>+SUBTOTAL(9,I6:I105)</f>
        <v>-51923.24272229999</v>
      </c>
      <c r="J106" s="588"/>
      <c r="K106" s="614">
        <f>+SUBTOTAL(9,K6:K105)</f>
        <v>90244.1</v>
      </c>
      <c r="L106" s="588"/>
      <c r="M106" s="614">
        <f>+SUBTOTAL(9,M6:M105)</f>
        <v>77433.822762465512</v>
      </c>
      <c r="P106" s="614">
        <f>+SUBTOTAL(9,P6:P105)</f>
        <v>-46764.551519866298</v>
      </c>
      <c r="Q106" s="588"/>
      <c r="R106" s="614">
        <f>+SUBTOTAL(9,R6:R105)</f>
        <v>74597.646624831701</v>
      </c>
      <c r="S106" s="588"/>
      <c r="T106" s="614">
        <f>+($R106*$AL$16-$P106)/$AJ$4</f>
        <v>69116.476288528545</v>
      </c>
      <c r="U106" s="572"/>
      <c r="W106" s="614">
        <f>+SUBTOTAL(9,W6:W105)</f>
        <v>6636.8798877208928</v>
      </c>
      <c r="X106" s="591"/>
      <c r="Y106" s="614">
        <f>+SUBTOTAL(9,Y6:Y105)</f>
        <v>5158.6912024337371</v>
      </c>
      <c r="Z106" s="588"/>
      <c r="AA106" s="614">
        <f>+SUBTOTAL(9,AA6:AA105)</f>
        <v>-15646.453375168308</v>
      </c>
      <c r="AB106" s="588"/>
      <c r="AC106" s="614">
        <f>+SUBTOTAL(9,AC6:AC105)</f>
        <v>-8317.3464739369192</v>
      </c>
      <c r="AE106" s="573"/>
      <c r="AH106" s="574"/>
    </row>
    <row r="107" spans="2:34" ht="13.5" thickTop="1">
      <c r="D107" s="590"/>
      <c r="F107" s="570"/>
      <c r="I107" s="587"/>
      <c r="J107" s="588"/>
      <c r="K107" s="587"/>
      <c r="L107" s="588"/>
      <c r="M107" s="587"/>
      <c r="P107" s="587"/>
      <c r="Q107" s="588"/>
      <c r="R107" s="587"/>
      <c r="S107" s="616"/>
      <c r="T107" s="587"/>
      <c r="W107" s="587"/>
      <c r="X107" s="591"/>
      <c r="Y107" s="587"/>
      <c r="Z107" s="588"/>
      <c r="AA107" s="587"/>
      <c r="AB107" s="588"/>
      <c r="AC107" s="587"/>
      <c r="AE107" s="573"/>
      <c r="AH107" s="574"/>
    </row>
    <row r="108" spans="2:34">
      <c r="F108" s="570"/>
      <c r="I108" s="587"/>
      <c r="K108" s="587"/>
      <c r="M108" s="587"/>
      <c r="P108" s="587"/>
      <c r="R108" s="587"/>
      <c r="T108" s="587"/>
      <c r="AH108" s="574"/>
    </row>
    <row r="109" spans="2:34">
      <c r="I109" s="582" t="s">
        <v>938</v>
      </c>
      <c r="J109" s="582"/>
      <c r="K109" s="582" t="s">
        <v>940</v>
      </c>
      <c r="L109" s="582"/>
      <c r="M109" s="582" t="s">
        <v>81</v>
      </c>
      <c r="AH109" s="574"/>
    </row>
    <row r="110" spans="2:34">
      <c r="G110" s="571"/>
      <c r="H110" s="571"/>
      <c r="I110" s="582" t="s">
        <v>968</v>
      </c>
      <c r="J110" s="582"/>
      <c r="K110" s="656" t="s">
        <v>81</v>
      </c>
      <c r="L110" s="582"/>
      <c r="M110" s="582" t="s">
        <v>939</v>
      </c>
      <c r="AH110" s="574"/>
    </row>
    <row r="111" spans="2:34">
      <c r="F111" s="570"/>
      <c r="G111" s="657" t="s">
        <v>920</v>
      </c>
      <c r="H111" s="571"/>
      <c r="I111" s="588">
        <v>77066.842148600132</v>
      </c>
      <c r="K111" s="588">
        <f>+M80</f>
        <v>59263.130004222665</v>
      </c>
      <c r="M111" s="588">
        <f>+K111-I111</f>
        <v>-17803.712144377467</v>
      </c>
      <c r="T111" s="588"/>
      <c r="AH111" s="574"/>
    </row>
    <row r="112" spans="2:34">
      <c r="F112" s="570"/>
      <c r="G112" s="657" t="s">
        <v>921</v>
      </c>
      <c r="H112" s="571"/>
      <c r="I112" s="588">
        <v>78129.676167207115</v>
      </c>
      <c r="K112" s="588">
        <f>+M106</f>
        <v>77433.822762465512</v>
      </c>
      <c r="M112" s="588">
        <f>+K112-I112</f>
        <v>-695.8534047416033</v>
      </c>
      <c r="T112" s="623"/>
      <c r="AH112" s="574"/>
    </row>
    <row r="113" spans="34:34">
      <c r="AH113" s="574"/>
    </row>
  </sheetData>
  <pageMargins left="0.25" right="0.25" top="0.75" bottom="0.75" header="0.3" footer="0.3"/>
  <pageSetup scale="75" pageOrder="overThenDown" orientation="landscape" r:id="rId1"/>
  <rowBreaks count="2" manualBreakCount="2">
    <brk id="38" max="31" man="1"/>
    <brk id="81" max="3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1BA5E-6FB1-4764-8A8C-4CD21491D826}">
  <sheetPr codeName="Sheet6"/>
  <dimension ref="B3:W42"/>
  <sheetViews>
    <sheetView zoomScaleNormal="100" workbookViewId="0"/>
  </sheetViews>
  <sheetFormatPr defaultRowHeight="12.75"/>
  <cols>
    <col min="2" max="3" width="1.5703125" customWidth="1"/>
    <col min="4" max="4" width="25.140625" customWidth="1"/>
    <col min="5" max="5" width="7.85546875" bestFit="1" customWidth="1"/>
    <col min="6" max="6" width="11.85546875" bestFit="1" customWidth="1"/>
    <col min="7" max="7" width="1.5703125" customWidth="1"/>
    <col min="8" max="8" width="11.28515625" customWidth="1"/>
    <col min="9" max="10" width="1.5703125" customWidth="1"/>
    <col min="11" max="11" width="11.85546875" bestFit="1" customWidth="1"/>
    <col min="12" max="12" width="1.5703125" customWidth="1"/>
    <col min="13" max="13" width="11.28515625" customWidth="1"/>
    <col min="14" max="14" width="1.5703125" customWidth="1"/>
    <col min="17" max="17" width="10.85546875" bestFit="1" customWidth="1"/>
    <col min="20" max="20" width="10.28515625" bestFit="1" customWidth="1"/>
  </cols>
  <sheetData>
    <row r="3" spans="2:23">
      <c r="B3" s="633"/>
      <c r="C3" s="634"/>
      <c r="D3" s="634"/>
      <c r="E3" s="634"/>
      <c r="F3" s="634"/>
      <c r="G3" s="634"/>
      <c r="H3" s="634"/>
      <c r="I3" s="634"/>
      <c r="J3" s="634"/>
      <c r="K3" s="634"/>
      <c r="L3" s="634"/>
      <c r="M3" s="634"/>
      <c r="N3" s="635"/>
    </row>
    <row r="4" spans="2:23">
      <c r="B4" s="636"/>
      <c r="C4" s="640"/>
      <c r="D4" s="640"/>
      <c r="E4" s="640"/>
      <c r="F4" s="643" t="s">
        <v>925</v>
      </c>
      <c r="G4" s="644"/>
      <c r="H4" s="644"/>
      <c r="I4" s="642"/>
      <c r="J4" s="640"/>
      <c r="K4" s="643" t="s">
        <v>926</v>
      </c>
      <c r="L4" s="644"/>
      <c r="M4" s="644"/>
      <c r="N4" s="641"/>
    </row>
    <row r="5" spans="2:23">
      <c r="B5" s="636"/>
      <c r="C5" s="624"/>
      <c r="D5" s="624"/>
      <c r="E5" s="624"/>
      <c r="F5" s="567" t="s">
        <v>733</v>
      </c>
      <c r="G5" s="625"/>
      <c r="H5" s="567" t="s">
        <v>734</v>
      </c>
      <c r="I5" s="625"/>
      <c r="J5" s="625"/>
      <c r="K5" s="567" t="s">
        <v>733</v>
      </c>
      <c r="L5" s="625"/>
      <c r="M5" s="567" t="s">
        <v>734</v>
      </c>
      <c r="N5" s="632"/>
    </row>
    <row r="6" spans="2:23" ht="7.5" customHeight="1">
      <c r="B6" s="636"/>
      <c r="C6" s="624"/>
      <c r="D6" s="624"/>
      <c r="E6" s="624"/>
      <c r="F6" s="626"/>
      <c r="G6" s="626"/>
      <c r="H6" s="626"/>
      <c r="I6" s="626"/>
      <c r="J6" s="626"/>
      <c r="K6" s="626"/>
      <c r="L6" s="626"/>
      <c r="M6" s="626"/>
      <c r="N6" s="632"/>
    </row>
    <row r="7" spans="2:23">
      <c r="B7" s="636"/>
      <c r="C7" s="627" t="s">
        <v>922</v>
      </c>
      <c r="D7" s="627"/>
      <c r="E7" s="627"/>
      <c r="F7" s="628">
        <f>+'Exh. BGM-3 (Detail)'!I111</f>
        <v>77066.842148600132</v>
      </c>
      <c r="G7" s="629"/>
      <c r="H7" s="628">
        <f>+'Exh. BGM-3 (Detail)'!I112</f>
        <v>78129.676167207115</v>
      </c>
      <c r="I7" s="629"/>
      <c r="J7" s="629"/>
      <c r="K7" s="628">
        <f>+'[1]Exh. BGM-4 (Detail)'!$I$88</f>
        <v>17292.534427601702</v>
      </c>
      <c r="L7" s="629"/>
      <c r="M7" s="628">
        <f>+'[1]Exh. BGM-4 (Detail)'!$I$89</f>
        <v>4564.6205371959577</v>
      </c>
      <c r="N7" s="632"/>
      <c r="Q7" s="568"/>
      <c r="S7" s="568"/>
    </row>
    <row r="8" spans="2:23" ht="7.5" customHeight="1">
      <c r="B8" s="636"/>
      <c r="C8" s="624"/>
      <c r="D8" s="624"/>
      <c r="E8" s="624"/>
      <c r="F8" s="630"/>
      <c r="G8" s="630"/>
      <c r="H8" s="630"/>
      <c r="I8" s="630"/>
      <c r="J8" s="630"/>
      <c r="K8" s="630"/>
      <c r="L8" s="630"/>
      <c r="M8" s="630"/>
      <c r="N8" s="632"/>
      <c r="P8" s="718"/>
      <c r="Q8" s="718"/>
      <c r="R8" s="718"/>
      <c r="S8" s="718"/>
      <c r="T8" s="718"/>
      <c r="U8" s="718"/>
      <c r="V8" s="718"/>
      <c r="W8" s="718"/>
    </row>
    <row r="9" spans="2:23">
      <c r="B9" s="636"/>
      <c r="C9" s="624" t="s">
        <v>906</v>
      </c>
      <c r="D9" s="624"/>
      <c r="E9" s="670"/>
      <c r="F9" s="624"/>
      <c r="G9" s="624"/>
      <c r="H9" s="624"/>
      <c r="I9" s="624"/>
      <c r="J9" s="624"/>
      <c r="K9" s="624"/>
      <c r="L9" s="624"/>
      <c r="M9" s="624"/>
      <c r="N9" s="632"/>
      <c r="P9" s="718"/>
      <c r="Q9" s="718"/>
      <c r="R9" s="718"/>
      <c r="S9" s="718"/>
      <c r="T9" s="718"/>
      <c r="U9" s="718"/>
      <c r="V9" s="718"/>
      <c r="W9" s="718"/>
    </row>
    <row r="10" spans="2:23">
      <c r="B10" s="636"/>
      <c r="C10" s="658"/>
      <c r="D10" s="658" t="s">
        <v>927</v>
      </c>
      <c r="E10" s="671"/>
      <c r="F10" s="659">
        <f>+'Exh. BGM-3 (Detail)'!M111</f>
        <v>-17803.712144377467</v>
      </c>
      <c r="G10" s="659"/>
      <c r="H10" s="659">
        <f>+'Exh. BGM-3 (Detail)'!M112</f>
        <v>-695.8534047416033</v>
      </c>
      <c r="I10" s="659"/>
      <c r="J10" s="659"/>
      <c r="K10" s="659">
        <f>+'[1]Exh. BGM-4 (Detail)'!$M$88</f>
        <v>-4282.8238661049218</v>
      </c>
      <c r="L10" s="659"/>
      <c r="M10" s="659">
        <f>+'[1]Exh. BGM-4 (Detail)'!$M$89</f>
        <v>-118.68075291402693</v>
      </c>
      <c r="N10" s="632"/>
      <c r="P10" s="719"/>
      <c r="Q10" s="720"/>
      <c r="R10" s="720"/>
      <c r="S10" s="720"/>
      <c r="T10" s="718"/>
      <c r="U10" s="718"/>
      <c r="V10" s="718"/>
      <c r="W10" s="718"/>
    </row>
    <row r="11" spans="2:23">
      <c r="B11" s="636"/>
      <c r="C11" s="665"/>
      <c r="D11" s="624" t="s">
        <v>947</v>
      </c>
      <c r="E11" s="672" t="s">
        <v>948</v>
      </c>
      <c r="F11" s="630">
        <f>+'Exh. BGM-3 (Detail)'!AC74</f>
        <v>-7742.0944628594016</v>
      </c>
      <c r="G11" s="630"/>
      <c r="H11" s="630">
        <f>+'Exh. BGM-3 (Detail)'!AC96</f>
        <v>777.32504465965474</v>
      </c>
      <c r="I11" s="630"/>
      <c r="J11" s="630"/>
      <c r="K11" s="630">
        <f>+'[1]Exh. BGM-4 (Detail)'!$AC$60</f>
        <v>-2555.2422557341129</v>
      </c>
      <c r="L11" s="630"/>
      <c r="M11" s="630">
        <f>+'[1]Exh. BGM-4 (Detail)'!$AC$79</f>
        <v>-1177.3489111897773</v>
      </c>
      <c r="N11" s="632"/>
      <c r="P11" s="719"/>
      <c r="Q11" s="720"/>
      <c r="R11" s="720"/>
      <c r="S11" s="720"/>
      <c r="T11" s="718"/>
      <c r="U11" s="718"/>
      <c r="V11" s="718"/>
      <c r="W11" s="718"/>
    </row>
    <row r="12" spans="2:23">
      <c r="B12" s="636"/>
      <c r="C12" s="666"/>
      <c r="D12" s="658" t="s">
        <v>930</v>
      </c>
      <c r="E12" s="673" t="s">
        <v>949</v>
      </c>
      <c r="F12" s="659">
        <f>+'Exh. BGM-3 (Detail)'!AC61</f>
        <v>-9318.5195073682462</v>
      </c>
      <c r="G12" s="659"/>
      <c r="H12" s="659">
        <f>+'Exh. BGM-3 (Detail)'!AC94</f>
        <v>-2367.652961710784</v>
      </c>
      <c r="I12" s="659"/>
      <c r="J12" s="659"/>
      <c r="K12" s="659">
        <f>+'[1]Exh. BGM-4 (Detail)'!$AC$51</f>
        <v>-1714.7674004508904</v>
      </c>
      <c r="L12" s="659"/>
      <c r="M12" s="659">
        <f>+'[1]Exh. BGM-4 (Detail)'!$AC$77</f>
        <v>-341.01868070271956</v>
      </c>
      <c r="N12" s="632"/>
      <c r="P12" s="718"/>
      <c r="Q12" s="720"/>
      <c r="R12" s="720"/>
      <c r="S12" s="720"/>
      <c r="T12" s="718"/>
      <c r="U12" s="718"/>
      <c r="V12" s="718"/>
      <c r="W12" s="718"/>
    </row>
    <row r="13" spans="2:23">
      <c r="B13" s="636"/>
      <c r="C13" s="667"/>
      <c r="D13" s="624" t="s">
        <v>928</v>
      </c>
      <c r="E13" s="672" t="s">
        <v>950</v>
      </c>
      <c r="F13" s="630">
        <f>+'Exh. BGM-3 (Detail)'!AC52</f>
        <v>-1285.1124924744659</v>
      </c>
      <c r="G13" s="630"/>
      <c r="H13" s="630">
        <f>+'Exh. BGM-3 (Detail)'!AC89</f>
        <v>-318.32758571271859</v>
      </c>
      <c r="I13" s="630"/>
      <c r="J13" s="630"/>
      <c r="K13" s="630">
        <f>+'[1]Exh. BGM-4 (Detail)'!$AC$42</f>
        <v>-406.7072744831105</v>
      </c>
      <c r="L13" s="630"/>
      <c r="M13" s="630">
        <f>+'[1]Exh. BGM-4 (Detail)'!$AC$72</f>
        <v>-100.74304431413884</v>
      </c>
      <c r="N13" s="632"/>
      <c r="P13" s="718"/>
      <c r="Q13" s="720"/>
      <c r="R13" s="720"/>
      <c r="S13" s="720"/>
      <c r="T13" s="718"/>
      <c r="U13" s="718"/>
      <c r="V13" s="718"/>
      <c r="W13" s="718"/>
    </row>
    <row r="14" spans="2:23">
      <c r="B14" s="636"/>
      <c r="C14" s="666"/>
      <c r="D14" s="658" t="s">
        <v>943</v>
      </c>
      <c r="E14" s="673" t="s">
        <v>951</v>
      </c>
      <c r="F14" s="659">
        <f>+'Exh. BGM-3 (Detail)'!AC76</f>
        <v>-2205.1222267555995</v>
      </c>
      <c r="G14" s="659"/>
      <c r="H14" s="659">
        <f>+'Exh. BGM-3 (Detail)'!AC102</f>
        <v>-286.18182230526912</v>
      </c>
      <c r="I14" s="659"/>
      <c r="J14" s="659"/>
      <c r="K14" s="659">
        <v>0</v>
      </c>
      <c r="L14" s="659"/>
      <c r="M14" s="659">
        <v>0</v>
      </c>
      <c r="N14" s="632"/>
      <c r="P14" s="718"/>
      <c r="Q14" s="720"/>
      <c r="R14" s="720"/>
      <c r="S14" s="720"/>
      <c r="T14" s="718"/>
      <c r="U14" s="718"/>
      <c r="V14" s="718"/>
      <c r="W14" s="718"/>
    </row>
    <row r="15" spans="2:23">
      <c r="B15" s="636"/>
      <c r="C15" s="668"/>
      <c r="D15" s="624" t="s">
        <v>952</v>
      </c>
      <c r="E15" s="674" t="s">
        <v>953</v>
      </c>
      <c r="F15" s="630">
        <f>+'Exh. BGM-3 (Detail)'!AC13</f>
        <v>-2485.2268537033815</v>
      </c>
      <c r="G15" s="630"/>
      <c r="H15" s="630">
        <v>0</v>
      </c>
      <c r="I15" s="630"/>
      <c r="J15" s="630"/>
      <c r="K15" s="630">
        <f>+'[1]Exh. BGM-4 (Detail)'!$AC$13</f>
        <v>-311.16582073683861</v>
      </c>
      <c r="L15" s="630"/>
      <c r="M15" s="630">
        <v>0</v>
      </c>
      <c r="N15" s="632"/>
      <c r="P15" s="718"/>
      <c r="Q15" s="720"/>
      <c r="R15" s="720"/>
      <c r="S15" s="720"/>
      <c r="T15" s="718"/>
      <c r="U15" s="718"/>
      <c r="V15" s="720"/>
      <c r="W15" s="720"/>
    </row>
    <row r="16" spans="2:23">
      <c r="B16" s="636"/>
      <c r="C16" s="669"/>
      <c r="D16" s="658" t="s">
        <v>946</v>
      </c>
      <c r="E16" s="675" t="s">
        <v>954</v>
      </c>
      <c r="F16" s="659">
        <f>+'Exh. BGM-3 (Detail)'!AC68</f>
        <v>-819.02237933234119</v>
      </c>
      <c r="G16" s="659"/>
      <c r="H16" s="659">
        <v>0</v>
      </c>
      <c r="I16" s="659"/>
      <c r="J16" s="659"/>
      <c r="K16" s="659">
        <f>+'[1]Exh. BGM-4 (Detail)'!$AC$58</f>
        <v>-259.20095555830142</v>
      </c>
      <c r="L16" s="659"/>
      <c r="M16" s="659"/>
      <c r="N16" s="632"/>
      <c r="P16" s="718"/>
      <c r="Q16" s="720"/>
      <c r="R16" s="720"/>
      <c r="S16" s="720"/>
      <c r="T16" s="718"/>
      <c r="U16" s="718"/>
      <c r="V16" s="720"/>
      <c r="W16" s="720"/>
    </row>
    <row r="17" spans="2:23">
      <c r="B17" s="636"/>
      <c r="C17" s="667"/>
      <c r="D17" s="624" t="s">
        <v>944</v>
      </c>
      <c r="E17" s="672" t="s">
        <v>955</v>
      </c>
      <c r="F17" s="630">
        <f>+'Exh. BGM-3 (Detail)'!AC57</f>
        <v>-570.07495215819688</v>
      </c>
      <c r="G17" s="630"/>
      <c r="H17" s="630">
        <f>+'Exh. BGM-3 (Detail)'!AC91</f>
        <v>-41.994471613863489</v>
      </c>
      <c r="I17" s="630"/>
      <c r="J17" s="630"/>
      <c r="K17" s="630">
        <f>+'[1]Exh. BGM-4 (Detail)'!$AC$47</f>
        <v>-85.019710382927499</v>
      </c>
      <c r="L17" s="630"/>
      <c r="M17" s="630">
        <f>+'[1]Exh. BGM-4 (Detail)'!$AC$74</f>
        <v>-0.62977563246612955</v>
      </c>
      <c r="N17" s="632"/>
      <c r="P17" s="718"/>
      <c r="Q17" s="720"/>
      <c r="R17" s="720"/>
      <c r="S17" s="720"/>
      <c r="T17" s="718"/>
      <c r="U17" s="718"/>
      <c r="V17" s="720"/>
      <c r="W17" s="720"/>
    </row>
    <row r="18" spans="2:23">
      <c r="B18" s="636"/>
      <c r="C18" s="669"/>
      <c r="D18" s="658" t="s">
        <v>962</v>
      </c>
      <c r="E18" s="675" t="s">
        <v>956</v>
      </c>
      <c r="F18" s="659">
        <f>+'Exh. BGM-3 (Detail)'!AC28</f>
        <v>-420.86749303851923</v>
      </c>
      <c r="G18" s="659"/>
      <c r="H18" s="659">
        <v>0</v>
      </c>
      <c r="I18" s="659"/>
      <c r="J18" s="659"/>
      <c r="K18" s="659">
        <f>+'[1]Exh. BGM-4 (Detail)'!$AC$27</f>
        <v>-26.884410103514387</v>
      </c>
      <c r="L18" s="659"/>
      <c r="M18" s="659"/>
      <c r="N18" s="632"/>
      <c r="P18" s="718"/>
      <c r="Q18" s="720"/>
      <c r="R18" s="720"/>
      <c r="S18" s="720"/>
      <c r="T18" s="718"/>
      <c r="U18" s="718"/>
      <c r="V18" s="720"/>
      <c r="W18" s="720"/>
    </row>
    <row r="19" spans="2:23">
      <c r="B19" s="636"/>
      <c r="C19" s="668"/>
      <c r="D19" s="624" t="s">
        <v>932</v>
      </c>
      <c r="E19" s="674" t="s">
        <v>957</v>
      </c>
      <c r="F19" s="630">
        <f>+'Exh. BGM-3 (Detail)'!AC21</f>
        <v>-5828.0919359982981</v>
      </c>
      <c r="G19" s="630"/>
      <c r="H19" s="630">
        <v>0</v>
      </c>
      <c r="I19" s="630"/>
      <c r="J19" s="630"/>
      <c r="K19" s="630">
        <f>+'[1]Exh. BGM-4 (Detail)'!$AC$20</f>
        <v>-1226.4418739678122</v>
      </c>
      <c r="L19" s="630"/>
      <c r="M19" s="630">
        <v>0</v>
      </c>
      <c r="N19" s="632"/>
      <c r="P19" s="718"/>
      <c r="Q19" s="720"/>
      <c r="R19" s="720"/>
      <c r="S19" s="720"/>
      <c r="T19" s="718"/>
      <c r="U19" s="718"/>
      <c r="V19" s="720"/>
      <c r="W19" s="720"/>
    </row>
    <row r="20" spans="2:23">
      <c r="B20" s="636"/>
      <c r="C20" s="669"/>
      <c r="D20" s="658" t="s">
        <v>961</v>
      </c>
      <c r="E20" s="675" t="s">
        <v>669</v>
      </c>
      <c r="F20" s="659">
        <f>+'Exh. BGM-3 (Detail)'!AC41</f>
        <v>-45245.392142948644</v>
      </c>
      <c r="G20" s="659"/>
      <c r="H20" s="659">
        <v>0</v>
      </c>
      <c r="I20" s="659"/>
      <c r="J20" s="659"/>
      <c r="K20" s="659">
        <v>0</v>
      </c>
      <c r="L20" s="659"/>
      <c r="M20" s="659">
        <v>0</v>
      </c>
      <c r="N20" s="632"/>
      <c r="P20" s="718"/>
      <c r="Q20" s="720"/>
      <c r="R20" s="720"/>
      <c r="S20" s="720"/>
      <c r="T20" s="720"/>
      <c r="U20" s="718"/>
      <c r="V20" s="718"/>
      <c r="W20" s="718"/>
    </row>
    <row r="21" spans="2:23">
      <c r="B21" s="636"/>
      <c r="C21" s="667"/>
      <c r="D21" s="624" t="s">
        <v>933</v>
      </c>
      <c r="E21" s="672" t="s">
        <v>669</v>
      </c>
      <c r="F21" s="630">
        <f>+'Exh. BGM-3 (Detail)'!AC42</f>
        <v>-142.05399572081649</v>
      </c>
      <c r="G21" s="630"/>
      <c r="H21" s="630">
        <v>0</v>
      </c>
      <c r="I21" s="630"/>
      <c r="J21" s="630"/>
      <c r="K21" s="630">
        <v>0</v>
      </c>
      <c r="L21" s="630"/>
      <c r="M21" s="630">
        <v>0</v>
      </c>
      <c r="N21" s="632"/>
      <c r="P21" s="721"/>
      <c r="Q21" s="720"/>
      <c r="R21" s="720"/>
      <c r="S21" s="720"/>
      <c r="T21" s="718"/>
      <c r="U21" s="718"/>
      <c r="V21" s="718"/>
      <c r="W21" s="718"/>
    </row>
    <row r="22" spans="2:23">
      <c r="B22" s="636"/>
      <c r="C22" s="666"/>
      <c r="D22" s="658" t="s">
        <v>934</v>
      </c>
      <c r="E22" s="673" t="s">
        <v>669</v>
      </c>
      <c r="F22" s="659">
        <f>+'Exh. BGM-3 (Detail)'!AC43</f>
        <v>-2081.6927627604723</v>
      </c>
      <c r="G22" s="659"/>
      <c r="H22" s="659">
        <v>0</v>
      </c>
      <c r="I22" s="659"/>
      <c r="J22" s="659"/>
      <c r="K22" s="659">
        <v>0</v>
      </c>
      <c r="L22" s="659"/>
      <c r="M22" s="659">
        <v>0</v>
      </c>
      <c r="N22" s="632"/>
      <c r="Q22" s="568"/>
      <c r="R22" s="568"/>
      <c r="S22" s="568"/>
    </row>
    <row r="23" spans="2:23" hidden="1">
      <c r="B23" s="636"/>
      <c r="C23" s="667"/>
      <c r="D23" s="624" t="s">
        <v>923</v>
      </c>
      <c r="E23" s="672"/>
      <c r="F23" s="630"/>
      <c r="G23" s="630"/>
      <c r="H23" s="630">
        <v>0</v>
      </c>
      <c r="I23" s="630"/>
      <c r="J23" s="630"/>
      <c r="K23" s="630">
        <v>0</v>
      </c>
      <c r="L23" s="630"/>
      <c r="M23" s="630">
        <v>0</v>
      </c>
      <c r="N23" s="632"/>
      <c r="Q23" s="568"/>
      <c r="R23" s="568"/>
      <c r="S23" s="568"/>
    </row>
    <row r="24" spans="2:23" hidden="1">
      <c r="B24" s="636"/>
      <c r="C24" s="667"/>
      <c r="D24" s="624" t="s">
        <v>924</v>
      </c>
      <c r="E24" s="672"/>
      <c r="F24" s="630"/>
      <c r="G24" s="630"/>
      <c r="H24" s="630">
        <v>0</v>
      </c>
      <c r="I24" s="630"/>
      <c r="J24" s="630"/>
      <c r="K24" s="630">
        <v>0</v>
      </c>
      <c r="L24" s="630"/>
      <c r="M24" s="630">
        <v>0</v>
      </c>
      <c r="N24" s="632"/>
      <c r="Q24" s="568"/>
      <c r="R24" s="568"/>
      <c r="S24" s="568"/>
    </row>
    <row r="25" spans="2:23">
      <c r="B25" s="636"/>
      <c r="C25" s="668"/>
      <c r="D25" s="624" t="s">
        <v>960</v>
      </c>
      <c r="E25" s="674" t="s">
        <v>820</v>
      </c>
      <c r="F25" s="630">
        <v>0</v>
      </c>
      <c r="G25" s="630"/>
      <c r="H25" s="630">
        <f>+'Exh. BGM-3 (Detail)'!AC85</f>
        <v>-4165.319028683818</v>
      </c>
      <c r="I25" s="630"/>
      <c r="J25" s="630"/>
      <c r="K25" s="630">
        <v>0</v>
      </c>
      <c r="L25" s="630"/>
      <c r="M25" s="630">
        <v>0</v>
      </c>
      <c r="N25" s="632"/>
      <c r="Q25" s="568"/>
      <c r="R25" s="568"/>
      <c r="S25" s="568"/>
    </row>
    <row r="26" spans="2:23">
      <c r="B26" s="636"/>
      <c r="C26" s="669"/>
      <c r="D26" s="658" t="s">
        <v>959</v>
      </c>
      <c r="E26" s="675" t="s">
        <v>958</v>
      </c>
      <c r="F26" s="659">
        <v>0</v>
      </c>
      <c r="G26" s="659"/>
      <c r="H26" s="659">
        <f>+'Exh. BGM-3 (Detail)'!AC103</f>
        <v>-1915.1956485701221</v>
      </c>
      <c r="I26" s="659"/>
      <c r="J26" s="659"/>
      <c r="K26" s="659">
        <v>0</v>
      </c>
      <c r="L26" s="659"/>
      <c r="M26" s="659">
        <v>0</v>
      </c>
      <c r="N26" s="632"/>
      <c r="Q26" s="568"/>
      <c r="R26" s="568"/>
      <c r="S26" s="568"/>
    </row>
    <row r="27" spans="2:23" hidden="1">
      <c r="B27" s="636"/>
      <c r="C27" s="626" t="s">
        <v>887</v>
      </c>
      <c r="D27" s="624"/>
      <c r="E27" s="624"/>
      <c r="F27" s="630">
        <f t="shared" ref="F27:F28" si="0">+Q27*1000</f>
        <v>0</v>
      </c>
      <c r="G27" s="630"/>
      <c r="H27" s="630">
        <f t="shared" ref="H27" si="1">+S27*1000</f>
        <v>0</v>
      </c>
      <c r="I27" s="630"/>
      <c r="J27" s="630"/>
      <c r="K27" s="630">
        <f t="shared" ref="K27:K28" si="2">+U27*1000</f>
        <v>0</v>
      </c>
      <c r="L27" s="630"/>
      <c r="M27" s="630">
        <f t="shared" ref="M27" si="3">+W27*1000</f>
        <v>0</v>
      </c>
      <c r="N27" s="632"/>
      <c r="Q27" s="568"/>
      <c r="R27" s="568"/>
      <c r="S27" s="568"/>
    </row>
    <row r="28" spans="2:23" hidden="1">
      <c r="B28" s="636"/>
      <c r="C28" s="626"/>
      <c r="D28" s="624"/>
      <c r="E28" s="624"/>
      <c r="F28" s="630">
        <f t="shared" si="0"/>
        <v>0</v>
      </c>
      <c r="G28" s="630"/>
      <c r="H28" s="630">
        <v>0</v>
      </c>
      <c r="I28" s="630"/>
      <c r="J28" s="630"/>
      <c r="K28" s="630">
        <f t="shared" si="2"/>
        <v>0</v>
      </c>
      <c r="L28" s="630"/>
      <c r="M28" s="630">
        <v>0</v>
      </c>
      <c r="N28" s="632"/>
      <c r="Q28" s="568"/>
      <c r="R28" s="568"/>
      <c r="S28" s="568"/>
    </row>
    <row r="29" spans="2:23" ht="7.5" customHeight="1">
      <c r="B29" s="636"/>
      <c r="C29" s="624"/>
      <c r="D29" s="624"/>
      <c r="E29" s="624"/>
      <c r="F29" s="569"/>
      <c r="G29" s="624"/>
      <c r="H29" s="569"/>
      <c r="I29" s="624"/>
      <c r="J29" s="624"/>
      <c r="K29" s="569"/>
      <c r="L29" s="624"/>
      <c r="M29" s="569"/>
      <c r="N29" s="632"/>
    </row>
    <row r="30" spans="2:23">
      <c r="B30" s="636"/>
      <c r="C30" s="631" t="s">
        <v>888</v>
      </c>
      <c r="D30" s="627"/>
      <c r="E30" s="627"/>
      <c r="F30" s="629">
        <f>+SUM(F10:F28)</f>
        <v>-95946.983349495829</v>
      </c>
      <c r="G30" s="629"/>
      <c r="H30" s="629">
        <f>+SUM(H10:H28)</f>
        <v>-9013.1998786785225</v>
      </c>
      <c r="I30" s="629"/>
      <c r="J30" s="629"/>
      <c r="K30" s="629">
        <f>+SUM(K10:K28)</f>
        <v>-10868.253567522428</v>
      </c>
      <c r="L30" s="629"/>
      <c r="M30" s="629">
        <f>+SUM(M10:M28)</f>
        <v>-1738.4211647531288</v>
      </c>
      <c r="N30" s="632"/>
    </row>
    <row r="31" spans="2:23" ht="7.5" customHeight="1">
      <c r="B31" s="636"/>
      <c r="C31" s="624"/>
      <c r="D31" s="624"/>
      <c r="E31" s="624"/>
      <c r="F31" s="624"/>
      <c r="G31" s="624"/>
      <c r="H31" s="624"/>
      <c r="I31" s="624"/>
      <c r="J31" s="624"/>
      <c r="K31" s="624"/>
      <c r="L31" s="624"/>
      <c r="M31" s="624"/>
      <c r="N31" s="632"/>
    </row>
    <row r="32" spans="2:23">
      <c r="B32" s="636"/>
      <c r="C32" s="660" t="s">
        <v>603</v>
      </c>
      <c r="D32" s="661"/>
      <c r="E32" s="661"/>
      <c r="F32" s="662">
        <f>+F7+F30</f>
        <v>-18880.141200895698</v>
      </c>
      <c r="G32" s="662"/>
      <c r="H32" s="662">
        <f>+H7+H30</f>
        <v>69116.476288528589</v>
      </c>
      <c r="I32" s="662"/>
      <c r="J32" s="662"/>
      <c r="K32" s="662">
        <f>+K7+K30</f>
        <v>6424.2808600792741</v>
      </c>
      <c r="L32" s="662"/>
      <c r="M32" s="662">
        <f>+M7+M30</f>
        <v>2826.1993724428289</v>
      </c>
      <c r="N32" s="632"/>
    </row>
    <row r="33" spans="2:14" ht="7.5" customHeight="1">
      <c r="B33" s="636"/>
      <c r="C33" s="631"/>
      <c r="D33" s="627"/>
      <c r="E33" s="627"/>
      <c r="F33" s="629"/>
      <c r="G33" s="629"/>
      <c r="H33" s="629"/>
      <c r="I33" s="629"/>
      <c r="J33" s="629"/>
      <c r="K33" s="629"/>
      <c r="L33" s="629"/>
      <c r="M33" s="629"/>
      <c r="N33" s="632"/>
    </row>
    <row r="34" spans="2:14">
      <c r="B34" s="636"/>
      <c r="C34" s="663" t="s">
        <v>941</v>
      </c>
      <c r="D34" s="627"/>
      <c r="E34" s="627"/>
      <c r="F34" s="629">
        <v>0</v>
      </c>
      <c r="G34" s="629"/>
      <c r="H34" s="629">
        <f>+'[2]Monthly ADJ (Electric)'!$F$56/1000</f>
        <v>-5733.9166212572645</v>
      </c>
      <c r="I34" s="629"/>
      <c r="J34" s="629"/>
      <c r="K34" s="629">
        <f>+'[2]Monthly ADJ (Gas)'!$F$56/2000</f>
        <v>-2718.0331500464513</v>
      </c>
      <c r="L34" s="629"/>
      <c r="M34" s="629">
        <v>0</v>
      </c>
      <c r="N34" s="632"/>
    </row>
    <row r="35" spans="2:14" ht="7.5" customHeight="1">
      <c r="B35" s="636"/>
      <c r="C35" s="631"/>
      <c r="D35" s="627"/>
      <c r="E35" s="627"/>
      <c r="F35" s="629"/>
      <c r="G35" s="629"/>
      <c r="H35" s="629"/>
      <c r="I35" s="629"/>
      <c r="J35" s="629"/>
      <c r="K35" s="629"/>
      <c r="L35" s="629"/>
      <c r="M35" s="629"/>
      <c r="N35" s="632"/>
    </row>
    <row r="36" spans="2:14">
      <c r="B36" s="636"/>
      <c r="C36" s="660" t="s">
        <v>942</v>
      </c>
      <c r="D36" s="661"/>
      <c r="E36" s="661"/>
      <c r="F36" s="662">
        <f>+F32+F34</f>
        <v>-18880.141200895698</v>
      </c>
      <c r="G36" s="662"/>
      <c r="H36" s="662">
        <f>+H32+H34</f>
        <v>63382.559667271322</v>
      </c>
      <c r="I36" s="662"/>
      <c r="J36" s="662"/>
      <c r="K36" s="662">
        <f>+K32+K34</f>
        <v>3706.2477100328229</v>
      </c>
      <c r="L36" s="662"/>
      <c r="M36" s="662">
        <f>+M32+M34</f>
        <v>2826.1993724428289</v>
      </c>
      <c r="N36" s="632"/>
    </row>
    <row r="37" spans="2:14" ht="7.5" customHeight="1">
      <c r="B37" s="637"/>
      <c r="C37" s="638"/>
      <c r="D37" s="638"/>
      <c r="E37" s="638"/>
      <c r="F37" s="638"/>
      <c r="G37" s="638"/>
      <c r="H37" s="638"/>
      <c r="I37" s="638"/>
      <c r="J37" s="638"/>
      <c r="K37" s="638"/>
      <c r="L37" s="638"/>
      <c r="M37" s="638"/>
      <c r="N37" s="639"/>
    </row>
    <row r="38" spans="2:14">
      <c r="F38" s="568"/>
      <c r="K38" s="568"/>
    </row>
    <row r="39" spans="2:14">
      <c r="F39" s="568"/>
      <c r="G39" s="568"/>
      <c r="H39" s="568"/>
      <c r="I39" s="568"/>
      <c r="J39" s="568"/>
      <c r="K39" s="568"/>
      <c r="L39" s="568"/>
      <c r="M39" s="568"/>
    </row>
    <row r="42" spans="2:14">
      <c r="F42" s="568">
        <f>+F32-'Exh. BGM-3 (Detail)'!T80</f>
        <v>0</v>
      </c>
      <c r="H42" s="568">
        <f>+H32-'Exh. BGM-3 (Detail)'!T106</f>
        <v>0</v>
      </c>
      <c r="K42" s="568">
        <f>+K32-'[1]Exh. BGM-4 (Detail)'!$T$65</f>
        <v>0</v>
      </c>
      <c r="M42" s="568">
        <f>+M32-'[1]Exh. BGM-4 (Detail)'!$T$83</f>
        <v>1.3642420526593924E-11</v>
      </c>
    </row>
  </sheetData>
  <pageMargins left="0.7" right="0.7" top="0.75" bottom="0.75" header="0.3" footer="0.3"/>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AF454-427B-4EF0-BED6-B94CCE6CFD49}">
  <sheetPr codeName="Sheet12"/>
  <dimension ref="B5:H11"/>
  <sheetViews>
    <sheetView workbookViewId="0">
      <selection activeCell="E8" sqref="E8"/>
    </sheetView>
  </sheetViews>
  <sheetFormatPr defaultRowHeight="12.75"/>
  <cols>
    <col min="2" max="2" width="2.7109375" customWidth="1"/>
    <col min="3" max="3" width="4.140625" bestFit="1" customWidth="1"/>
    <col min="4" max="4" width="2.7109375" customWidth="1"/>
    <col min="5" max="5" width="11.28515625" customWidth="1"/>
    <col min="6" max="6" width="2.7109375" customWidth="1"/>
    <col min="7" max="7" width="11.28515625" customWidth="1"/>
    <col min="8" max="8" width="2.7109375" customWidth="1"/>
  </cols>
  <sheetData>
    <row r="5" spans="2:8" ht="7.5" customHeight="1">
      <c r="B5" s="645"/>
      <c r="C5" s="646"/>
      <c r="D5" s="646"/>
      <c r="E5" s="646"/>
      <c r="F5" s="646"/>
      <c r="G5" s="646"/>
      <c r="H5" s="647"/>
    </row>
    <row r="6" spans="2:8">
      <c r="B6" s="648"/>
      <c r="C6" s="624"/>
      <c r="D6" s="624"/>
      <c r="E6" s="651" t="s">
        <v>929</v>
      </c>
      <c r="F6" s="652"/>
      <c r="G6" s="651" t="s">
        <v>926</v>
      </c>
      <c r="H6" s="632"/>
    </row>
    <row r="7" spans="2:8" ht="7.5" customHeight="1">
      <c r="B7" s="648"/>
      <c r="C7" s="624"/>
      <c r="D7" s="624"/>
      <c r="E7" s="624"/>
      <c r="F7" s="624"/>
      <c r="G7" s="624"/>
      <c r="H7" s="632"/>
    </row>
    <row r="8" spans="2:8">
      <c r="B8" s="648"/>
      <c r="C8" s="624" t="s">
        <v>727</v>
      </c>
      <c r="D8" s="624"/>
      <c r="E8" s="630">
        <f>-'Exh. BGM-3 (Detail)'!W52*1000</f>
        <v>-1224077.7827052986</v>
      </c>
      <c r="F8" s="624"/>
      <c r="G8" s="630">
        <f>-'[1]Exh. BGM-4 (Detail)'!$W$42*1000</f>
        <v>-387478.25750941597</v>
      </c>
      <c r="H8" s="632"/>
    </row>
    <row r="9" spans="2:8" ht="7.5" customHeight="1">
      <c r="B9" s="648"/>
      <c r="C9" s="624"/>
      <c r="D9" s="624"/>
      <c r="E9" s="624"/>
      <c r="F9" s="624"/>
      <c r="G9" s="624"/>
      <c r="H9" s="632"/>
    </row>
    <row r="10" spans="2:8">
      <c r="B10" s="648"/>
      <c r="C10" s="624" t="s">
        <v>728</v>
      </c>
      <c r="D10" s="624"/>
      <c r="E10" s="630">
        <f>-'Exh. BGM-3 (Detail)'!W89*1000</f>
        <v>-303209.0401229196</v>
      </c>
      <c r="F10" s="624"/>
      <c r="G10" s="630">
        <f>-'[1]Exh. BGM-4 (Detail)'!$W$72*1000</f>
        <v>-95979.938683534536</v>
      </c>
      <c r="H10" s="632"/>
    </row>
    <row r="11" spans="2:8" ht="7.5" customHeight="1">
      <c r="B11" s="649"/>
      <c r="C11" s="569"/>
      <c r="D11" s="569"/>
      <c r="E11" s="569"/>
      <c r="F11" s="569"/>
      <c r="G11" s="569"/>
      <c r="H11" s="65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758F7-5C6C-43FD-B2EC-9EA48D7B5A26}">
  <sheetPr codeName="Sheet10">
    <tabColor rgb="FFFFC000"/>
  </sheetPr>
  <dimension ref="A1"/>
  <sheetViews>
    <sheetView workbookViewId="0">
      <selection activeCell="C34" sqref="C34"/>
    </sheetView>
  </sheetViews>
  <sheetFormatPr defaultRowHeight="12.7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FE194-DF6D-41B9-B673-1F1BCD099847}">
  <sheetPr codeName="Sheet7"/>
  <dimension ref="A1:R84"/>
  <sheetViews>
    <sheetView zoomScaleNormal="100" workbookViewId="0">
      <selection activeCell="H25" sqref="H25"/>
    </sheetView>
  </sheetViews>
  <sheetFormatPr defaultColWidth="9.28515625" defaultRowHeight="12.75"/>
  <cols>
    <col min="1" max="1" width="4.5703125" style="168" customWidth="1"/>
    <col min="2" max="3" width="1.5703125" style="167" customWidth="1"/>
    <col min="4" max="4" width="25.5703125" style="167" customWidth="1"/>
    <col min="5" max="5" width="10.140625" style="83" customWidth="1"/>
    <col min="6" max="6" width="11.28515625" style="83" bestFit="1" customWidth="1"/>
    <col min="7" max="7" width="10.28515625" style="83" customWidth="1"/>
    <col min="8" max="8" width="11.7109375" style="83" customWidth="1"/>
    <col min="9" max="9" width="15.85546875" style="83" bestFit="1" customWidth="1"/>
    <col min="10" max="10" width="13.85546875" style="83" customWidth="1"/>
    <col min="11" max="11" width="13.5703125" style="83" customWidth="1"/>
    <col min="12" max="12" width="24" style="5" customWidth="1"/>
    <col min="13" max="13" width="9.28515625" style="5"/>
    <col min="14" max="15" width="11.28515625" style="5" bestFit="1" customWidth="1"/>
    <col min="16" max="16" width="9.28515625" style="5"/>
    <col min="17" max="17" width="11.28515625" style="5" bestFit="1" customWidth="1"/>
    <col min="18" max="18" width="9.28515625" style="16"/>
    <col min="19" max="37" width="9.28515625" style="5"/>
    <col min="38" max="38" width="14.5703125" style="5" customWidth="1"/>
    <col min="39" max="16384" width="9.28515625" style="5"/>
  </cols>
  <sheetData>
    <row r="1" spans="1:11" ht="15">
      <c r="A1" s="240" t="str">
        <f>'ADJ DETAIL-INPUT'!A1</f>
        <v xml:space="preserve">AVISTA UTILITIES  </v>
      </c>
      <c r="D1" s="168"/>
      <c r="E1" s="287"/>
      <c r="F1" s="681"/>
      <c r="G1" s="681"/>
      <c r="H1" s="681"/>
      <c r="I1" s="681"/>
    </row>
    <row r="2" spans="1:11" ht="15">
      <c r="A2" s="240" t="str">
        <f>'ADJ DETAIL-INPUT'!A2</f>
        <v xml:space="preserve">WASHINGTON ELECTRIC RESULTS </v>
      </c>
      <c r="D2" s="168"/>
    </row>
    <row r="3" spans="1:11" ht="15" customHeight="1">
      <c r="A3" s="240" t="str">
        <f>'ADJ DETAIL-INPUT'!A3</f>
        <v>TWELVE MONTHS ENDED JUNE 30, 2023</v>
      </c>
      <c r="D3" s="168"/>
    </row>
    <row r="4" spans="1:11" ht="15">
      <c r="A4" s="240" t="str">
        <f>'ADJ DETAIL-INPUT'!A4</f>
        <v xml:space="preserve">(000'S OF DOLLARS)  </v>
      </c>
      <c r="D4" s="168"/>
      <c r="E4" s="5"/>
      <c r="F4" s="5"/>
      <c r="G4" s="5"/>
      <c r="H4" s="5"/>
      <c r="I4" s="5"/>
      <c r="J4" s="5"/>
      <c r="K4" s="5"/>
    </row>
    <row r="5" spans="1:11" ht="14.25">
      <c r="A5" s="239" t="s">
        <v>880</v>
      </c>
      <c r="D5" s="168"/>
      <c r="E5" s="676" t="s">
        <v>827</v>
      </c>
      <c r="F5" s="677"/>
      <c r="G5" s="677"/>
      <c r="H5" s="678"/>
      <c r="I5" s="678"/>
      <c r="J5" s="678"/>
      <c r="K5" s="679"/>
    </row>
    <row r="6" spans="1:11">
      <c r="A6" s="225"/>
      <c r="B6" s="148"/>
      <c r="C6" s="148"/>
      <c r="D6" s="148"/>
      <c r="E6" s="685" t="s">
        <v>159</v>
      </c>
      <c r="F6" s="686"/>
      <c r="G6" s="686"/>
      <c r="H6" s="686"/>
      <c r="I6" s="687"/>
      <c r="J6" s="683" t="s">
        <v>829</v>
      </c>
      <c r="K6" s="684"/>
    </row>
    <row r="7" spans="1:11">
      <c r="A7" s="169"/>
      <c r="B7" s="170"/>
      <c r="C7" s="171"/>
      <c r="D7" s="1"/>
      <c r="E7" s="86" t="s">
        <v>160</v>
      </c>
      <c r="F7" s="86" t="s">
        <v>131</v>
      </c>
      <c r="G7" s="222" t="s">
        <v>19</v>
      </c>
      <c r="H7" s="86" t="s">
        <v>131</v>
      </c>
      <c r="I7" s="222" t="s">
        <v>828</v>
      </c>
      <c r="J7" s="86" t="s">
        <v>161</v>
      </c>
      <c r="K7" s="222" t="s">
        <v>830</v>
      </c>
    </row>
    <row r="8" spans="1:11">
      <c r="A8" s="172" t="s">
        <v>8</v>
      </c>
      <c r="B8" s="173"/>
      <c r="C8" s="148"/>
      <c r="D8" s="2"/>
      <c r="E8" s="87" t="s">
        <v>9</v>
      </c>
      <c r="F8" s="87" t="s">
        <v>675</v>
      </c>
      <c r="G8" s="87" t="s">
        <v>674</v>
      </c>
      <c r="H8" s="87" t="s">
        <v>7</v>
      </c>
      <c r="I8" s="87" t="s">
        <v>603</v>
      </c>
      <c r="J8" s="87" t="s">
        <v>162</v>
      </c>
      <c r="K8" s="87" t="s">
        <v>161</v>
      </c>
    </row>
    <row r="9" spans="1:11">
      <c r="A9" s="174" t="s">
        <v>20</v>
      </c>
      <c r="B9" s="175"/>
      <c r="C9" s="151"/>
      <c r="D9" s="3" t="s">
        <v>21</v>
      </c>
      <c r="E9" s="88" t="s">
        <v>22</v>
      </c>
      <c r="F9" s="88" t="s">
        <v>137</v>
      </c>
      <c r="G9" s="88" t="s">
        <v>604</v>
      </c>
      <c r="H9" s="88" t="s">
        <v>137</v>
      </c>
      <c r="I9" s="88" t="s">
        <v>676</v>
      </c>
      <c r="J9" s="88" t="s">
        <v>163</v>
      </c>
      <c r="K9" s="88" t="s">
        <v>131</v>
      </c>
    </row>
    <row r="10" spans="1:11">
      <c r="A10" s="4"/>
      <c r="B10" s="4"/>
      <c r="C10" s="4"/>
      <c r="D10" s="4" t="s">
        <v>33</v>
      </c>
      <c r="E10" s="89" t="s">
        <v>34</v>
      </c>
      <c r="F10" s="286" t="s">
        <v>35</v>
      </c>
      <c r="G10" s="286" t="s">
        <v>36</v>
      </c>
      <c r="H10" s="89" t="s">
        <v>37</v>
      </c>
      <c r="I10" s="89" t="s">
        <v>38</v>
      </c>
      <c r="J10" s="89" t="s">
        <v>732</v>
      </c>
      <c r="K10" s="89" t="s">
        <v>750</v>
      </c>
    </row>
    <row r="11" spans="1:11" ht="5.25" customHeight="1"/>
    <row r="12" spans="1:11" ht="5.25" customHeight="1"/>
    <row r="13" spans="1:11" ht="1.5" customHeight="1"/>
    <row r="14" spans="1:11">
      <c r="B14" s="167" t="s">
        <v>39</v>
      </c>
    </row>
    <row r="15" spans="1:11">
      <c r="A15" s="176">
        <v>1</v>
      </c>
      <c r="B15" s="177" t="s">
        <v>40</v>
      </c>
      <c r="C15" s="177"/>
      <c r="D15" s="177"/>
      <c r="E15" s="177">
        <f>'ADJ DETAIL-INPUT'!E13</f>
        <v>600149.4</v>
      </c>
      <c r="F15" s="177">
        <f>G15-E15</f>
        <v>-41387</v>
      </c>
      <c r="G15" s="177">
        <f>'ADJ DETAIL-INPUT'!AD13</f>
        <v>558762.4</v>
      </c>
      <c r="H15" s="177">
        <f>I15-G15</f>
        <v>30477</v>
      </c>
      <c r="I15" s="177">
        <f>'ADJ DETAIL-INPUT'!BL13</f>
        <v>589239.4</v>
      </c>
      <c r="J15" s="177">
        <f>'CF '!J9</f>
        <v>77066.842148600132</v>
      </c>
      <c r="K15" s="177">
        <f>I15+J15</f>
        <v>666306.24214860017</v>
      </c>
    </row>
    <row r="16" spans="1:11">
      <c r="A16" s="176">
        <v>2</v>
      </c>
      <c r="B16" s="178" t="s">
        <v>41</v>
      </c>
      <c r="C16" s="178"/>
      <c r="D16" s="178"/>
      <c r="E16" s="183">
        <f>'ADJ DETAIL-INPUT'!E14</f>
        <v>1324</v>
      </c>
      <c r="F16" s="183">
        <f>G16-E16</f>
        <v>0</v>
      </c>
      <c r="G16" s="183">
        <f>'ADJ DETAIL-INPUT'!AD14</f>
        <v>1324</v>
      </c>
      <c r="H16" s="183">
        <f>I16-G16</f>
        <v>0</v>
      </c>
      <c r="I16" s="183">
        <f>'ADJ DETAIL-INPUT'!BL14</f>
        <v>1324</v>
      </c>
      <c r="J16" s="183"/>
      <c r="K16" s="183">
        <f t="shared" ref="K16:K17" si="0">I16+J16</f>
        <v>1324</v>
      </c>
    </row>
    <row r="17" spans="1:11">
      <c r="A17" s="176">
        <v>3</v>
      </c>
      <c r="B17" s="178" t="s">
        <v>42</v>
      </c>
      <c r="C17" s="178"/>
      <c r="D17" s="178"/>
      <c r="E17" s="186">
        <f>'ADJ DETAIL-INPUT'!E15</f>
        <v>149694</v>
      </c>
      <c r="F17" s="186">
        <f>G17-E17</f>
        <v>-62356</v>
      </c>
      <c r="G17" s="186">
        <f>'ADJ DETAIL-INPUT'!AD15</f>
        <v>87338</v>
      </c>
      <c r="H17" s="186">
        <f>I17-G17</f>
        <v>49123</v>
      </c>
      <c r="I17" s="186">
        <f>'ADJ DETAIL-INPUT'!BL15</f>
        <v>136461</v>
      </c>
      <c r="J17" s="186"/>
      <c r="K17" s="186">
        <f t="shared" si="0"/>
        <v>136461</v>
      </c>
    </row>
    <row r="18" spans="1:11">
      <c r="A18" s="176">
        <v>4</v>
      </c>
      <c r="B18" s="178"/>
      <c r="C18" s="178" t="s">
        <v>43</v>
      </c>
      <c r="D18" s="178"/>
      <c r="E18" s="183">
        <f>SUM(E15:E17)</f>
        <v>751167.4</v>
      </c>
      <c r="F18" s="183">
        <f>SUM(F15:F17)</f>
        <v>-103743</v>
      </c>
      <c r="G18" s="183">
        <f t="shared" ref="G18" si="1">SUM(G15:G17)</f>
        <v>647424.4</v>
      </c>
      <c r="H18" s="183">
        <f>SUM(H15:H17)</f>
        <v>79600</v>
      </c>
      <c r="I18" s="183">
        <f t="shared" ref="I18:K18" si="2">SUM(I15:I17)</f>
        <v>727024.4</v>
      </c>
      <c r="J18" s="183">
        <f t="shared" si="2"/>
        <v>77066.842148600132</v>
      </c>
      <c r="K18" s="183">
        <f t="shared" si="2"/>
        <v>804091.24214860017</v>
      </c>
    </row>
    <row r="19" spans="1:11">
      <c r="A19" s="176">
        <v>5</v>
      </c>
      <c r="B19" s="178" t="s">
        <v>44</v>
      </c>
      <c r="C19" s="178"/>
      <c r="D19" s="178"/>
      <c r="E19" s="186">
        <f>'ADJ DETAIL-INPUT'!E17</f>
        <v>24101</v>
      </c>
      <c r="F19" s="186">
        <f>G19-E19</f>
        <v>1286</v>
      </c>
      <c r="G19" s="186">
        <f>'ADJ DETAIL-INPUT'!AD17</f>
        <v>25387</v>
      </c>
      <c r="H19" s="186">
        <f>I19-G19</f>
        <v>18298</v>
      </c>
      <c r="I19" s="186">
        <f>'ADJ DETAIL-INPUT'!BL17</f>
        <v>43685</v>
      </c>
      <c r="J19" s="186"/>
      <c r="K19" s="186">
        <f>I19+J19</f>
        <v>43685</v>
      </c>
    </row>
    <row r="20" spans="1:11">
      <c r="A20" s="176">
        <v>6</v>
      </c>
      <c r="B20" s="178"/>
      <c r="C20" s="178" t="s">
        <v>45</v>
      </c>
      <c r="D20" s="178"/>
      <c r="E20" s="183">
        <f>SUM(E18:E19)</f>
        <v>775268.4</v>
      </c>
      <c r="F20" s="183">
        <f t="shared" ref="F20" si="3">SUM(F18:F19)</f>
        <v>-102457</v>
      </c>
      <c r="G20" s="183">
        <f t="shared" ref="G20" si="4">SUM(G18:G19)</f>
        <v>672811.4</v>
      </c>
      <c r="H20" s="183">
        <f t="shared" ref="H20:K20" si="5">SUM(H18:H19)</f>
        <v>97898</v>
      </c>
      <c r="I20" s="183">
        <f t="shared" si="5"/>
        <v>770709.4</v>
      </c>
      <c r="J20" s="183">
        <f t="shared" si="5"/>
        <v>77066.842148600132</v>
      </c>
      <c r="K20" s="183">
        <f t="shared" si="5"/>
        <v>847776.24214860017</v>
      </c>
    </row>
    <row r="21" spans="1:11" ht="5.25" customHeight="1">
      <c r="A21" s="176"/>
      <c r="B21" s="178"/>
      <c r="C21" s="178"/>
      <c r="D21" s="178"/>
      <c r="E21" s="183"/>
      <c r="F21" s="183"/>
      <c r="G21" s="183"/>
      <c r="H21" s="183"/>
      <c r="I21" s="183"/>
      <c r="J21" s="183"/>
      <c r="K21" s="183"/>
    </row>
    <row r="22" spans="1:11">
      <c r="A22" s="176"/>
      <c r="B22" s="178" t="s">
        <v>46</v>
      </c>
      <c r="C22" s="178"/>
      <c r="D22" s="178"/>
      <c r="E22" s="183"/>
      <c r="F22" s="183"/>
      <c r="G22" s="183"/>
      <c r="H22" s="183"/>
      <c r="I22" s="183"/>
      <c r="J22" s="183"/>
      <c r="K22" s="183"/>
    </row>
    <row r="23" spans="1:11">
      <c r="A23" s="176"/>
      <c r="B23" s="178" t="s">
        <v>47</v>
      </c>
      <c r="C23" s="178"/>
      <c r="D23" s="178"/>
      <c r="E23" s="183"/>
      <c r="F23" s="183"/>
      <c r="G23" s="183"/>
      <c r="H23" s="183"/>
      <c r="I23" s="183"/>
      <c r="J23" s="183"/>
      <c r="K23" s="183"/>
    </row>
    <row r="24" spans="1:11">
      <c r="A24" s="176">
        <v>7</v>
      </c>
      <c r="B24" s="178"/>
      <c r="C24" s="178" t="s">
        <v>48</v>
      </c>
      <c r="D24" s="178"/>
      <c r="E24" s="183">
        <f>'ADJ DETAIL-INPUT'!E22</f>
        <v>193745.7</v>
      </c>
      <c r="F24" s="183">
        <f>G24-E24</f>
        <v>-43304</v>
      </c>
      <c r="G24" s="230">
        <f>'ADJ DETAIL-INPUT'!AD22</f>
        <v>150441.70000000001</v>
      </c>
      <c r="H24" s="183">
        <f>I24-G24</f>
        <v>43088.510000000009</v>
      </c>
      <c r="I24" s="230">
        <f>'ADJ DETAIL-INPUT'!BL22</f>
        <v>193530.21000000002</v>
      </c>
      <c r="J24" s="183"/>
      <c r="K24" s="183">
        <f>I24+J24</f>
        <v>193530.21000000002</v>
      </c>
    </row>
    <row r="25" spans="1:11">
      <c r="A25" s="176">
        <v>8</v>
      </c>
      <c r="B25" s="178"/>
      <c r="C25" s="178" t="s">
        <v>49</v>
      </c>
      <c r="D25" s="178"/>
      <c r="E25" s="183">
        <f>'ADJ DETAIL-INPUT'!E23</f>
        <v>133893</v>
      </c>
      <c r="F25" s="183">
        <f>G25-E25</f>
        <v>-56683</v>
      </c>
      <c r="G25" s="230">
        <f>'ADJ DETAIL-INPUT'!AD23</f>
        <v>77210</v>
      </c>
      <c r="H25" s="183">
        <f>I25-G25</f>
        <v>38936</v>
      </c>
      <c r="I25" s="230">
        <f>'ADJ DETAIL-INPUT'!BL23</f>
        <v>116146</v>
      </c>
      <c r="J25" s="183"/>
      <c r="K25" s="183">
        <f t="shared" ref="K25:K28" si="6">I25+J25</f>
        <v>116146</v>
      </c>
    </row>
    <row r="26" spans="1:11">
      <c r="A26" s="176">
        <v>9</v>
      </c>
      <c r="B26" s="178"/>
      <c r="C26" s="178" t="s">
        <v>514</v>
      </c>
      <c r="D26" s="178"/>
      <c r="E26" s="183">
        <f>'ADJ DETAIL-INPUT'!E24</f>
        <v>45659.5</v>
      </c>
      <c r="F26" s="183">
        <f>G26-E26</f>
        <v>-11503</v>
      </c>
      <c r="G26" s="230">
        <f>'ADJ DETAIL-INPUT'!AD24</f>
        <v>34156.5</v>
      </c>
      <c r="H26" s="183">
        <f>I26-G26</f>
        <v>3673.5</v>
      </c>
      <c r="I26" s="230">
        <f>'ADJ DETAIL-INPUT'!BL24</f>
        <v>37830</v>
      </c>
      <c r="J26" s="183"/>
      <c r="K26" s="183">
        <f t="shared" si="6"/>
        <v>37830</v>
      </c>
    </row>
    <row r="27" spans="1:11">
      <c r="A27" s="176">
        <v>10</v>
      </c>
      <c r="B27" s="178"/>
      <c r="C27" s="178" t="s">
        <v>631</v>
      </c>
      <c r="D27" s="178"/>
      <c r="E27" s="183">
        <f>'ADJ DETAIL-INPUT'!E25</f>
        <v>-12767</v>
      </c>
      <c r="F27" s="183">
        <f>G27-E27</f>
        <v>13065</v>
      </c>
      <c r="G27" s="230">
        <f>'ADJ DETAIL-INPUT'!AD25</f>
        <v>298</v>
      </c>
      <c r="H27" s="183">
        <f>I27-G27</f>
        <v>2034.9</v>
      </c>
      <c r="I27" s="230">
        <f>'ADJ DETAIL-INPUT'!BL25</f>
        <v>2332.9</v>
      </c>
      <c r="J27" s="183"/>
      <c r="K27" s="183">
        <f t="shared" si="6"/>
        <v>2332.9</v>
      </c>
    </row>
    <row r="28" spans="1:11">
      <c r="A28" s="176">
        <v>11</v>
      </c>
      <c r="B28" s="178"/>
      <c r="C28" s="178" t="s">
        <v>26</v>
      </c>
      <c r="D28" s="178"/>
      <c r="E28" s="186">
        <f>'ADJ DETAIL-INPUT'!E26</f>
        <v>12505</v>
      </c>
      <c r="F28" s="186">
        <f>G28-E28</f>
        <v>707</v>
      </c>
      <c r="G28" s="231">
        <f>'ADJ DETAIL-INPUT'!AD26</f>
        <v>13212</v>
      </c>
      <c r="H28" s="186">
        <f>I28-G28</f>
        <v>-784</v>
      </c>
      <c r="I28" s="231">
        <f>'ADJ DETAIL-INPUT'!BL26</f>
        <v>12428</v>
      </c>
      <c r="J28" s="186"/>
      <c r="K28" s="186">
        <f t="shared" si="6"/>
        <v>12428</v>
      </c>
    </row>
    <row r="29" spans="1:11">
      <c r="A29" s="176">
        <v>12</v>
      </c>
      <c r="B29" s="178"/>
      <c r="C29" s="178"/>
      <c r="D29" s="178" t="s">
        <v>50</v>
      </c>
      <c r="E29" s="183">
        <f>SUM(E24:E28)</f>
        <v>373036.2</v>
      </c>
      <c r="F29" s="183">
        <f t="shared" ref="F29" si="7">SUM(F24:F28)</f>
        <v>-97718</v>
      </c>
      <c r="G29" s="183">
        <f t="shared" ref="G29" si="8">SUM(G24:G28)</f>
        <v>275318.2</v>
      </c>
      <c r="H29" s="183">
        <f t="shared" ref="H29:K29" si="9">SUM(H24:H28)</f>
        <v>86948.91</v>
      </c>
      <c r="I29" s="183">
        <f t="shared" si="9"/>
        <v>362267.11000000004</v>
      </c>
      <c r="J29" s="183">
        <f t="shared" si="9"/>
        <v>0</v>
      </c>
      <c r="K29" s="183">
        <f t="shared" si="9"/>
        <v>362267.11000000004</v>
      </c>
    </row>
    <row r="30" spans="1:11" ht="3.75" customHeight="1">
      <c r="A30" s="176"/>
      <c r="B30" s="178"/>
      <c r="C30" s="178"/>
      <c r="D30" s="178"/>
      <c r="E30" s="183"/>
      <c r="F30" s="183"/>
      <c r="G30" s="183"/>
      <c r="H30" s="183"/>
      <c r="I30" s="183"/>
      <c r="J30" s="183"/>
      <c r="K30" s="183"/>
    </row>
    <row r="31" spans="1:11">
      <c r="A31" s="176"/>
      <c r="B31" s="178" t="s">
        <v>51</v>
      </c>
      <c r="C31" s="178"/>
      <c r="D31" s="178"/>
      <c r="E31" s="183"/>
      <c r="F31" s="183"/>
      <c r="G31" s="183"/>
      <c r="H31" s="183"/>
      <c r="I31" s="183"/>
      <c r="J31" s="183"/>
      <c r="K31" s="183"/>
    </row>
    <row r="32" spans="1:11">
      <c r="A32" s="176">
        <v>13</v>
      </c>
      <c r="B32" s="178"/>
      <c r="C32" s="178" t="s">
        <v>48</v>
      </c>
      <c r="D32" s="178"/>
      <c r="E32" s="183">
        <f>'ADJ DETAIL-INPUT'!E30</f>
        <v>35176</v>
      </c>
      <c r="F32" s="183">
        <f>G32-E32</f>
        <v>-4</v>
      </c>
      <c r="G32" s="183">
        <f>'ADJ DETAIL-INPUT'!AD30</f>
        <v>35172</v>
      </c>
      <c r="H32" s="183">
        <f>I32-G32</f>
        <v>190.66700000000128</v>
      </c>
      <c r="I32" s="183">
        <f>'ADJ DETAIL-INPUT'!BL30</f>
        <v>35362.667000000001</v>
      </c>
      <c r="J32" s="183"/>
      <c r="K32" s="183">
        <f>I32+J32</f>
        <v>35362.667000000001</v>
      </c>
    </row>
    <row r="33" spans="1:11">
      <c r="A33" s="176">
        <v>14</v>
      </c>
      <c r="B33" s="178"/>
      <c r="C33" s="178" t="s">
        <v>514</v>
      </c>
      <c r="D33" s="178"/>
      <c r="E33" s="183">
        <f>'ADJ DETAIL-INPUT'!E31</f>
        <v>38618.5</v>
      </c>
      <c r="F33" s="183">
        <f>G33-E33</f>
        <v>-68</v>
      </c>
      <c r="G33" s="183">
        <f>'ADJ DETAIL-INPUT'!AD31</f>
        <v>38550.5</v>
      </c>
      <c r="H33" s="183">
        <f>I33-G33</f>
        <v>6566.6999999999971</v>
      </c>
      <c r="I33" s="183">
        <f>'ADJ DETAIL-INPUT'!BL31</f>
        <v>45117.2</v>
      </c>
      <c r="J33" s="183"/>
      <c r="K33" s="183">
        <f t="shared" ref="K33:K35" si="10">I33+J33</f>
        <v>45117.2</v>
      </c>
    </row>
    <row r="34" spans="1:11">
      <c r="A34" s="176" t="s">
        <v>759</v>
      </c>
      <c r="B34" s="178"/>
      <c r="C34" s="178" t="s">
        <v>512</v>
      </c>
      <c r="D34" s="178"/>
      <c r="E34" s="183">
        <f>'ADJ DETAIL-INPUT'!E32</f>
        <v>0</v>
      </c>
      <c r="F34" s="183">
        <f>G34-E34</f>
        <v>0</v>
      </c>
      <c r="G34" s="183">
        <f>'ADJ DETAIL-INPUT'!AD32</f>
        <v>0</v>
      </c>
      <c r="H34" s="183">
        <f>I34-G34</f>
        <v>132</v>
      </c>
      <c r="I34" s="183">
        <f>'ADJ DETAIL-INPUT'!BL32</f>
        <v>132</v>
      </c>
      <c r="J34" s="183"/>
      <c r="K34" s="183">
        <f t="shared" ref="K34" si="11">I34+J34</f>
        <v>132</v>
      </c>
    </row>
    <row r="35" spans="1:11">
      <c r="A35" s="176">
        <v>15</v>
      </c>
      <c r="B35" s="178"/>
      <c r="C35" s="178" t="s">
        <v>26</v>
      </c>
      <c r="D35" s="178"/>
      <c r="E35" s="186">
        <f>'ADJ DETAIL-INPUT'!E33</f>
        <v>50732</v>
      </c>
      <c r="F35" s="186">
        <f>G35-E35</f>
        <v>-20964</v>
      </c>
      <c r="G35" s="186">
        <f>'ADJ DETAIL-INPUT'!AD33</f>
        <v>29768</v>
      </c>
      <c r="H35" s="186">
        <f>I35-G35</f>
        <v>1774</v>
      </c>
      <c r="I35" s="186">
        <f>'ADJ DETAIL-INPUT'!BL33</f>
        <v>31542</v>
      </c>
      <c r="J35" s="186">
        <f>'CF '!J16</f>
        <v>2970</v>
      </c>
      <c r="K35" s="186">
        <f t="shared" si="10"/>
        <v>34512</v>
      </c>
    </row>
    <row r="36" spans="1:11">
      <c r="A36" s="176">
        <v>16</v>
      </c>
      <c r="B36" s="178"/>
      <c r="C36" s="178"/>
      <c r="D36" s="178" t="s">
        <v>52</v>
      </c>
      <c r="E36" s="183">
        <f t="shared" ref="E36:K36" si="12">SUM(E32:E35)</f>
        <v>124526.5</v>
      </c>
      <c r="F36" s="183">
        <f t="shared" si="12"/>
        <v>-21036</v>
      </c>
      <c r="G36" s="183">
        <f t="shared" si="12"/>
        <v>103490.5</v>
      </c>
      <c r="H36" s="183">
        <f t="shared" si="12"/>
        <v>8663.3669999999984</v>
      </c>
      <c r="I36" s="183">
        <f t="shared" si="12"/>
        <v>112153.867</v>
      </c>
      <c r="J36" s="183">
        <f t="shared" si="12"/>
        <v>2970</v>
      </c>
      <c r="K36" s="183">
        <f t="shared" si="12"/>
        <v>115123.867</v>
      </c>
    </row>
    <row r="37" spans="1:11" ht="6.75" customHeight="1">
      <c r="A37" s="176"/>
      <c r="B37" s="178"/>
      <c r="C37" s="178"/>
      <c r="D37" s="178"/>
      <c r="E37" s="183"/>
      <c r="F37" s="183"/>
      <c r="G37" s="183"/>
      <c r="H37" s="183"/>
      <c r="I37" s="183"/>
      <c r="J37" s="183"/>
      <c r="K37" s="183"/>
    </row>
    <row r="38" spans="1:11">
      <c r="A38" s="176">
        <v>17</v>
      </c>
      <c r="B38" s="178" t="s">
        <v>53</v>
      </c>
      <c r="C38" s="178"/>
      <c r="D38" s="178"/>
      <c r="E38" s="183">
        <f>'ADJ DETAIL-INPUT'!E36</f>
        <v>5749</v>
      </c>
      <c r="F38" s="183">
        <f>G38-E38</f>
        <v>809</v>
      </c>
      <c r="G38" s="183">
        <f>'ADJ DETAIL-INPUT'!AD36</f>
        <v>6558</v>
      </c>
      <c r="H38" s="183">
        <f>I38-G38</f>
        <v>-726.37700000000041</v>
      </c>
      <c r="I38" s="183">
        <f>'ADJ DETAIL-INPUT'!BL36</f>
        <v>5831.6229999999996</v>
      </c>
      <c r="J38" s="183">
        <f>'CF '!J12</f>
        <v>382</v>
      </c>
      <c r="K38" s="183">
        <f>I38+J38</f>
        <v>6213.6229999999996</v>
      </c>
    </row>
    <row r="39" spans="1:11">
      <c r="A39" s="176">
        <v>18</v>
      </c>
      <c r="B39" s="178" t="s">
        <v>54</v>
      </c>
      <c r="C39" s="178"/>
      <c r="D39" s="178"/>
      <c r="E39" s="183">
        <f>'ADJ DETAIL-INPUT'!E37</f>
        <v>24545</v>
      </c>
      <c r="F39" s="183">
        <f>G39-E39</f>
        <v>-23127</v>
      </c>
      <c r="G39" s="183">
        <f>'ADJ DETAIL-INPUT'!AD37</f>
        <v>1418</v>
      </c>
      <c r="H39" s="183">
        <f>I39-G39</f>
        <v>476.95299999999997</v>
      </c>
      <c r="I39" s="183">
        <f>'ADJ DETAIL-INPUT'!BL37</f>
        <v>1894.953</v>
      </c>
      <c r="J39" s="183"/>
      <c r="K39" s="183">
        <f t="shared" ref="K39:K40" si="13">I39+J39</f>
        <v>1894.953</v>
      </c>
    </row>
    <row r="40" spans="1:11">
      <c r="A40" s="176">
        <v>19</v>
      </c>
      <c r="B40" s="178" t="s">
        <v>55</v>
      </c>
      <c r="C40" s="178"/>
      <c r="D40" s="178"/>
      <c r="E40" s="183">
        <f>'ADJ DETAIL-INPUT'!E38</f>
        <v>73</v>
      </c>
      <c r="F40" s="183">
        <f>G40-E40</f>
        <v>0</v>
      </c>
      <c r="G40" s="183">
        <f>'ADJ DETAIL-INPUT'!AD38</f>
        <v>73</v>
      </c>
      <c r="H40" s="183">
        <f>I40-G40</f>
        <v>11.579000000000008</v>
      </c>
      <c r="I40" s="183">
        <f>'ADJ DETAIL-INPUT'!BL38</f>
        <v>84.579000000000008</v>
      </c>
      <c r="J40" s="183"/>
      <c r="K40" s="183">
        <f t="shared" si="13"/>
        <v>84.579000000000008</v>
      </c>
    </row>
    <row r="41" spans="1:11" ht="6.75" customHeight="1">
      <c r="A41" s="178"/>
      <c r="B41" s="178"/>
      <c r="C41" s="178"/>
      <c r="D41" s="178"/>
      <c r="E41" s="183"/>
      <c r="F41" s="183"/>
      <c r="G41" s="183"/>
      <c r="H41" s="183"/>
      <c r="I41" s="183"/>
      <c r="J41" s="183"/>
      <c r="K41" s="183"/>
    </row>
    <row r="42" spans="1:11">
      <c r="A42" s="176"/>
      <c r="B42" s="178" t="s">
        <v>56</v>
      </c>
      <c r="C42" s="178"/>
      <c r="D42" s="178"/>
      <c r="E42" s="183"/>
      <c r="F42" s="183"/>
      <c r="G42" s="183"/>
      <c r="H42" s="183"/>
      <c r="I42" s="183"/>
      <c r="J42" s="183"/>
      <c r="K42" s="183"/>
    </row>
    <row r="43" spans="1:11">
      <c r="A43" s="176">
        <v>20</v>
      </c>
      <c r="B43" s="178"/>
      <c r="C43" s="178" t="s">
        <v>48</v>
      </c>
      <c r="D43" s="178"/>
      <c r="E43" s="183">
        <f>'ADJ DETAIL-INPUT'!E41</f>
        <v>87937</v>
      </c>
      <c r="F43" s="183">
        <f>G43-E43</f>
        <v>-91.335000000006403</v>
      </c>
      <c r="G43" s="183">
        <f>'ADJ DETAIL-INPUT'!AD41</f>
        <v>87845.664999999994</v>
      </c>
      <c r="H43" s="183">
        <f>I43-G43</f>
        <v>12639.544999999984</v>
      </c>
      <c r="I43" s="183">
        <f>'ADJ DETAIL-INPUT'!BL41</f>
        <v>100485.20999999998</v>
      </c>
      <c r="J43" s="183">
        <f>'CF '!J14</f>
        <v>308</v>
      </c>
      <c r="K43" s="183">
        <f t="shared" ref="K43:K46" si="14">I43+J43</f>
        <v>100793.20999999998</v>
      </c>
    </row>
    <row r="44" spans="1:11">
      <c r="A44" s="176">
        <v>21</v>
      </c>
      <c r="B44" s="178"/>
      <c r="C44" s="178" t="s">
        <v>514</v>
      </c>
      <c r="D44" s="178"/>
      <c r="E44" s="183">
        <f>'ADJ DETAIL-INPUT'!E42</f>
        <v>45673</v>
      </c>
      <c r="F44" s="183">
        <f>G44-E44</f>
        <v>0</v>
      </c>
      <c r="G44" s="183">
        <f>'ADJ DETAIL-INPUT'!AD42</f>
        <v>45673</v>
      </c>
      <c r="H44" s="183">
        <f>I44-G44</f>
        <v>3105.7000000000044</v>
      </c>
      <c r="I44" s="183">
        <f>'ADJ DETAIL-INPUT'!BL42</f>
        <v>48778.700000000004</v>
      </c>
      <c r="J44" s="183"/>
      <c r="K44" s="183">
        <f t="shared" si="14"/>
        <v>48778.700000000004</v>
      </c>
    </row>
    <row r="45" spans="1:11">
      <c r="A45" s="176">
        <v>22</v>
      </c>
      <c r="B45" s="178"/>
      <c r="C45" s="178" t="s">
        <v>631</v>
      </c>
      <c r="D45" s="178"/>
      <c r="E45" s="183">
        <f>'ADJ DETAIL-INPUT'!E43</f>
        <v>-2229</v>
      </c>
      <c r="F45" s="183">
        <f>G45-E45</f>
        <v>591</v>
      </c>
      <c r="G45" s="183">
        <f>'ADJ DETAIL-INPUT'!AD43</f>
        <v>-1638</v>
      </c>
      <c r="H45" s="183">
        <f>I45-G45</f>
        <v>11219.9</v>
      </c>
      <c r="I45" s="183">
        <f>'ADJ DETAIL-INPUT'!BL43</f>
        <v>9581.9</v>
      </c>
      <c r="J45" s="183"/>
      <c r="K45" s="183">
        <f t="shared" si="14"/>
        <v>9581.9</v>
      </c>
    </row>
    <row r="46" spans="1:11">
      <c r="A46" s="176">
        <v>23</v>
      </c>
      <c r="B46" s="178"/>
      <c r="C46" s="178" t="s">
        <v>26</v>
      </c>
      <c r="D46" s="178"/>
      <c r="E46" s="186">
        <f>'ADJ DETAIL-INPUT'!E44</f>
        <v>4307</v>
      </c>
      <c r="F46" s="186">
        <f>G46-E46</f>
        <v>0</v>
      </c>
      <c r="G46" s="186">
        <f>'ADJ DETAIL-INPUT'!AD44</f>
        <v>4307</v>
      </c>
      <c r="H46" s="186">
        <f>I46-G46</f>
        <v>0</v>
      </c>
      <c r="I46" s="186">
        <f>'ADJ DETAIL-INPUT'!BL44</f>
        <v>4307</v>
      </c>
      <c r="J46" s="186"/>
      <c r="K46" s="186">
        <f t="shared" si="14"/>
        <v>4307</v>
      </c>
    </row>
    <row r="47" spans="1:11">
      <c r="A47" s="176">
        <v>24</v>
      </c>
      <c r="B47" s="178"/>
      <c r="C47" s="178"/>
      <c r="D47" s="178" t="s">
        <v>57</v>
      </c>
      <c r="E47" s="186">
        <f t="shared" ref="E47:K47" si="15">SUM(E43:E46)</f>
        <v>135688</v>
      </c>
      <c r="F47" s="186">
        <f t="shared" si="15"/>
        <v>499.6649999999936</v>
      </c>
      <c r="G47" s="186">
        <f t="shared" si="15"/>
        <v>136187.66499999998</v>
      </c>
      <c r="H47" s="186">
        <f t="shared" si="15"/>
        <v>26965.14499999999</v>
      </c>
      <c r="I47" s="186">
        <f t="shared" si="15"/>
        <v>163152.80999999997</v>
      </c>
      <c r="J47" s="186">
        <f t="shared" si="15"/>
        <v>308</v>
      </c>
      <c r="K47" s="186">
        <f t="shared" si="15"/>
        <v>163460.80999999997</v>
      </c>
    </row>
    <row r="48" spans="1:11">
      <c r="A48" s="176">
        <v>25</v>
      </c>
      <c r="B48" s="178" t="s">
        <v>58</v>
      </c>
      <c r="C48" s="178"/>
      <c r="D48" s="178"/>
      <c r="E48" s="186">
        <f t="shared" ref="E48:K48" si="16">E29+E36+E38+E39+E40+E47</f>
        <v>663617.69999999995</v>
      </c>
      <c r="F48" s="186">
        <f t="shared" si="16"/>
        <v>-140572.33500000002</v>
      </c>
      <c r="G48" s="186">
        <f t="shared" si="16"/>
        <v>523045.36499999999</v>
      </c>
      <c r="H48" s="186">
        <f t="shared" si="16"/>
        <v>122339.57699999998</v>
      </c>
      <c r="I48" s="186">
        <f t="shared" si="16"/>
        <v>645384.94200000004</v>
      </c>
      <c r="J48" s="186">
        <f t="shared" si="16"/>
        <v>3660</v>
      </c>
      <c r="K48" s="186">
        <f t="shared" si="16"/>
        <v>649044.94200000004</v>
      </c>
    </row>
    <row r="50" spans="1:11">
      <c r="A50" s="176">
        <v>26</v>
      </c>
      <c r="B50" s="178" t="s">
        <v>59</v>
      </c>
      <c r="C50" s="178"/>
      <c r="D50" s="178"/>
      <c r="E50" s="183">
        <f t="shared" ref="E50:K50" si="17">E20-E48</f>
        <v>111650.70000000007</v>
      </c>
      <c r="F50" s="183">
        <f t="shared" si="17"/>
        <v>38115.335000000021</v>
      </c>
      <c r="G50" s="183">
        <f t="shared" si="17"/>
        <v>149766.03500000003</v>
      </c>
      <c r="H50" s="183">
        <f t="shared" si="17"/>
        <v>-24441.576999999976</v>
      </c>
      <c r="I50" s="183">
        <f t="shared" si="17"/>
        <v>125324.45799999998</v>
      </c>
      <c r="J50" s="183">
        <f t="shared" si="17"/>
        <v>73406.842148600132</v>
      </c>
      <c r="K50" s="183">
        <f t="shared" si="17"/>
        <v>198731.30014860013</v>
      </c>
    </row>
    <row r="51" spans="1:11" ht="5.25" customHeight="1">
      <c r="A51" s="176"/>
      <c r="B51" s="178"/>
      <c r="C51" s="178"/>
      <c r="D51" s="178"/>
      <c r="E51" s="183"/>
      <c r="F51" s="183"/>
      <c r="G51" s="183"/>
      <c r="H51" s="183"/>
      <c r="I51" s="183"/>
      <c r="J51" s="183"/>
      <c r="K51" s="183"/>
    </row>
    <row r="52" spans="1:11">
      <c r="A52" s="176"/>
      <c r="B52" s="178" t="s">
        <v>60</v>
      </c>
      <c r="C52" s="178"/>
      <c r="D52" s="178"/>
      <c r="E52" s="183"/>
      <c r="F52" s="183"/>
      <c r="G52" s="183"/>
      <c r="H52" s="183"/>
      <c r="I52" s="183"/>
      <c r="J52" s="183"/>
      <c r="K52" s="183"/>
    </row>
    <row r="53" spans="1:11">
      <c r="A53" s="176">
        <v>27</v>
      </c>
      <c r="B53" s="178" t="s">
        <v>61</v>
      </c>
      <c r="C53" s="178"/>
      <c r="D53" s="178"/>
      <c r="E53" s="183">
        <f>'ADJ DETAIL-INPUT'!E51</f>
        <v>-6746</v>
      </c>
      <c r="F53" s="183">
        <f>G53-E53</f>
        <v>17227.000349999995</v>
      </c>
      <c r="G53" s="183">
        <f>'ADJ DETAIL-INPUT'!AD51</f>
        <v>10481.000349999997</v>
      </c>
      <c r="H53" s="183">
        <f>I53-G53</f>
        <v>-5132.5311700000038</v>
      </c>
      <c r="I53" s="183">
        <f>'ADJ DETAIL-INPUT'!BL51</f>
        <v>5348.4691799999928</v>
      </c>
      <c r="J53" s="183">
        <f>'CF '!J22</f>
        <v>15415</v>
      </c>
      <c r="K53" s="183">
        <f>I53+J53</f>
        <v>20763.469179999993</v>
      </c>
    </row>
    <row r="54" spans="1:11">
      <c r="A54" s="176">
        <v>28</v>
      </c>
      <c r="B54" s="167" t="s">
        <v>247</v>
      </c>
      <c r="E54" s="183">
        <f>'ADJ DETAIL-INPUT'!E52</f>
        <v>0</v>
      </c>
      <c r="F54" s="183">
        <f>G54-E54</f>
        <v>-155.1885762</v>
      </c>
      <c r="G54" s="183">
        <f>'ADJ DETAIL-INPUT'!AD52</f>
        <v>-155.1885762</v>
      </c>
      <c r="H54" s="183">
        <f>I54-G54</f>
        <v>-927.62222382129426</v>
      </c>
      <c r="I54" s="183">
        <f>'ADJ DETAIL-INPUT'!BL52</f>
        <v>-1082.8108000212942</v>
      </c>
      <c r="J54" s="183"/>
      <c r="K54" s="183">
        <f>I54+J54</f>
        <v>-1082.8108000212942</v>
      </c>
    </row>
    <row r="55" spans="1:11">
      <c r="A55" s="176">
        <v>29</v>
      </c>
      <c r="B55" s="178" t="s">
        <v>62</v>
      </c>
      <c r="C55" s="178"/>
      <c r="D55" s="178"/>
      <c r="E55" s="183">
        <f>'ADJ DETAIL-INPUT'!E53</f>
        <v>-6498</v>
      </c>
      <c r="F55" s="183">
        <f>G55-E55</f>
        <v>9991</v>
      </c>
      <c r="G55" s="183">
        <f>'ADJ DETAIL-INPUT'!AD53</f>
        <v>3493</v>
      </c>
      <c r="H55" s="183">
        <f>I55-G55</f>
        <v>92</v>
      </c>
      <c r="I55" s="183">
        <f>'ADJ DETAIL-INPUT'!BL53</f>
        <v>3585</v>
      </c>
      <c r="J55" s="183"/>
      <c r="K55" s="183">
        <f>I55+J55</f>
        <v>3585</v>
      </c>
    </row>
    <row r="56" spans="1:11">
      <c r="A56" s="176">
        <v>30</v>
      </c>
      <c r="B56" s="178" t="s">
        <v>63</v>
      </c>
      <c r="C56" s="178"/>
      <c r="D56" s="178"/>
      <c r="E56" s="186">
        <f>'ADJ DETAIL-INPUT'!E54</f>
        <v>-312</v>
      </c>
      <c r="F56" s="186">
        <f>G56-E56</f>
        <v>0</v>
      </c>
      <c r="G56" s="186">
        <f>'ADJ DETAIL-INPUT'!AD54</f>
        <v>-312</v>
      </c>
      <c r="H56" s="186">
        <f>I56-G56</f>
        <v>0</v>
      </c>
      <c r="I56" s="186">
        <f>'ADJ DETAIL-INPUT'!BL54</f>
        <v>-312</v>
      </c>
      <c r="J56" s="186"/>
      <c r="K56" s="186">
        <f>I56+J56</f>
        <v>-312</v>
      </c>
    </row>
    <row r="57" spans="1:11" ht="12.75" customHeight="1">
      <c r="A57" s="176"/>
      <c r="B57" s="682"/>
      <c r="C57" s="682"/>
      <c r="D57" s="682"/>
      <c r="E57" s="186"/>
      <c r="F57" s="186"/>
      <c r="G57" s="186"/>
      <c r="H57" s="186"/>
      <c r="I57" s="186"/>
      <c r="J57" s="186"/>
      <c r="K57" s="186"/>
    </row>
    <row r="58" spans="1:11" ht="13.5" thickBot="1">
      <c r="A58" s="168">
        <v>31</v>
      </c>
      <c r="B58" s="177" t="s">
        <v>64</v>
      </c>
      <c r="C58" s="177"/>
      <c r="D58" s="177"/>
      <c r="E58" s="402">
        <f>E50-SUM(E53:E57)</f>
        <v>125206.70000000007</v>
      </c>
      <c r="F58" s="402">
        <f t="shared" ref="F58:K58" si="18">F50-SUM(F53:F57)</f>
        <v>11052.523226200025</v>
      </c>
      <c r="G58" s="402">
        <f t="shared" si="18"/>
        <v>136259.22322620003</v>
      </c>
      <c r="H58" s="402">
        <f t="shared" si="18"/>
        <v>-18473.42360617868</v>
      </c>
      <c r="I58" s="402">
        <f t="shared" si="18"/>
        <v>117785.79962002128</v>
      </c>
      <c r="J58" s="402">
        <f t="shared" si="18"/>
        <v>57991.842148600132</v>
      </c>
      <c r="K58" s="402">
        <f t="shared" si="18"/>
        <v>175777.64176862143</v>
      </c>
    </row>
    <row r="59" spans="1:11" ht="5.25" customHeight="1" thickTop="1">
      <c r="E59" s="183"/>
      <c r="F59" s="183"/>
      <c r="G59" s="183"/>
      <c r="H59" s="183"/>
      <c r="I59" s="183"/>
      <c r="J59" s="183"/>
      <c r="K59" s="183"/>
    </row>
    <row r="60" spans="1:11">
      <c r="B60" s="167" t="s">
        <v>65</v>
      </c>
      <c r="E60" s="183"/>
      <c r="F60" s="183"/>
      <c r="G60" s="183"/>
      <c r="H60" s="183"/>
      <c r="I60" s="183"/>
      <c r="J60" s="183"/>
      <c r="K60" s="183"/>
    </row>
    <row r="61" spans="1:11">
      <c r="A61" s="176"/>
      <c r="B61" s="167" t="s">
        <v>66</v>
      </c>
      <c r="E61" s="183"/>
      <c r="F61" s="183"/>
      <c r="G61" s="183"/>
      <c r="H61" s="183"/>
      <c r="I61" s="183"/>
      <c r="J61" s="183"/>
      <c r="K61" s="183"/>
    </row>
    <row r="62" spans="1:11">
      <c r="A62" s="176">
        <v>32</v>
      </c>
      <c r="B62" s="177"/>
      <c r="C62" s="177" t="s">
        <v>67</v>
      </c>
      <c r="D62" s="177"/>
      <c r="E62" s="177">
        <f>'ADJ DETAIL-INPUT'!E60</f>
        <v>244562</v>
      </c>
      <c r="F62" s="177">
        <f>G62-E62</f>
        <v>4214</v>
      </c>
      <c r="G62" s="177">
        <f>'ADJ DETAIL-INPUT'!AD60</f>
        <v>248776</v>
      </c>
      <c r="H62" s="177">
        <f>I62-G62</f>
        <v>337</v>
      </c>
      <c r="I62" s="177">
        <f>'ADJ DETAIL-INPUT'!BL60</f>
        <v>249113</v>
      </c>
      <c r="J62" s="177"/>
      <c r="K62" s="177">
        <f>I62+J62</f>
        <v>249113</v>
      </c>
    </row>
    <row r="63" spans="1:11">
      <c r="A63" s="176">
        <v>33</v>
      </c>
      <c r="B63" s="178"/>
      <c r="C63" s="178" t="s">
        <v>68</v>
      </c>
      <c r="D63" s="178"/>
      <c r="E63" s="183">
        <f>'ADJ DETAIL-INPUT'!E61</f>
        <v>1009757</v>
      </c>
      <c r="F63" s="183">
        <f>G63-E63</f>
        <v>-204356.19999999995</v>
      </c>
      <c r="G63" s="183">
        <f>'ADJ DETAIL-INPUT'!AD61</f>
        <v>805400.8</v>
      </c>
      <c r="H63" s="183">
        <f>I63-G63</f>
        <v>40650</v>
      </c>
      <c r="I63" s="183">
        <f>'ADJ DETAIL-INPUT'!BL61</f>
        <v>846050.8</v>
      </c>
      <c r="J63" s="183"/>
      <c r="K63" s="183">
        <f t="shared" ref="K63:K66" si="19">I63+J63</f>
        <v>846050.8</v>
      </c>
    </row>
    <row r="64" spans="1:11">
      <c r="A64" s="176">
        <v>34</v>
      </c>
      <c r="B64" s="178"/>
      <c r="C64" s="178" t="s">
        <v>69</v>
      </c>
      <c r="D64" s="178"/>
      <c r="E64" s="183">
        <f>'ADJ DETAIL-INPUT'!E62</f>
        <v>639906.4</v>
      </c>
      <c r="F64" s="183">
        <f>G64-E64</f>
        <v>21171.699999999953</v>
      </c>
      <c r="G64" s="183">
        <f>'ADJ DETAIL-INPUT'!AD62</f>
        <v>661078.1</v>
      </c>
      <c r="H64" s="183">
        <f>I64-G64</f>
        <v>55063</v>
      </c>
      <c r="I64" s="183">
        <f>'ADJ DETAIL-INPUT'!BL62</f>
        <v>716141.1</v>
      </c>
      <c r="J64" s="183"/>
      <c r="K64" s="183">
        <f t="shared" si="19"/>
        <v>716141.1</v>
      </c>
    </row>
    <row r="65" spans="1:11">
      <c r="A65" s="176">
        <v>35</v>
      </c>
      <c r="B65" s="178"/>
      <c r="C65" s="178" t="s">
        <v>51</v>
      </c>
      <c r="D65" s="178"/>
      <c r="E65" s="183">
        <f>'ADJ DETAIL-INPUT'!E63</f>
        <v>1486384</v>
      </c>
      <c r="F65" s="183">
        <f>G65-E65</f>
        <v>61740.600000000093</v>
      </c>
      <c r="G65" s="183">
        <f>'ADJ DETAIL-INPUT'!AD63</f>
        <v>1548124.6</v>
      </c>
      <c r="H65" s="183">
        <f>I65-G65</f>
        <v>215420</v>
      </c>
      <c r="I65" s="183">
        <f>'ADJ DETAIL-INPUT'!BL63</f>
        <v>1763544.6</v>
      </c>
      <c r="J65" s="183"/>
      <c r="K65" s="183">
        <f t="shared" si="19"/>
        <v>1763544.6</v>
      </c>
    </row>
    <row r="66" spans="1:11">
      <c r="A66" s="176">
        <v>36</v>
      </c>
      <c r="B66" s="178"/>
      <c r="C66" s="178" t="s">
        <v>70</v>
      </c>
      <c r="D66" s="178"/>
      <c r="E66" s="186">
        <f>'ADJ DETAIL-INPUT'!E64</f>
        <v>310839.3</v>
      </c>
      <c r="F66" s="186">
        <f>G66-E66</f>
        <v>4660</v>
      </c>
      <c r="G66" s="186">
        <f>'ADJ DETAIL-INPUT'!AD64</f>
        <v>315499.3</v>
      </c>
      <c r="H66" s="186">
        <f>I66-G66</f>
        <v>28655</v>
      </c>
      <c r="I66" s="186">
        <f>'ADJ DETAIL-INPUT'!BL64</f>
        <v>344154.3</v>
      </c>
      <c r="J66" s="186"/>
      <c r="K66" s="186">
        <f t="shared" si="19"/>
        <v>344154.3</v>
      </c>
    </row>
    <row r="67" spans="1:11">
      <c r="A67" s="176">
        <v>37</v>
      </c>
      <c r="B67" s="178"/>
      <c r="C67" s="178"/>
      <c r="D67" s="178" t="s">
        <v>71</v>
      </c>
      <c r="E67" s="183">
        <f>SUM(E62:E66)</f>
        <v>3691448.6999999997</v>
      </c>
      <c r="F67" s="183">
        <f t="shared" ref="F67" si="20">SUM(F62:F66)</f>
        <v>-112569.89999999991</v>
      </c>
      <c r="G67" s="183">
        <f t="shared" ref="G67" si="21">SUM(G62:G66)</f>
        <v>3578878.8</v>
      </c>
      <c r="H67" s="183">
        <f t="shared" ref="H67:J67" si="22">SUM(H62:H66)</f>
        <v>340125</v>
      </c>
      <c r="I67" s="183">
        <f t="shared" si="22"/>
        <v>3919003.8</v>
      </c>
      <c r="J67" s="183">
        <f t="shared" si="22"/>
        <v>0</v>
      </c>
      <c r="K67" s="183">
        <f>SUM(K62:K66)</f>
        <v>3919003.8</v>
      </c>
    </row>
    <row r="68" spans="1:11">
      <c r="A68" s="179"/>
      <c r="B68" s="178" t="s">
        <v>210</v>
      </c>
      <c r="C68" s="178"/>
      <c r="D68" s="178"/>
      <c r="E68" s="183"/>
      <c r="F68" s="183"/>
      <c r="G68" s="183"/>
      <c r="H68" s="183"/>
      <c r="I68" s="183"/>
      <c r="J68" s="183"/>
      <c r="K68" s="183"/>
    </row>
    <row r="69" spans="1:11">
      <c r="A69" s="179">
        <v>38</v>
      </c>
      <c r="B69" s="178"/>
      <c r="C69" s="177" t="s">
        <v>205</v>
      </c>
      <c r="D69" s="178"/>
      <c r="E69" s="183">
        <f>'ADJ DETAIL-INPUT'!E67</f>
        <v>-106388</v>
      </c>
      <c r="F69" s="183">
        <f>G69-E69</f>
        <v>-7700.3999999999942</v>
      </c>
      <c r="G69" s="183">
        <f>'ADJ DETAIL-INPUT'!AD67</f>
        <v>-114088.4</v>
      </c>
      <c r="H69" s="183">
        <f>I69-G69</f>
        <v>-16422.959733539465</v>
      </c>
      <c r="I69" s="183">
        <f>'ADJ DETAIL-INPUT'!BL67</f>
        <v>-130511.35973353946</v>
      </c>
      <c r="J69" s="183"/>
      <c r="K69" s="183">
        <f>I69+J69</f>
        <v>-130511.35973353946</v>
      </c>
    </row>
    <row r="70" spans="1:11">
      <c r="A70" s="179">
        <v>39</v>
      </c>
      <c r="B70" s="178"/>
      <c r="C70" s="178" t="s">
        <v>206</v>
      </c>
      <c r="D70" s="178"/>
      <c r="E70" s="183">
        <f>'ADJ DETAIL-INPUT'!E68</f>
        <v>-467152.5</v>
      </c>
      <c r="F70" s="183">
        <f>G70-E70</f>
        <v>176105</v>
      </c>
      <c r="G70" s="183">
        <f>'ADJ DETAIL-INPUT'!AD68</f>
        <v>-291047.5</v>
      </c>
      <c r="H70" s="183">
        <f>I70-G70</f>
        <v>-33425.668484774884</v>
      </c>
      <c r="I70" s="183">
        <f>'ADJ DETAIL-INPUT'!BL68</f>
        <v>-324473.16848477488</v>
      </c>
      <c r="J70" s="183"/>
      <c r="K70" s="183">
        <f t="shared" ref="K70:K73" si="23">I70+J70</f>
        <v>-324473.16848477488</v>
      </c>
    </row>
    <row r="71" spans="1:11">
      <c r="A71" s="179">
        <v>40</v>
      </c>
      <c r="B71" s="178"/>
      <c r="C71" s="178" t="s">
        <v>207</v>
      </c>
      <c r="D71" s="178"/>
      <c r="E71" s="183">
        <f>'ADJ DETAIL-INPUT'!E69</f>
        <v>-172832</v>
      </c>
      <c r="F71" s="183">
        <f>G71-E71</f>
        <v>-5043.8999999999942</v>
      </c>
      <c r="G71" s="183">
        <f>'ADJ DETAIL-INPUT'!AD69</f>
        <v>-177875.9</v>
      </c>
      <c r="H71" s="183">
        <f>I71-G71</f>
        <v>-26607.517741725722</v>
      </c>
      <c r="I71" s="183">
        <f>'ADJ DETAIL-INPUT'!BL69</f>
        <v>-204483.41774172572</v>
      </c>
      <c r="J71" s="183"/>
      <c r="K71" s="183">
        <f t="shared" si="23"/>
        <v>-204483.41774172572</v>
      </c>
    </row>
    <row r="72" spans="1:11">
      <c r="A72" s="179">
        <v>41</v>
      </c>
      <c r="B72" s="178"/>
      <c r="C72" s="178" t="s">
        <v>191</v>
      </c>
      <c r="D72" s="178"/>
      <c r="E72" s="183">
        <f>'ADJ DETAIL-INPUT'!E70</f>
        <v>-458617</v>
      </c>
      <c r="F72" s="183">
        <f>G72-E72</f>
        <v>-17101.900000000023</v>
      </c>
      <c r="G72" s="183">
        <f>'ADJ DETAIL-INPUT'!AD70</f>
        <v>-475718.9</v>
      </c>
      <c r="H72" s="183">
        <f>I72-G72</f>
        <v>-67175.673305979231</v>
      </c>
      <c r="I72" s="183">
        <f>'ADJ DETAIL-INPUT'!BL70</f>
        <v>-542894.57330597925</v>
      </c>
      <c r="J72" s="183"/>
      <c r="K72" s="183">
        <f t="shared" si="23"/>
        <v>-542894.57330597925</v>
      </c>
    </row>
    <row r="73" spans="1:11">
      <c r="A73" s="179">
        <v>42</v>
      </c>
      <c r="B73" s="178"/>
      <c r="C73" s="178" t="s">
        <v>208</v>
      </c>
      <c r="D73" s="178"/>
      <c r="E73" s="183">
        <f>'ADJ DETAIL-INPUT'!E71</f>
        <v>-113530.9</v>
      </c>
      <c r="F73" s="186">
        <f>G73-E73</f>
        <v>-5427.3000000000029</v>
      </c>
      <c r="G73" s="183">
        <f>'ADJ DETAIL-INPUT'!AD71</f>
        <v>-118958.2</v>
      </c>
      <c r="H73" s="186">
        <f>I73-G73</f>
        <v>-11112.799999999988</v>
      </c>
      <c r="I73" s="183">
        <f>'ADJ DETAIL-INPUT'!BL71</f>
        <v>-130070.99999999999</v>
      </c>
      <c r="J73" s="186"/>
      <c r="K73" s="183">
        <f t="shared" si="23"/>
        <v>-130070.99999999999</v>
      </c>
    </row>
    <row r="74" spans="1:11">
      <c r="A74" s="179">
        <v>43</v>
      </c>
      <c r="B74" s="178" t="s">
        <v>249</v>
      </c>
      <c r="C74" s="178"/>
      <c r="D74" s="178"/>
      <c r="E74" s="96">
        <f>SUM(E69:E73)</f>
        <v>-1318520.3999999999</v>
      </c>
      <c r="F74" s="96">
        <f t="shared" ref="F74" si="24">SUM(F69:F73)</f>
        <v>140831.5</v>
      </c>
      <c r="G74" s="96">
        <f>SUM(G69:G73)</f>
        <v>-1177688.9000000001</v>
      </c>
      <c r="H74" s="96">
        <f t="shared" ref="H74" si="25">SUM(H69:H73)</f>
        <v>-154744.61926601929</v>
      </c>
      <c r="I74" s="96">
        <f>SUM(I69:I73)</f>
        <v>-1332433.5192660193</v>
      </c>
      <c r="J74" s="96">
        <f>SUM(J69:J73)</f>
        <v>0</v>
      </c>
      <c r="K74" s="96">
        <f>SUM(K69:K73)</f>
        <v>-1332433.5192660193</v>
      </c>
    </row>
    <row r="75" spans="1:11">
      <c r="A75" s="179">
        <v>44</v>
      </c>
      <c r="B75" s="178" t="s">
        <v>519</v>
      </c>
      <c r="C75" s="178"/>
      <c r="D75" s="177"/>
      <c r="E75" s="183">
        <f>E67+E74</f>
        <v>2372928.2999999998</v>
      </c>
      <c r="F75" s="183">
        <f t="shared" ref="F75" si="26">F67+F74</f>
        <v>28261.600000000093</v>
      </c>
      <c r="G75" s="183">
        <f t="shared" ref="G75" si="27">G67+G74</f>
        <v>2401189.8999999994</v>
      </c>
      <c r="H75" s="183">
        <f t="shared" ref="H75:J75" si="28">H67+H74</f>
        <v>185380.38073398071</v>
      </c>
      <c r="I75" s="183">
        <f t="shared" si="28"/>
        <v>2586570.2807339802</v>
      </c>
      <c r="J75" s="183">
        <f t="shared" si="28"/>
        <v>0</v>
      </c>
      <c r="K75" s="183">
        <f>K67+K74</f>
        <v>2586570.2807339802</v>
      </c>
    </row>
    <row r="76" spans="1:11" ht="5.25" customHeight="1">
      <c r="A76" s="179"/>
      <c r="B76" s="178"/>
      <c r="C76" s="178"/>
      <c r="E76" s="138"/>
      <c r="F76" s="138"/>
      <c r="G76" s="138"/>
      <c r="H76" s="138"/>
      <c r="I76" s="138"/>
      <c r="J76" s="138"/>
      <c r="K76" s="138"/>
    </row>
    <row r="77" spans="1:11">
      <c r="A77" s="180">
        <v>45</v>
      </c>
      <c r="B77" s="178" t="s">
        <v>211</v>
      </c>
      <c r="C77" s="178"/>
      <c r="D77" s="178"/>
      <c r="E77" s="186">
        <f>'ADJ DETAIL-INPUT'!E75</f>
        <v>-399245</v>
      </c>
      <c r="F77" s="186">
        <f>G77-E77</f>
        <v>3717</v>
      </c>
      <c r="G77" s="186">
        <f>'ADJ DETAIL-INPUT'!AD75</f>
        <v>-395528</v>
      </c>
      <c r="H77" s="186">
        <f>I77-G77</f>
        <v>-5974</v>
      </c>
      <c r="I77" s="186">
        <f>'ADJ DETAIL-INPUT'!BL75</f>
        <v>-401502</v>
      </c>
      <c r="J77" s="122"/>
      <c r="K77" s="186">
        <f>I77+J77</f>
        <v>-401502</v>
      </c>
    </row>
    <row r="78" spans="1:11">
      <c r="A78" s="180">
        <v>46</v>
      </c>
      <c r="B78" s="178"/>
      <c r="C78" s="178" t="s">
        <v>518</v>
      </c>
      <c r="D78" s="178"/>
      <c r="E78" s="183">
        <f>SUM(E75:E77)</f>
        <v>1973683.2999999998</v>
      </c>
      <c r="F78" s="183">
        <f t="shared" ref="F78" si="29">SUM(F75:F77)</f>
        <v>31978.600000000093</v>
      </c>
      <c r="G78" s="183">
        <f>SUM(G75:G77)</f>
        <v>2005661.8999999994</v>
      </c>
      <c r="H78" s="183">
        <f t="shared" ref="H78:J78" si="30">SUM(H75:H77)</f>
        <v>179406.38073398071</v>
      </c>
      <c r="I78" s="183">
        <f>SUM(I75:I77)</f>
        <v>2185068.2807339802</v>
      </c>
      <c r="J78" s="183">
        <f t="shared" si="30"/>
        <v>0</v>
      </c>
      <c r="K78" s="183">
        <f>I78+J78</f>
        <v>2185068.2807339802</v>
      </c>
    </row>
    <row r="79" spans="1:11">
      <c r="A79" s="179">
        <v>47</v>
      </c>
      <c r="B79" s="178" t="s">
        <v>251</v>
      </c>
      <c r="C79" s="178"/>
      <c r="E79" s="183">
        <f>'ADJ DETAIL-INPUT'!E77</f>
        <v>31540.5</v>
      </c>
      <c r="F79" s="183">
        <f>G79-E79</f>
        <v>15</v>
      </c>
      <c r="G79" s="183">
        <f>'ADJ DETAIL-INPUT'!AD77</f>
        <v>31555.5</v>
      </c>
      <c r="H79" s="183">
        <f>I79-G79</f>
        <v>-7529</v>
      </c>
      <c r="I79" s="183">
        <f>'ADJ DETAIL-INPUT'!BL77</f>
        <v>24026.5</v>
      </c>
      <c r="K79" s="183">
        <f>I79+J79</f>
        <v>24026.5</v>
      </c>
    </row>
    <row r="80" spans="1:11">
      <c r="A80" s="179">
        <v>48</v>
      </c>
      <c r="B80" s="178" t="s">
        <v>240</v>
      </c>
      <c r="C80" s="178"/>
      <c r="E80" s="186">
        <f>'ADJ DETAIL-INPUT'!E78</f>
        <v>103961</v>
      </c>
      <c r="F80" s="186">
        <f>G80-E80</f>
        <v>-3239</v>
      </c>
      <c r="G80" s="186">
        <f>'ADJ DETAIL-INPUT'!AD78</f>
        <v>100722</v>
      </c>
      <c r="H80" s="186">
        <f>I80-G80</f>
        <v>0</v>
      </c>
      <c r="I80" s="186">
        <f>'ADJ DETAIL-INPUT'!BL78</f>
        <v>100722</v>
      </c>
      <c r="J80" s="122"/>
      <c r="K80" s="186">
        <f t="shared" ref="K80" si="31">I80+J80</f>
        <v>100722</v>
      </c>
    </row>
    <row r="81" spans="1:11" ht="2.25" customHeight="1">
      <c r="A81" s="180">
        <v>49</v>
      </c>
      <c r="B81" s="178"/>
      <c r="C81" s="178"/>
      <c r="D81" s="178"/>
    </row>
    <row r="82" spans="1:11" ht="13.5" thickBot="1">
      <c r="A82" s="176">
        <v>50</v>
      </c>
      <c r="B82" s="177" t="s">
        <v>212</v>
      </c>
      <c r="C82" s="177"/>
      <c r="D82" s="177"/>
      <c r="E82" s="139">
        <f>SUM(E78:E80)</f>
        <v>2109184.7999999998</v>
      </c>
      <c r="F82" s="139">
        <f t="shared" ref="F82" si="32">SUM(F78:F80)</f>
        <v>28754.600000000093</v>
      </c>
      <c r="G82" s="139">
        <f t="shared" ref="G82" si="33">SUM(G78:G80)</f>
        <v>2137939.3999999994</v>
      </c>
      <c r="H82" s="139">
        <f t="shared" ref="H82:K82" si="34">SUM(H78:H80)</f>
        <v>171877.38073398071</v>
      </c>
      <c r="I82" s="139">
        <f t="shared" si="34"/>
        <v>2309816.7807339802</v>
      </c>
      <c r="J82" s="139">
        <f t="shared" si="34"/>
        <v>0</v>
      </c>
      <c r="K82" s="139">
        <f t="shared" si="34"/>
        <v>2309816.7807339802</v>
      </c>
    </row>
    <row r="83" spans="1:11" ht="13.5" thickTop="1">
      <c r="A83" s="176">
        <v>51</v>
      </c>
      <c r="B83" s="167" t="s">
        <v>579</v>
      </c>
      <c r="E83" s="95">
        <f>ROUND(E58/E82,4)</f>
        <v>5.9400000000000001E-2</v>
      </c>
      <c r="F83" s="95"/>
      <c r="G83" s="95">
        <f>ROUND(G58/G82,4)</f>
        <v>6.3700000000000007E-2</v>
      </c>
      <c r="I83" s="95">
        <f>ROUND(I58/I82,4)</f>
        <v>5.0999999999999997E-2</v>
      </c>
      <c r="K83" s="95">
        <f>ROUND(K58/K82,4)</f>
        <v>7.6100000000000001E-2</v>
      </c>
    </row>
    <row r="84" spans="1:11" ht="6.75" customHeight="1">
      <c r="A84" s="680"/>
      <c r="B84" s="680"/>
      <c r="C84" s="680"/>
      <c r="D84" s="680"/>
      <c r="E84" s="680"/>
      <c r="F84" s="680"/>
      <c r="G84" s="680"/>
      <c r="H84" s="680"/>
      <c r="I84" s="680"/>
      <c r="J84" s="680"/>
      <c r="K84" s="680"/>
    </row>
  </sheetData>
  <mergeCells count="6">
    <mergeCell ref="E5:K5"/>
    <mergeCell ref="A84:K84"/>
    <mergeCell ref="F1:I1"/>
    <mergeCell ref="B57:D57"/>
    <mergeCell ref="J6:K6"/>
    <mergeCell ref="E6:I6"/>
  </mergeCells>
  <pageMargins left="1" right="1" top="1" bottom="0.75" header="0.5" footer="0.5"/>
  <pageSetup scale="69" orientation="portrait" r:id="rId1"/>
  <headerFooter scaleWithDoc="0" alignWithMargins="0">
    <oddHeader>&amp;RExh. KJS-2</oddHeader>
    <oddFooter>&amp;RPage &amp;P of &amp;N</oddFooter>
  </headerFooter>
  <ignoredErrors>
    <ignoredError sqref="F18:K83 G15:G17" formula="1"/>
    <ignoredError sqref="K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B4AE4-5851-494F-8261-3AAFE6C25EA8}">
  <sheetPr codeName="Sheet8">
    <pageSetUpPr fitToPage="1"/>
  </sheetPr>
  <dimension ref="A1:R83"/>
  <sheetViews>
    <sheetView zoomScaleNormal="100" workbookViewId="0">
      <selection activeCell="I23" sqref="I23"/>
    </sheetView>
  </sheetViews>
  <sheetFormatPr defaultColWidth="9" defaultRowHeight="12.75"/>
  <cols>
    <col min="1" max="1" width="4.5703125" style="168" customWidth="1"/>
    <col min="2" max="3" width="1.5703125" style="167" customWidth="1"/>
    <col min="4" max="4" width="25.140625" style="167" customWidth="1"/>
    <col min="5" max="5" width="9.7109375" style="323" bestFit="1" customWidth="1"/>
    <col min="6" max="6" width="11.28515625" style="323" bestFit="1" customWidth="1"/>
    <col min="7" max="7" width="9.7109375" style="323" bestFit="1" customWidth="1"/>
    <col min="8" max="9" width="15.140625" style="323" bestFit="1" customWidth="1"/>
    <col min="10" max="10" width="15.85546875" style="323" bestFit="1" customWidth="1"/>
    <col min="11" max="11" width="9" style="294" customWidth="1"/>
    <col min="12" max="12" width="10.5703125" style="294" customWidth="1"/>
    <col min="13" max="13" width="11.28515625" style="294" customWidth="1"/>
    <col min="14" max="14" width="9" style="294"/>
    <col min="15" max="15" width="11.7109375" style="294" bestFit="1" customWidth="1"/>
    <col min="16" max="17" width="9" style="294"/>
    <col min="18" max="18" width="9" style="324"/>
    <col min="19" max="37" width="9" style="294"/>
    <col min="38" max="38" width="14.5703125" style="294" customWidth="1"/>
    <col min="39" max="46" width="9" style="294"/>
    <col min="47" max="47" width="11.42578125" style="294" customWidth="1"/>
    <col min="48" max="16384" width="9" style="294"/>
  </cols>
  <sheetData>
    <row r="1" spans="1:10" ht="15">
      <c r="A1" s="240" t="str">
        <f>'PROPOSED RATES-12.2024'!A1</f>
        <v xml:space="preserve">AVISTA UTILITIES  </v>
      </c>
      <c r="D1" s="168"/>
    </row>
    <row r="2" spans="1:10" ht="15">
      <c r="A2" s="240" t="str">
        <f>'PROPOSED RATES-12.2024'!A2</f>
        <v xml:space="preserve">WASHINGTON ELECTRIC RESULTS </v>
      </c>
      <c r="D2" s="168"/>
    </row>
    <row r="3" spans="1:10" ht="15">
      <c r="A3" s="240" t="str">
        <f>'PROPOSED RATES-12.2024'!A3</f>
        <v>TWELVE MONTHS ENDED JUNE 30, 2023</v>
      </c>
      <c r="D3" s="168"/>
    </row>
    <row r="4" spans="1:10" ht="15">
      <c r="A4" s="240" t="str">
        <f>'PROPOSED RATES-12.2024'!A4</f>
        <v xml:space="preserve">(000'S OF DOLLARS)  </v>
      </c>
      <c r="D4" s="168"/>
      <c r="E4" s="294"/>
      <c r="F4" s="294"/>
      <c r="G4" s="294"/>
      <c r="H4" s="294"/>
      <c r="I4" s="294"/>
      <c r="J4" s="294"/>
    </row>
    <row r="5" spans="1:10" ht="14.25">
      <c r="A5" s="239" t="s">
        <v>881</v>
      </c>
      <c r="D5" s="168"/>
      <c r="E5" s="676" t="s">
        <v>831</v>
      </c>
      <c r="F5" s="688"/>
      <c r="G5" s="688"/>
      <c r="H5" s="688"/>
      <c r="I5" s="688"/>
      <c r="J5" s="689"/>
    </row>
    <row r="6" spans="1:10">
      <c r="A6" s="148"/>
      <c r="B6" s="148"/>
      <c r="C6" s="148"/>
      <c r="D6" s="148"/>
      <c r="E6" s="325" t="s">
        <v>829</v>
      </c>
      <c r="F6" s="326"/>
      <c r="G6" s="327"/>
      <c r="H6" s="328"/>
      <c r="I6" s="325" t="s">
        <v>816</v>
      </c>
      <c r="J6" s="327"/>
    </row>
    <row r="7" spans="1:10">
      <c r="A7" s="169"/>
      <c r="B7" s="170"/>
      <c r="C7" s="171"/>
      <c r="D7" s="1"/>
      <c r="E7" s="329" t="s">
        <v>830</v>
      </c>
      <c r="F7" s="329" t="s">
        <v>815</v>
      </c>
      <c r="G7" s="329" t="s">
        <v>815</v>
      </c>
      <c r="H7" s="330" t="s">
        <v>832</v>
      </c>
      <c r="I7" s="330" t="s">
        <v>817</v>
      </c>
      <c r="J7" s="330" t="s">
        <v>833</v>
      </c>
    </row>
    <row r="8" spans="1:10">
      <c r="A8" s="172" t="s">
        <v>8</v>
      </c>
      <c r="B8" s="173"/>
      <c r="C8" s="148"/>
      <c r="D8" s="2"/>
      <c r="E8" s="331" t="s">
        <v>7</v>
      </c>
      <c r="F8" s="331" t="s">
        <v>131</v>
      </c>
      <c r="G8" s="331" t="s">
        <v>7</v>
      </c>
      <c r="H8" s="331" t="s">
        <v>162</v>
      </c>
      <c r="I8" s="331" t="s">
        <v>162</v>
      </c>
      <c r="J8" s="331" t="s">
        <v>161</v>
      </c>
    </row>
    <row r="9" spans="1:10">
      <c r="A9" s="174" t="s">
        <v>20</v>
      </c>
      <c r="B9" s="175"/>
      <c r="C9" s="151"/>
      <c r="D9" s="3" t="s">
        <v>21</v>
      </c>
      <c r="E9" s="332" t="s">
        <v>131</v>
      </c>
      <c r="F9" s="332" t="s">
        <v>137</v>
      </c>
      <c r="G9" s="332" t="s">
        <v>131</v>
      </c>
      <c r="H9" s="332" t="s">
        <v>163</v>
      </c>
      <c r="I9" s="332" t="s">
        <v>163</v>
      </c>
      <c r="J9" s="332" t="s">
        <v>131</v>
      </c>
    </row>
    <row r="10" spans="1:10">
      <c r="A10" s="4"/>
      <c r="B10" s="4"/>
      <c r="C10" s="4"/>
      <c r="D10" s="4" t="s">
        <v>33</v>
      </c>
      <c r="E10" s="333" t="s">
        <v>34</v>
      </c>
      <c r="F10" s="333" t="s">
        <v>35</v>
      </c>
      <c r="G10" s="333" t="s">
        <v>36</v>
      </c>
      <c r="H10" s="333" t="s">
        <v>37</v>
      </c>
      <c r="I10" s="333" t="s">
        <v>38</v>
      </c>
      <c r="J10" s="333" t="s">
        <v>732</v>
      </c>
    </row>
    <row r="11" spans="1:10" ht="5.25" customHeight="1"/>
    <row r="12" spans="1:10" ht="3.75" customHeight="1"/>
    <row r="13" spans="1:10" ht="3.75" customHeight="1"/>
    <row r="14" spans="1:10">
      <c r="B14" s="167" t="s">
        <v>39</v>
      </c>
    </row>
    <row r="15" spans="1:10">
      <c r="A15" s="176">
        <v>1</v>
      </c>
      <c r="B15" s="177" t="s">
        <v>40</v>
      </c>
      <c r="C15" s="177"/>
      <c r="D15" s="177"/>
      <c r="E15" s="177">
        <f>'PROPOSED RATES-12.2024'!I15</f>
        <v>589239.4</v>
      </c>
      <c r="F15" s="177">
        <f>G15-E15</f>
        <v>0</v>
      </c>
      <c r="G15" s="177">
        <f>'ADJ DETAIL-INPUT'!CC13</f>
        <v>589239.4</v>
      </c>
      <c r="H15" s="177">
        <f>'CF '!J9</f>
        <v>77066.842148600132</v>
      </c>
      <c r="I15" s="177">
        <f>'CF '!K9</f>
        <v>78129.676167207115</v>
      </c>
      <c r="J15" s="177">
        <f>G15+I15+H15</f>
        <v>744435.91831580724</v>
      </c>
    </row>
    <row r="16" spans="1:10">
      <c r="A16" s="176">
        <v>2</v>
      </c>
      <c r="B16" s="178" t="s">
        <v>41</v>
      </c>
      <c r="C16" s="178"/>
      <c r="D16" s="178"/>
      <c r="E16" s="160">
        <f>'PROPOSED RATES-12.2024'!I16</f>
        <v>1324</v>
      </c>
      <c r="F16" s="160">
        <f>G16-E16</f>
        <v>0</v>
      </c>
      <c r="G16" s="160">
        <f>'ADJ DETAIL-INPUT'!CC14</f>
        <v>1324</v>
      </c>
      <c r="H16" s="183"/>
      <c r="I16" s="183"/>
      <c r="J16" s="334">
        <f>G16+I16+H16</f>
        <v>1324</v>
      </c>
    </row>
    <row r="17" spans="1:10">
      <c r="A17" s="176">
        <v>3</v>
      </c>
      <c r="B17" s="178" t="s">
        <v>42</v>
      </c>
      <c r="C17" s="178"/>
      <c r="D17" s="178"/>
      <c r="E17" s="335">
        <f>'PROPOSED RATES-12.2024'!I17</f>
        <v>136461</v>
      </c>
      <c r="F17" s="335">
        <f>G17-E17</f>
        <v>-77626</v>
      </c>
      <c r="G17" s="335">
        <f>'ADJ DETAIL-INPUT'!CC15</f>
        <v>58835</v>
      </c>
      <c r="H17" s="186"/>
      <c r="I17" s="186"/>
      <c r="J17" s="336">
        <f>G17+I17+H17</f>
        <v>58835</v>
      </c>
    </row>
    <row r="18" spans="1:10">
      <c r="A18" s="176">
        <v>4</v>
      </c>
      <c r="B18" s="178"/>
      <c r="C18" s="178" t="s">
        <v>43</v>
      </c>
      <c r="D18" s="178"/>
      <c r="E18" s="183">
        <f>SUM(E15:E17)</f>
        <v>727024.4</v>
      </c>
      <c r="F18" s="183">
        <f>SUM(F15:F17)</f>
        <v>-77626</v>
      </c>
      <c r="G18" s="177">
        <f>SUM(G15:G17)</f>
        <v>649398.4</v>
      </c>
      <c r="H18" s="183">
        <f t="shared" ref="H18:J18" si="0">SUM(H15:H17)</f>
        <v>77066.842148600132</v>
      </c>
      <c r="I18" s="183">
        <f t="shared" si="0"/>
        <v>78129.676167207115</v>
      </c>
      <c r="J18" s="183">
        <f t="shared" si="0"/>
        <v>804594.91831580724</v>
      </c>
    </row>
    <row r="19" spans="1:10">
      <c r="A19" s="176">
        <v>5</v>
      </c>
      <c r="B19" s="178" t="s">
        <v>44</v>
      </c>
      <c r="C19" s="178"/>
      <c r="D19" s="178"/>
      <c r="E19" s="347">
        <f>'PROPOSED RATES-12.2024'!I19</f>
        <v>43685</v>
      </c>
      <c r="F19" s="335">
        <f>G19-E19</f>
        <v>3014</v>
      </c>
      <c r="G19" s="335">
        <f>'ADJ DETAIL-INPUT'!CC17</f>
        <v>46699</v>
      </c>
      <c r="H19" s="186"/>
      <c r="I19" s="186"/>
      <c r="J19" s="336">
        <f>G19+I19+H19</f>
        <v>46699</v>
      </c>
    </row>
    <row r="20" spans="1:10">
      <c r="A20" s="176">
        <v>6</v>
      </c>
      <c r="B20" s="178"/>
      <c r="C20" s="178" t="s">
        <v>45</v>
      </c>
      <c r="D20" s="178"/>
      <c r="E20" s="183">
        <f>SUM(E18:E19)</f>
        <v>770709.4</v>
      </c>
      <c r="F20" s="183">
        <f t="shared" ref="F20:J20" si="1">SUM(F18:F19)</f>
        <v>-74612</v>
      </c>
      <c r="G20" s="183">
        <f t="shared" si="1"/>
        <v>696097.4</v>
      </c>
      <c r="H20" s="183">
        <f>SUM(H18:H19)</f>
        <v>77066.842148600132</v>
      </c>
      <c r="I20" s="183">
        <f t="shared" si="1"/>
        <v>78129.676167207115</v>
      </c>
      <c r="J20" s="183">
        <f t="shared" si="1"/>
        <v>851293.91831580724</v>
      </c>
    </row>
    <row r="21" spans="1:10" ht="9.75" customHeight="1">
      <c r="A21" s="176"/>
      <c r="B21" s="178"/>
      <c r="C21" s="178"/>
      <c r="D21" s="178"/>
      <c r="E21" s="183"/>
      <c r="F21" s="183"/>
      <c r="G21" s="183"/>
      <c r="H21" s="183"/>
      <c r="I21" s="183"/>
      <c r="J21" s="183"/>
    </row>
    <row r="22" spans="1:10">
      <c r="A22" s="176"/>
      <c r="B22" s="178" t="s">
        <v>46</v>
      </c>
      <c r="C22" s="178"/>
      <c r="D22" s="178"/>
      <c r="E22" s="183"/>
      <c r="F22" s="183"/>
      <c r="G22" s="183"/>
      <c r="H22" s="183"/>
      <c r="I22" s="183"/>
      <c r="J22" s="183"/>
    </row>
    <row r="23" spans="1:10">
      <c r="A23" s="176"/>
      <c r="B23" s="178" t="s">
        <v>47</v>
      </c>
      <c r="C23" s="178"/>
      <c r="D23" s="178"/>
      <c r="E23" s="183"/>
      <c r="F23" s="183"/>
      <c r="G23" s="183"/>
      <c r="H23" s="183"/>
      <c r="I23" s="183"/>
      <c r="J23" s="183"/>
    </row>
    <row r="24" spans="1:10">
      <c r="A24" s="176">
        <v>7</v>
      </c>
      <c r="B24" s="178"/>
      <c r="C24" s="178" t="s">
        <v>48</v>
      </c>
      <c r="D24" s="178"/>
      <c r="E24" s="160">
        <f>'PROPOSED RATES-12.2024'!I24</f>
        <v>193530.21000000002</v>
      </c>
      <c r="F24" s="160">
        <f t="shared" ref="F24:F28" si="2">G24-E24</f>
        <v>-18485.437000000005</v>
      </c>
      <c r="G24" s="160">
        <f>'ADJ DETAIL-INPUT'!CC22</f>
        <v>175044.77300000002</v>
      </c>
      <c r="H24" s="183"/>
      <c r="I24" s="183"/>
      <c r="J24" s="334">
        <f t="shared" ref="J24:J28" si="3">G24+I24+H24</f>
        <v>175044.77300000002</v>
      </c>
    </row>
    <row r="25" spans="1:10">
      <c r="A25" s="176">
        <v>8</v>
      </c>
      <c r="B25" s="178"/>
      <c r="C25" s="178" t="s">
        <v>49</v>
      </c>
      <c r="D25" s="178"/>
      <c r="E25" s="160">
        <f>'PROPOSED RATES-12.2024'!I25</f>
        <v>116146</v>
      </c>
      <c r="F25" s="160">
        <f t="shared" si="2"/>
        <v>0</v>
      </c>
      <c r="G25" s="160">
        <f>'ADJ DETAIL-INPUT'!CC23</f>
        <v>116146</v>
      </c>
      <c r="H25" s="183"/>
      <c r="I25" s="183"/>
      <c r="J25" s="334">
        <f t="shared" si="3"/>
        <v>116146</v>
      </c>
    </row>
    <row r="26" spans="1:10">
      <c r="A26" s="176">
        <v>9</v>
      </c>
      <c r="B26" s="178"/>
      <c r="C26" s="178" t="s">
        <v>514</v>
      </c>
      <c r="D26" s="178"/>
      <c r="E26" s="160">
        <f>'PROPOSED RATES-12.2024'!I26</f>
        <v>37830</v>
      </c>
      <c r="F26" s="160">
        <f t="shared" si="2"/>
        <v>3140</v>
      </c>
      <c r="G26" s="160">
        <f>'ADJ DETAIL-INPUT'!CC24</f>
        <v>40970</v>
      </c>
      <c r="H26" s="183"/>
      <c r="I26" s="183"/>
      <c r="J26" s="334">
        <f t="shared" si="3"/>
        <v>40970</v>
      </c>
    </row>
    <row r="27" spans="1:10">
      <c r="A27" s="176">
        <v>10</v>
      </c>
      <c r="B27" s="178"/>
      <c r="C27" s="178" t="s">
        <v>512</v>
      </c>
      <c r="D27" s="178"/>
      <c r="E27" s="160">
        <f>'PROPOSED RATES-12.2024'!I27</f>
        <v>2332.9</v>
      </c>
      <c r="F27" s="160">
        <f t="shared" si="2"/>
        <v>176</v>
      </c>
      <c r="G27" s="160">
        <f>'ADJ DETAIL-INPUT'!CC25</f>
        <v>2508.9</v>
      </c>
      <c r="H27" s="183"/>
      <c r="I27" s="183"/>
      <c r="J27" s="334">
        <f t="shared" si="3"/>
        <v>2508.9</v>
      </c>
    </row>
    <row r="28" spans="1:10">
      <c r="A28" s="176">
        <v>11</v>
      </c>
      <c r="B28" s="178"/>
      <c r="C28" s="178" t="s">
        <v>26</v>
      </c>
      <c r="D28" s="178"/>
      <c r="E28" s="335">
        <f>'PROPOSED RATES-12.2024'!I28</f>
        <v>12428</v>
      </c>
      <c r="F28" s="335">
        <f t="shared" si="2"/>
        <v>190</v>
      </c>
      <c r="G28" s="335">
        <f>'ADJ DETAIL-INPUT'!CC26</f>
        <v>12618</v>
      </c>
      <c r="H28" s="186"/>
      <c r="I28" s="186"/>
      <c r="J28" s="336">
        <f t="shared" si="3"/>
        <v>12618</v>
      </c>
    </row>
    <row r="29" spans="1:10">
      <c r="A29" s="176">
        <v>12</v>
      </c>
      <c r="B29" s="178"/>
      <c r="C29" s="178"/>
      <c r="D29" s="178" t="s">
        <v>50</v>
      </c>
      <c r="E29" s="183">
        <f>SUM(E24:E28)</f>
        <v>362267.11000000004</v>
      </c>
      <c r="F29" s="183">
        <f t="shared" ref="F29:J29" si="4">SUM(F24:F28)</f>
        <v>-14979.437000000005</v>
      </c>
      <c r="G29" s="183">
        <f t="shared" si="4"/>
        <v>347287.67300000007</v>
      </c>
      <c r="H29" s="183">
        <f>SUM(H24:H28)</f>
        <v>0</v>
      </c>
      <c r="I29" s="183">
        <f t="shared" si="4"/>
        <v>0</v>
      </c>
      <c r="J29" s="183">
        <f t="shared" si="4"/>
        <v>347287.67300000007</v>
      </c>
    </row>
    <row r="30" spans="1:10" ht="7.5" customHeight="1">
      <c r="A30" s="176"/>
      <c r="B30" s="178"/>
      <c r="C30" s="178"/>
      <c r="D30" s="178"/>
      <c r="E30" s="183"/>
      <c r="F30" s="183"/>
      <c r="G30" s="183"/>
      <c r="H30" s="183"/>
      <c r="I30" s="183"/>
      <c r="J30" s="183"/>
    </row>
    <row r="31" spans="1:10">
      <c r="A31" s="176"/>
      <c r="B31" s="178" t="s">
        <v>51</v>
      </c>
      <c r="C31" s="178"/>
      <c r="D31" s="178"/>
      <c r="E31" s="183"/>
      <c r="F31" s="183"/>
      <c r="G31" s="183"/>
      <c r="H31" s="183"/>
      <c r="I31" s="183"/>
      <c r="J31" s="183"/>
    </row>
    <row r="32" spans="1:10">
      <c r="A32" s="176">
        <v>13</v>
      </c>
      <c r="B32" s="178"/>
      <c r="C32" s="178" t="s">
        <v>48</v>
      </c>
      <c r="D32" s="178"/>
      <c r="E32" s="160">
        <f>'PROPOSED RATES-12.2024'!I32</f>
        <v>35362.667000000001</v>
      </c>
      <c r="F32" s="160">
        <f t="shared" ref="F32:F35" si="5">G32-E32</f>
        <v>1227.6919999999955</v>
      </c>
      <c r="G32" s="160">
        <f>'ADJ DETAIL-INPUT'!CC30</f>
        <v>36590.358999999997</v>
      </c>
      <c r="H32" s="183"/>
      <c r="I32" s="183"/>
      <c r="J32" s="334">
        <f t="shared" ref="J32:J35" si="6">G32+I32+H32</f>
        <v>36590.358999999997</v>
      </c>
    </row>
    <row r="33" spans="1:10">
      <c r="A33" s="176">
        <v>14</v>
      </c>
      <c r="B33" s="178"/>
      <c r="C33" s="178" t="s">
        <v>514</v>
      </c>
      <c r="D33" s="178"/>
      <c r="E33" s="160">
        <f>'PROPOSED RATES-12.2024'!I33</f>
        <v>45117.2</v>
      </c>
      <c r="F33" s="160">
        <f t="shared" si="5"/>
        <v>2519</v>
      </c>
      <c r="G33" s="160">
        <f>'ADJ DETAIL-INPUT'!CC31</f>
        <v>47636.2</v>
      </c>
      <c r="H33" s="183"/>
      <c r="I33" s="183"/>
      <c r="J33" s="334">
        <f t="shared" si="6"/>
        <v>47636.2</v>
      </c>
    </row>
    <row r="34" spans="1:10">
      <c r="A34" s="176" t="s">
        <v>759</v>
      </c>
      <c r="B34" s="178"/>
      <c r="C34" s="178" t="s">
        <v>512</v>
      </c>
      <c r="D34" s="178"/>
      <c r="E34" s="160">
        <f>'PROPOSED RATES-12.2024'!I34</f>
        <v>132</v>
      </c>
      <c r="F34" s="160">
        <f t="shared" ref="F34" si="7">G34-E34</f>
        <v>36</v>
      </c>
      <c r="G34" s="160">
        <f>'ADJ DETAIL-INPUT'!CC32</f>
        <v>168</v>
      </c>
      <c r="H34" s="183"/>
      <c r="I34" s="183"/>
      <c r="J34" s="334">
        <f t="shared" si="6"/>
        <v>168</v>
      </c>
    </row>
    <row r="35" spans="1:10">
      <c r="A35" s="176">
        <v>15</v>
      </c>
      <c r="B35" s="178"/>
      <c r="C35" s="178" t="s">
        <v>26</v>
      </c>
      <c r="D35" s="178"/>
      <c r="E35" s="160">
        <f>'PROPOSED RATES-12.2024'!I35</f>
        <v>31542</v>
      </c>
      <c r="F35" s="160">
        <f t="shared" si="5"/>
        <v>557</v>
      </c>
      <c r="G35" s="335">
        <f>'ADJ DETAIL-INPUT'!CC33</f>
        <v>32099</v>
      </c>
      <c r="H35" s="183">
        <f>'CF '!J16</f>
        <v>2970</v>
      </c>
      <c r="I35" s="183">
        <f>'CF '!K16</f>
        <v>3011</v>
      </c>
      <c r="J35" s="334">
        <f t="shared" si="6"/>
        <v>38080</v>
      </c>
    </row>
    <row r="36" spans="1:10">
      <c r="A36" s="176">
        <v>17</v>
      </c>
      <c r="B36" s="178"/>
      <c r="C36" s="178"/>
      <c r="D36" s="178" t="s">
        <v>52</v>
      </c>
      <c r="E36" s="188">
        <f t="shared" ref="E36:J36" si="8">SUM(E32:E35)</f>
        <v>112153.867</v>
      </c>
      <c r="F36" s="188">
        <f t="shared" si="8"/>
        <v>4339.6919999999955</v>
      </c>
      <c r="G36" s="188">
        <f t="shared" si="8"/>
        <v>116493.55899999999</v>
      </c>
      <c r="H36" s="188">
        <f t="shared" si="8"/>
        <v>2970</v>
      </c>
      <c r="I36" s="188">
        <f t="shared" si="8"/>
        <v>3011</v>
      </c>
      <c r="J36" s="188">
        <f t="shared" si="8"/>
        <v>122474.55899999999</v>
      </c>
    </row>
    <row r="37" spans="1:10" ht="6.75" customHeight="1">
      <c r="A37" s="176"/>
      <c r="B37" s="178"/>
      <c r="C37" s="178"/>
      <c r="D37" s="178"/>
      <c r="E37" s="183"/>
      <c r="F37" s="183"/>
      <c r="G37" s="183"/>
      <c r="H37" s="183"/>
      <c r="I37" s="183"/>
      <c r="J37" s="183"/>
    </row>
    <row r="38" spans="1:10">
      <c r="A38" s="176">
        <v>18</v>
      </c>
      <c r="B38" s="178" t="s">
        <v>53</v>
      </c>
      <c r="C38" s="178"/>
      <c r="D38" s="178"/>
      <c r="E38" s="160">
        <f>'PROPOSED RATES-12.2024'!I38</f>
        <v>5831.6229999999996</v>
      </c>
      <c r="F38" s="160">
        <f t="shared" ref="F38:F40" si="9">G38-E38</f>
        <v>341.32899999999972</v>
      </c>
      <c r="G38" s="160">
        <f>'ADJ DETAIL-INPUT'!CC36</f>
        <v>6172.9519999999993</v>
      </c>
      <c r="H38" s="183">
        <f>'CF '!J12</f>
        <v>382</v>
      </c>
      <c r="I38" s="183">
        <f>'CF '!K12</f>
        <v>387</v>
      </c>
      <c r="J38" s="334">
        <f t="shared" ref="J38:J40" si="10">G38+I38+H38</f>
        <v>6941.9519999999993</v>
      </c>
    </row>
    <row r="39" spans="1:10">
      <c r="A39" s="176">
        <v>19</v>
      </c>
      <c r="B39" s="178" t="s">
        <v>54</v>
      </c>
      <c r="C39" s="178"/>
      <c r="D39" s="178"/>
      <c r="E39" s="160">
        <f>'PROPOSED RATES-12.2024'!I39</f>
        <v>1894.953</v>
      </c>
      <c r="F39" s="160">
        <f t="shared" si="9"/>
        <v>89.461000000000013</v>
      </c>
      <c r="G39" s="160">
        <f>'ADJ DETAIL-INPUT'!CC37</f>
        <v>1984.414</v>
      </c>
      <c r="H39" s="183"/>
      <c r="I39" s="183"/>
      <c r="J39" s="334">
        <f t="shared" si="10"/>
        <v>1984.414</v>
      </c>
    </row>
    <row r="40" spans="1:10">
      <c r="A40" s="176">
        <v>20</v>
      </c>
      <c r="B40" s="178" t="s">
        <v>55</v>
      </c>
      <c r="C40" s="178"/>
      <c r="D40" s="178"/>
      <c r="E40" s="160">
        <f>'PROPOSED RATES-12.2024'!I40</f>
        <v>84.579000000000008</v>
      </c>
      <c r="F40" s="160">
        <f t="shared" si="9"/>
        <v>4.632000000000005</v>
      </c>
      <c r="G40" s="160">
        <f>'ADJ DETAIL-INPUT'!CC38</f>
        <v>89.211000000000013</v>
      </c>
      <c r="H40" s="183"/>
      <c r="I40" s="183"/>
      <c r="J40" s="334">
        <f t="shared" si="10"/>
        <v>89.211000000000013</v>
      </c>
    </row>
    <row r="41" spans="1:10" ht="6.75" customHeight="1">
      <c r="A41" s="178"/>
      <c r="B41" s="178"/>
      <c r="C41" s="178"/>
      <c r="D41" s="178"/>
      <c r="E41" s="183"/>
      <c r="F41" s="183"/>
      <c r="G41" s="183"/>
      <c r="H41" s="183"/>
      <c r="I41" s="183"/>
      <c r="J41" s="183"/>
    </row>
    <row r="42" spans="1:10">
      <c r="A42" s="176"/>
      <c r="B42" s="178" t="s">
        <v>56</v>
      </c>
      <c r="C42" s="178"/>
      <c r="D42" s="178"/>
      <c r="E42" s="183"/>
      <c r="F42" s="183"/>
      <c r="G42" s="183"/>
      <c r="H42" s="183"/>
      <c r="I42" s="183"/>
      <c r="J42" s="183"/>
    </row>
    <row r="43" spans="1:10">
      <c r="A43" s="176">
        <v>21</v>
      </c>
      <c r="B43" s="178"/>
      <c r="C43" s="178" t="s">
        <v>48</v>
      </c>
      <c r="D43" s="178"/>
      <c r="E43" s="160">
        <f>'PROPOSED RATES-12.2024'!I43</f>
        <v>100485.20999999998</v>
      </c>
      <c r="F43" s="160">
        <f t="shared" ref="F43:F46" si="11">G43-E43</f>
        <v>1186.070000000007</v>
      </c>
      <c r="G43" s="160">
        <f>'ADJ DETAIL-INPUT'!CC41</f>
        <v>101671.27999999998</v>
      </c>
      <c r="H43" s="183">
        <f>'CF '!J14</f>
        <v>308</v>
      </c>
      <c r="I43" s="183">
        <f>'CF '!K14</f>
        <v>313</v>
      </c>
      <c r="J43" s="334">
        <f t="shared" ref="J43:J46" si="12">G43+I43+H43</f>
        <v>102292.27999999998</v>
      </c>
    </row>
    <row r="44" spans="1:10">
      <c r="A44" s="176">
        <v>22</v>
      </c>
      <c r="B44" s="178"/>
      <c r="C44" s="178" t="s">
        <v>514</v>
      </c>
      <c r="D44" s="178"/>
      <c r="E44" s="160">
        <f>'PROPOSED RATES-12.2024'!I44</f>
        <v>48778.700000000004</v>
      </c>
      <c r="F44" s="160">
        <f t="shared" si="11"/>
        <v>-223</v>
      </c>
      <c r="G44" s="160">
        <f>'ADJ DETAIL-INPUT'!CC42</f>
        <v>48555.700000000004</v>
      </c>
      <c r="H44" s="183"/>
      <c r="I44" s="183"/>
      <c r="J44" s="334">
        <f t="shared" si="12"/>
        <v>48555.700000000004</v>
      </c>
    </row>
    <row r="45" spans="1:10">
      <c r="A45" s="176">
        <v>22</v>
      </c>
      <c r="B45" s="178"/>
      <c r="C45" s="178" t="s">
        <v>512</v>
      </c>
      <c r="D45" s="178"/>
      <c r="E45" s="160">
        <f>'PROPOSED RATES-12.2024'!I45</f>
        <v>9581.9</v>
      </c>
      <c r="F45" s="160">
        <f t="shared" si="11"/>
        <v>0</v>
      </c>
      <c r="G45" s="160">
        <f>'ADJ DETAIL-INPUT'!CC43</f>
        <v>9581.9</v>
      </c>
      <c r="H45" s="183"/>
      <c r="I45" s="183"/>
      <c r="J45" s="334">
        <f t="shared" si="12"/>
        <v>9581.9</v>
      </c>
    </row>
    <row r="46" spans="1:10">
      <c r="A46" s="176">
        <v>23</v>
      </c>
      <c r="B46" s="178"/>
      <c r="C46" s="178" t="s">
        <v>26</v>
      </c>
      <c r="D46" s="178"/>
      <c r="E46" s="335">
        <f>'PROPOSED RATES-12.2024'!I46</f>
        <v>4307</v>
      </c>
      <c r="F46" s="335">
        <f t="shared" si="11"/>
        <v>0</v>
      </c>
      <c r="G46" s="335">
        <f>'ADJ DETAIL-INPUT'!CC44</f>
        <v>4307</v>
      </c>
      <c r="H46" s="186"/>
      <c r="I46" s="186"/>
      <c r="J46" s="336">
        <f t="shared" si="12"/>
        <v>4307</v>
      </c>
    </row>
    <row r="47" spans="1:10">
      <c r="A47" s="176">
        <v>24</v>
      </c>
      <c r="B47" s="178"/>
      <c r="C47" s="178"/>
      <c r="D47" s="178" t="s">
        <v>57</v>
      </c>
      <c r="E47" s="186">
        <f t="shared" ref="E47:J47" si="13">SUM(E43:E46)</f>
        <v>163152.80999999997</v>
      </c>
      <c r="F47" s="186">
        <f t="shared" si="13"/>
        <v>963.07000000000698</v>
      </c>
      <c r="G47" s="186">
        <f t="shared" si="13"/>
        <v>164115.87999999998</v>
      </c>
      <c r="H47" s="186">
        <f t="shared" si="13"/>
        <v>308</v>
      </c>
      <c r="I47" s="186">
        <f t="shared" si="13"/>
        <v>313</v>
      </c>
      <c r="J47" s="186">
        <f t="shared" si="13"/>
        <v>164736.87999999998</v>
      </c>
    </row>
    <row r="48" spans="1:10">
      <c r="A48" s="176">
        <v>25</v>
      </c>
      <c r="B48" s="178" t="s">
        <v>58</v>
      </c>
      <c r="C48" s="178"/>
      <c r="D48" s="178"/>
      <c r="E48" s="186">
        <f t="shared" ref="E48:J48" si="14">E29+E36+E38+E39+E40+E47</f>
        <v>645384.94200000004</v>
      </c>
      <c r="F48" s="186">
        <f t="shared" si="14"/>
        <v>-9241.2530000000042</v>
      </c>
      <c r="G48" s="186">
        <f t="shared" si="14"/>
        <v>636143.68900000001</v>
      </c>
      <c r="H48" s="186">
        <f t="shared" si="14"/>
        <v>3660</v>
      </c>
      <c r="I48" s="186">
        <f t="shared" si="14"/>
        <v>3711</v>
      </c>
      <c r="J48" s="186">
        <f t="shared" si="14"/>
        <v>643514.68900000001</v>
      </c>
    </row>
    <row r="49" spans="1:10" ht="7.5" customHeight="1">
      <c r="A49" s="176"/>
      <c r="B49" s="178"/>
      <c r="C49" s="178"/>
      <c r="D49" s="178"/>
      <c r="E49" s="183"/>
      <c r="F49" s="183"/>
      <c r="G49" s="183"/>
      <c r="H49" s="183"/>
      <c r="I49" s="183"/>
      <c r="J49" s="183"/>
    </row>
    <row r="50" spans="1:10">
      <c r="A50" s="176">
        <v>26</v>
      </c>
      <c r="B50" s="178" t="s">
        <v>59</v>
      </c>
      <c r="C50" s="178"/>
      <c r="D50" s="178"/>
      <c r="E50" s="183">
        <f>E20-E48</f>
        <v>125324.45799999998</v>
      </c>
      <c r="F50" s="183">
        <f t="shared" ref="F50:J50" si="15">F20-F48</f>
        <v>-65370.746999999996</v>
      </c>
      <c r="G50" s="183">
        <f t="shared" si="15"/>
        <v>59953.71100000001</v>
      </c>
      <c r="H50" s="183">
        <f t="shared" si="15"/>
        <v>73406.842148600132</v>
      </c>
      <c r="I50" s="183">
        <f t="shared" si="15"/>
        <v>74418.676167207115</v>
      </c>
      <c r="J50" s="183">
        <f t="shared" si="15"/>
        <v>207779.22931580723</v>
      </c>
    </row>
    <row r="51" spans="1:10" ht="9" customHeight="1">
      <c r="A51" s="176"/>
      <c r="B51" s="178"/>
      <c r="C51" s="178"/>
      <c r="D51" s="178"/>
      <c r="E51" s="183"/>
      <c r="F51" s="183"/>
      <c r="G51" s="183"/>
      <c r="H51" s="183"/>
      <c r="I51" s="183"/>
      <c r="J51" s="183"/>
    </row>
    <row r="52" spans="1:10">
      <c r="A52" s="176"/>
      <c r="B52" s="178" t="s">
        <v>60</v>
      </c>
      <c r="C52" s="178"/>
      <c r="D52" s="178"/>
      <c r="E52" s="183"/>
      <c r="F52" s="183"/>
      <c r="G52" s="183"/>
      <c r="H52" s="183"/>
      <c r="I52" s="183"/>
      <c r="J52" s="183"/>
    </row>
    <row r="53" spans="1:10">
      <c r="A53" s="176">
        <v>27</v>
      </c>
      <c r="B53" s="178" t="s">
        <v>61</v>
      </c>
      <c r="C53" s="178"/>
      <c r="D53" s="178"/>
      <c r="E53" s="160">
        <f>'PROPOSED RATES-12.2024'!I53</f>
        <v>5348.4691799999928</v>
      </c>
      <c r="F53" s="160">
        <f t="shared" ref="F53:F56" si="16">G53-E53</f>
        <v>-13727.256869999997</v>
      </c>
      <c r="G53" s="160">
        <f>'ADJ DETAIL-INPUT'!CC51</f>
        <v>-8378.7876900000047</v>
      </c>
      <c r="H53" s="183">
        <f>'CF '!J22</f>
        <v>15415</v>
      </c>
      <c r="I53" s="183">
        <f>'CF '!K22</f>
        <v>15628</v>
      </c>
      <c r="J53" s="334">
        <f>G53+I53+H53</f>
        <v>22664.212309999995</v>
      </c>
    </row>
    <row r="54" spans="1:10">
      <c r="A54" s="176">
        <v>28</v>
      </c>
      <c r="B54" s="167" t="s">
        <v>247</v>
      </c>
      <c r="E54" s="160">
        <f>'PROPOSED RATES-12.2024'!I54</f>
        <v>-1082.8108000212942</v>
      </c>
      <c r="F54" s="160">
        <f t="shared" si="16"/>
        <v>-487.04740770000012</v>
      </c>
      <c r="G54" s="160">
        <f>'ADJ DETAIL-INPUT'!CC52</f>
        <v>-1569.8582077212943</v>
      </c>
      <c r="H54" s="183"/>
      <c r="I54" s="183"/>
      <c r="J54" s="334">
        <f t="shared" ref="J54:J56" si="17">G54+I54+H54</f>
        <v>-1569.8582077212943</v>
      </c>
    </row>
    <row r="55" spans="1:10">
      <c r="A55" s="176">
        <v>29</v>
      </c>
      <c r="B55" s="178" t="s">
        <v>62</v>
      </c>
      <c r="C55" s="178"/>
      <c r="D55" s="178"/>
      <c r="E55" s="160">
        <f>'PROPOSED RATES-12.2024'!I55</f>
        <v>3585</v>
      </c>
      <c r="F55" s="160">
        <f t="shared" si="16"/>
        <v>767</v>
      </c>
      <c r="G55" s="160">
        <f>'ADJ DETAIL-INPUT'!CC53</f>
        <v>4352</v>
      </c>
      <c r="H55" s="183"/>
      <c r="I55" s="183"/>
      <c r="J55" s="334">
        <f t="shared" si="17"/>
        <v>4352</v>
      </c>
    </row>
    <row r="56" spans="1:10">
      <c r="A56" s="176">
        <v>30</v>
      </c>
      <c r="B56" s="178" t="s">
        <v>63</v>
      </c>
      <c r="C56" s="178"/>
      <c r="D56" s="178"/>
      <c r="E56" s="335">
        <f>'PROPOSED RATES-12.2024'!I56</f>
        <v>-312</v>
      </c>
      <c r="F56" s="335">
        <f t="shared" si="16"/>
        <v>0</v>
      </c>
      <c r="G56" s="335">
        <f>'ADJ DETAIL-INPUT'!CC54</f>
        <v>-312</v>
      </c>
      <c r="H56" s="186"/>
      <c r="I56" s="186"/>
      <c r="J56" s="336">
        <f t="shared" si="17"/>
        <v>-312</v>
      </c>
    </row>
    <row r="57" spans="1:10" ht="10.5" customHeight="1">
      <c r="A57" s="176" t="s">
        <v>748</v>
      </c>
      <c r="B57" s="682" t="s">
        <v>747</v>
      </c>
      <c r="C57" s="682"/>
      <c r="D57" s="682"/>
      <c r="E57" s="335">
        <f>'PROPOSED RATES-12.2024'!I57</f>
        <v>0</v>
      </c>
      <c r="F57" s="335">
        <f t="shared" ref="F57" si="18">G57-E57</f>
        <v>0</v>
      </c>
      <c r="G57" s="335">
        <f>'ADJ DETAIL-INPUT'!CC55</f>
        <v>0</v>
      </c>
      <c r="H57" s="186"/>
      <c r="I57" s="186"/>
      <c r="J57" s="336">
        <f t="shared" ref="J57" si="19">G57+I57+H57</f>
        <v>0</v>
      </c>
    </row>
    <row r="58" spans="1:10" ht="13.5" thickBot="1">
      <c r="A58" s="168">
        <v>31</v>
      </c>
      <c r="B58" s="177" t="s">
        <v>64</v>
      </c>
      <c r="C58" s="177"/>
      <c r="D58" s="177"/>
      <c r="E58" s="229">
        <f>E50-SUM(E53:E57)</f>
        <v>117785.79962002128</v>
      </c>
      <c r="F58" s="189">
        <f t="shared" ref="F58:I58" si="20">F50-SUM(F53:F57)</f>
        <v>-51923.442722299995</v>
      </c>
      <c r="G58" s="189">
        <f t="shared" si="20"/>
        <v>65862.356897721314</v>
      </c>
      <c r="H58" s="189">
        <f t="shared" si="20"/>
        <v>57991.842148600132</v>
      </c>
      <c r="I58" s="189">
        <f t="shared" si="20"/>
        <v>58790.676167207115</v>
      </c>
      <c r="J58" s="229">
        <f>J50-SUM(J53:J57)</f>
        <v>182644.87521352852</v>
      </c>
    </row>
    <row r="59" spans="1:10" ht="6.75" customHeight="1" thickTop="1">
      <c r="E59" s="183"/>
      <c r="F59" s="183"/>
      <c r="G59" s="183"/>
      <c r="H59" s="183"/>
      <c r="I59" s="183"/>
      <c r="J59" s="183"/>
    </row>
    <row r="60" spans="1:10">
      <c r="B60" s="167" t="s">
        <v>65</v>
      </c>
      <c r="E60" s="183"/>
      <c r="F60" s="183"/>
      <c r="G60" s="183"/>
      <c r="H60" s="183"/>
      <c r="I60" s="183"/>
      <c r="J60" s="183"/>
    </row>
    <row r="61" spans="1:10">
      <c r="A61" s="176"/>
      <c r="B61" s="167" t="s">
        <v>66</v>
      </c>
      <c r="E61" s="183"/>
      <c r="F61" s="183"/>
      <c r="G61" s="183"/>
      <c r="H61" s="183"/>
      <c r="I61" s="183"/>
      <c r="J61" s="183"/>
    </row>
    <row r="62" spans="1:10">
      <c r="A62" s="176">
        <v>32</v>
      </c>
      <c r="B62" s="177"/>
      <c r="C62" s="177" t="s">
        <v>67</v>
      </c>
      <c r="D62" s="177"/>
      <c r="E62" s="160">
        <f>'PROPOSED RATES-12.2024'!I62</f>
        <v>249113</v>
      </c>
      <c r="F62" s="177">
        <f t="shared" ref="F62:F66" si="21">G62-E62</f>
        <v>-1270</v>
      </c>
      <c r="G62" s="177">
        <f>'ADJ DETAIL-INPUT'!CC60</f>
        <v>247843</v>
      </c>
      <c r="H62" s="177"/>
      <c r="I62" s="177"/>
      <c r="J62" s="177">
        <f>G62+I62+H62</f>
        <v>247843</v>
      </c>
    </row>
    <row r="63" spans="1:10">
      <c r="A63" s="176">
        <v>33</v>
      </c>
      <c r="B63" s="178"/>
      <c r="C63" s="178" t="s">
        <v>68</v>
      </c>
      <c r="D63" s="178"/>
      <c r="E63" s="160">
        <f>'PROPOSED RATES-12.2024'!I63</f>
        <v>846050.8</v>
      </c>
      <c r="F63" s="160">
        <f t="shared" si="21"/>
        <v>38022</v>
      </c>
      <c r="G63" s="160">
        <f>'ADJ DETAIL-INPUT'!CC61</f>
        <v>884072.8</v>
      </c>
      <c r="H63" s="183"/>
      <c r="I63" s="183"/>
      <c r="J63" s="183">
        <f>G63+I63+H63</f>
        <v>884072.8</v>
      </c>
    </row>
    <row r="64" spans="1:10">
      <c r="A64" s="176">
        <v>34</v>
      </c>
      <c r="B64" s="178"/>
      <c r="C64" s="178" t="s">
        <v>69</v>
      </c>
      <c r="D64" s="178"/>
      <c r="E64" s="160">
        <f>'PROPOSED RATES-12.2024'!I64</f>
        <v>716141.1</v>
      </c>
      <c r="F64" s="160">
        <f t="shared" si="21"/>
        <v>24480</v>
      </c>
      <c r="G64" s="160">
        <f>'ADJ DETAIL-INPUT'!CC62</f>
        <v>740621.1</v>
      </c>
      <c r="H64" s="183"/>
      <c r="I64" s="183"/>
      <c r="J64" s="183">
        <f t="shared" ref="J64:J66" si="22">G64+I64+H64</f>
        <v>740621.1</v>
      </c>
    </row>
    <row r="65" spans="1:10">
      <c r="A65" s="176">
        <v>35</v>
      </c>
      <c r="B65" s="178"/>
      <c r="C65" s="178" t="s">
        <v>51</v>
      </c>
      <c r="D65" s="178"/>
      <c r="E65" s="160">
        <f>'PROPOSED RATES-12.2024'!I65</f>
        <v>1763544.6</v>
      </c>
      <c r="F65" s="160">
        <f t="shared" si="21"/>
        <v>98465</v>
      </c>
      <c r="G65" s="160">
        <f>'ADJ DETAIL-INPUT'!CC63</f>
        <v>1862009.6</v>
      </c>
      <c r="H65" s="183"/>
      <c r="I65" s="183"/>
      <c r="J65" s="183">
        <f t="shared" si="22"/>
        <v>1862009.6</v>
      </c>
    </row>
    <row r="66" spans="1:10">
      <c r="A66" s="176">
        <v>36</v>
      </c>
      <c r="B66" s="178"/>
      <c r="C66" s="178" t="s">
        <v>70</v>
      </c>
      <c r="D66" s="178"/>
      <c r="E66" s="335">
        <f>'PROPOSED RATES-12.2024'!I66</f>
        <v>344154.3</v>
      </c>
      <c r="F66" s="335">
        <f t="shared" si="21"/>
        <v>13086</v>
      </c>
      <c r="G66" s="335">
        <f>'ADJ DETAIL-INPUT'!CC64</f>
        <v>357240.3</v>
      </c>
      <c r="H66" s="186"/>
      <c r="I66" s="186"/>
      <c r="J66" s="186">
        <f t="shared" si="22"/>
        <v>357240.3</v>
      </c>
    </row>
    <row r="67" spans="1:10">
      <c r="A67" s="176">
        <v>37</v>
      </c>
      <c r="B67" s="178"/>
      <c r="C67" s="178"/>
      <c r="D67" s="178" t="s">
        <v>71</v>
      </c>
      <c r="E67" s="183">
        <f>SUM(E62:E66)</f>
        <v>3919003.8</v>
      </c>
      <c r="F67" s="183">
        <f t="shared" ref="F67:I67" si="23">SUM(F62:F66)</f>
        <v>172783</v>
      </c>
      <c r="G67" s="183">
        <f>SUM(G62:G66)</f>
        <v>4091786.8</v>
      </c>
      <c r="H67" s="183">
        <f>SUM(H62:H66)</f>
        <v>0</v>
      </c>
      <c r="I67" s="183">
        <f t="shared" si="23"/>
        <v>0</v>
      </c>
      <c r="J67" s="183">
        <f>SUM(J62:J66)</f>
        <v>4091786.8</v>
      </c>
    </row>
    <row r="68" spans="1:10">
      <c r="A68" s="179"/>
      <c r="B68" s="178" t="s">
        <v>210</v>
      </c>
      <c r="C68" s="178"/>
      <c r="D68" s="178"/>
      <c r="E68" s="183"/>
      <c r="F68" s="183"/>
      <c r="G68" s="183"/>
      <c r="H68" s="183"/>
      <c r="I68" s="183"/>
      <c r="J68" s="183"/>
    </row>
    <row r="69" spans="1:10">
      <c r="A69" s="179">
        <v>38</v>
      </c>
      <c r="B69" s="178"/>
      <c r="C69" s="177" t="s">
        <v>205</v>
      </c>
      <c r="D69" s="178"/>
      <c r="E69" s="160">
        <f>'PROPOSED RATES-12.2024'!I69</f>
        <v>-130511.35973353946</v>
      </c>
      <c r="F69" s="160">
        <f t="shared" ref="F69:F73" si="24">G69-E69</f>
        <v>1219.3999999999942</v>
      </c>
      <c r="G69" s="160">
        <f>'ADJ DETAIL-INPUT'!CC67</f>
        <v>-129291.95973353946</v>
      </c>
      <c r="H69" s="183"/>
      <c r="I69" s="183"/>
      <c r="J69" s="183">
        <f t="shared" ref="J69:J73" si="25">G69+I69+H69</f>
        <v>-129291.95973353946</v>
      </c>
    </row>
    <row r="70" spans="1:10">
      <c r="A70" s="179">
        <v>39</v>
      </c>
      <c r="B70" s="178"/>
      <c r="C70" s="178" t="s">
        <v>206</v>
      </c>
      <c r="D70" s="178"/>
      <c r="E70" s="160">
        <f>'PROPOSED RATES-12.2024'!I70</f>
        <v>-324473.16848477488</v>
      </c>
      <c r="F70" s="160">
        <f t="shared" si="24"/>
        <v>-13689</v>
      </c>
      <c r="G70" s="160">
        <f>'ADJ DETAIL-INPUT'!CC68</f>
        <v>-338162.16848477488</v>
      </c>
      <c r="H70" s="183"/>
      <c r="I70" s="183"/>
      <c r="J70" s="183">
        <f t="shared" si="25"/>
        <v>-338162.16848477488</v>
      </c>
    </row>
    <row r="71" spans="1:10">
      <c r="A71" s="179">
        <v>40</v>
      </c>
      <c r="B71" s="178"/>
      <c r="C71" s="178" t="s">
        <v>207</v>
      </c>
      <c r="D71" s="178"/>
      <c r="E71" s="160">
        <f>'PROPOSED RATES-12.2024'!I71</f>
        <v>-204483.41774172572</v>
      </c>
      <c r="F71" s="160">
        <f t="shared" si="24"/>
        <v>-14972.299999999988</v>
      </c>
      <c r="G71" s="160">
        <f>'ADJ DETAIL-INPUT'!CC69</f>
        <v>-219455.7177417257</v>
      </c>
      <c r="H71" s="183"/>
      <c r="I71" s="183"/>
      <c r="J71" s="183">
        <f t="shared" si="25"/>
        <v>-219455.7177417257</v>
      </c>
    </row>
    <row r="72" spans="1:10">
      <c r="A72" s="179">
        <v>41</v>
      </c>
      <c r="B72" s="178"/>
      <c r="C72" s="178" t="s">
        <v>191</v>
      </c>
      <c r="D72" s="178"/>
      <c r="E72" s="160">
        <f>'PROPOSED RATES-12.2024'!I72</f>
        <v>-542894.57330597925</v>
      </c>
      <c r="F72" s="160">
        <f t="shared" si="24"/>
        <v>-38281</v>
      </c>
      <c r="G72" s="160">
        <f>'ADJ DETAIL-INPUT'!CC70</f>
        <v>-581175.57330597925</v>
      </c>
      <c r="H72" s="183"/>
      <c r="I72" s="183"/>
      <c r="J72" s="183">
        <f t="shared" si="25"/>
        <v>-581175.57330597925</v>
      </c>
    </row>
    <row r="73" spans="1:10">
      <c r="A73" s="179">
        <v>42</v>
      </c>
      <c r="B73" s="178"/>
      <c r="C73" s="178" t="s">
        <v>208</v>
      </c>
      <c r="D73" s="178"/>
      <c r="E73" s="335">
        <f>'PROPOSED RATES-12.2024'!I73</f>
        <v>-130070.99999999999</v>
      </c>
      <c r="F73" s="160">
        <f t="shared" si="24"/>
        <v>-7561.0000000000146</v>
      </c>
      <c r="G73" s="335">
        <f>'ADJ DETAIL-INPUT'!CC71</f>
        <v>-137632</v>
      </c>
      <c r="H73" s="186"/>
      <c r="I73" s="186"/>
      <c r="J73" s="186">
        <f t="shared" si="25"/>
        <v>-137632</v>
      </c>
    </row>
    <row r="74" spans="1:10">
      <c r="A74" s="179">
        <v>43</v>
      </c>
      <c r="B74" s="178" t="s">
        <v>249</v>
      </c>
      <c r="C74" s="178"/>
      <c r="D74" s="178"/>
      <c r="E74" s="337">
        <f>SUM(E69:E73)</f>
        <v>-1332433.5192660193</v>
      </c>
      <c r="F74" s="337">
        <f t="shared" ref="F74" si="26">SUM(F69:F73)</f>
        <v>-73283.900000000009</v>
      </c>
      <c r="G74" s="337">
        <f>SUM(G69:G73)</f>
        <v>-1405717.4192660195</v>
      </c>
      <c r="H74" s="337">
        <f>SUM(H69:H73)</f>
        <v>0</v>
      </c>
      <c r="I74" s="337">
        <f>SUM(I69:I73)</f>
        <v>0</v>
      </c>
      <c r="J74" s="337">
        <f>SUM(J69:J73)</f>
        <v>-1405717.4192660195</v>
      </c>
    </row>
    <row r="75" spans="1:10">
      <c r="A75" s="179">
        <v>44</v>
      </c>
      <c r="B75" s="178" t="s">
        <v>519</v>
      </c>
      <c r="C75" s="178"/>
      <c r="D75" s="177"/>
      <c r="E75" s="183">
        <f>E67+E74</f>
        <v>2586570.2807339802</v>
      </c>
      <c r="F75" s="183">
        <f t="shared" ref="F75:J75" si="27">F67+F74</f>
        <v>99499.099999999991</v>
      </c>
      <c r="G75" s="183">
        <f t="shared" si="27"/>
        <v>2686069.3807339803</v>
      </c>
      <c r="H75" s="183">
        <f>H67+H74</f>
        <v>0</v>
      </c>
      <c r="I75" s="183">
        <f t="shared" si="27"/>
        <v>0</v>
      </c>
      <c r="J75" s="183">
        <f t="shared" si="27"/>
        <v>2686069.3807339803</v>
      </c>
    </row>
    <row r="76" spans="1:10" ht="5.25" customHeight="1">
      <c r="A76" s="179"/>
      <c r="B76" s="178"/>
      <c r="C76" s="178"/>
      <c r="E76" s="138"/>
      <c r="F76" s="138"/>
      <c r="G76" s="138"/>
      <c r="H76" s="138"/>
      <c r="I76" s="138"/>
      <c r="J76" s="138"/>
    </row>
    <row r="77" spans="1:10">
      <c r="A77" s="180">
        <v>45</v>
      </c>
      <c r="B77" s="178" t="s">
        <v>211</v>
      </c>
      <c r="C77" s="178"/>
      <c r="D77" s="178"/>
      <c r="E77" s="335">
        <f>'PROPOSED RATES-12.2024'!I77</f>
        <v>-401502</v>
      </c>
      <c r="F77" s="335">
        <f t="shared" ref="F77" si="28">G77-E77</f>
        <v>-6263</v>
      </c>
      <c r="G77" s="335">
        <f>'ADJ DETAIL-INPUT'!CC75</f>
        <v>-407765</v>
      </c>
      <c r="H77" s="338"/>
      <c r="I77" s="338"/>
      <c r="J77" s="186">
        <f t="shared" ref="J77" si="29">G77+I77+H77</f>
        <v>-407765</v>
      </c>
    </row>
    <row r="78" spans="1:10">
      <c r="A78" s="180">
        <v>46</v>
      </c>
      <c r="B78" s="178"/>
      <c r="C78" s="178" t="s">
        <v>518</v>
      </c>
      <c r="D78" s="178"/>
      <c r="E78" s="183">
        <f>SUM(E75:E77)</f>
        <v>2185068.2807339802</v>
      </c>
      <c r="F78" s="183">
        <f t="shared" ref="F78:J78" si="30">SUM(F75:F77)</f>
        <v>93236.099999999991</v>
      </c>
      <c r="G78" s="183">
        <f t="shared" si="30"/>
        <v>2278304.3807339803</v>
      </c>
      <c r="H78" s="183">
        <f>SUM(H75:H77)</f>
        <v>0</v>
      </c>
      <c r="I78" s="183">
        <f t="shared" si="30"/>
        <v>0</v>
      </c>
      <c r="J78" s="183">
        <f t="shared" si="30"/>
        <v>2278304.3807339803</v>
      </c>
    </row>
    <row r="79" spans="1:10">
      <c r="A79" s="179">
        <v>47</v>
      </c>
      <c r="B79" s="178" t="s">
        <v>251</v>
      </c>
      <c r="C79" s="178"/>
      <c r="E79" s="160">
        <f>'PROPOSED RATES-12.2024'!I79</f>
        <v>24026.5</v>
      </c>
      <c r="F79" s="160">
        <f t="shared" ref="F79:F80" si="31">G79-E79</f>
        <v>-2992</v>
      </c>
      <c r="G79" s="160">
        <f>'ADJ DETAIL-INPUT'!CC77</f>
        <v>21034.5</v>
      </c>
      <c r="J79" s="183">
        <f t="shared" ref="J79:J80" si="32">G79+I79+H79</f>
        <v>21034.5</v>
      </c>
    </row>
    <row r="80" spans="1:10">
      <c r="A80" s="179">
        <v>48</v>
      </c>
      <c r="B80" s="178" t="s">
        <v>240</v>
      </c>
      <c r="C80" s="178"/>
      <c r="E80" s="335">
        <f>'PROPOSED RATES-12.2024'!I80</f>
        <v>100722</v>
      </c>
      <c r="F80" s="335">
        <f t="shared" si="31"/>
        <v>0</v>
      </c>
      <c r="G80" s="335">
        <f>'ADJ DETAIL-INPUT'!CC78</f>
        <v>100722</v>
      </c>
      <c r="H80" s="338"/>
      <c r="I80" s="338"/>
      <c r="J80" s="186">
        <f t="shared" si="32"/>
        <v>100722</v>
      </c>
    </row>
    <row r="81" spans="1:10" ht="7.5" customHeight="1">
      <c r="A81" s="180"/>
      <c r="B81" s="178"/>
      <c r="C81" s="178"/>
      <c r="D81" s="178"/>
    </row>
    <row r="82" spans="1:10" ht="13.5" thickBot="1">
      <c r="A82" s="176">
        <v>49</v>
      </c>
      <c r="B82" s="177" t="s">
        <v>212</v>
      </c>
      <c r="C82" s="177"/>
      <c r="D82" s="177"/>
      <c r="E82" s="339">
        <f>SUM(E78:E80)</f>
        <v>2309816.7807339802</v>
      </c>
      <c r="F82" s="340">
        <f>SUM(F78:F80)</f>
        <v>90244.099999999991</v>
      </c>
      <c r="G82" s="339">
        <f t="shared" ref="G82:J82" si="33">SUM(G78:G80)</f>
        <v>2400060.8807339803</v>
      </c>
      <c r="H82" s="339">
        <f t="shared" si="33"/>
        <v>0</v>
      </c>
      <c r="I82" s="339">
        <f t="shared" si="33"/>
        <v>0</v>
      </c>
      <c r="J82" s="339">
        <f t="shared" si="33"/>
        <v>2400060.8807339803</v>
      </c>
    </row>
    <row r="83" spans="1:10" ht="13.5" thickTop="1">
      <c r="A83" s="176">
        <v>50</v>
      </c>
      <c r="B83" s="167" t="s">
        <v>579</v>
      </c>
      <c r="E83" s="95">
        <f>ROUND(E58/E82,4)</f>
        <v>5.0999999999999997E-2</v>
      </c>
      <c r="F83" s="95"/>
      <c r="G83" s="95">
        <f>ROUND(G58/G82,4)</f>
        <v>2.7400000000000001E-2</v>
      </c>
      <c r="J83" s="95">
        <f>ROUND(J58/J82,4)</f>
        <v>7.6100000000000001E-2</v>
      </c>
    </row>
  </sheetData>
  <mergeCells count="2">
    <mergeCell ref="E5:J5"/>
    <mergeCell ref="B57:D57"/>
  </mergeCells>
  <pageMargins left="1" right="1" top="0.75" bottom="0.75" header="0.5" footer="0.5"/>
  <pageSetup scale="10" orientation="portrait" r:id="rId1"/>
  <headerFooter scaleWithDoc="0" alignWithMargins="0">
    <oddHeader>&amp;R Exh. KJS-2</oddHeader>
    <oddFooter xml:space="preserve">&amp;RPage &amp;P of &amp;N </oddFooter>
  </headerFooter>
  <ignoredErrors>
    <ignoredError sqref="E7:J17 E19:J77 E18 G18:I18 E79:J83 E78" numberStoredAsText="1"/>
    <ignoredError sqref="F18 J18 F78:J78" numberStoredAsText="1" 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5"/>
  <dimension ref="A2:N40"/>
  <sheetViews>
    <sheetView zoomScale="85" zoomScaleNormal="85" workbookViewId="0">
      <selection activeCell="M14" sqref="M14"/>
    </sheetView>
  </sheetViews>
  <sheetFormatPr defaultColWidth="9.28515625" defaultRowHeight="15.75"/>
  <cols>
    <col min="1" max="1" width="5.28515625" style="268" bestFit="1" customWidth="1"/>
    <col min="2" max="2" width="1.5703125" style="268" customWidth="1"/>
    <col min="3" max="3" width="46.42578125" style="268" customWidth="1"/>
    <col min="4" max="4" width="3" style="268" customWidth="1"/>
    <col min="5" max="5" width="19.5703125" style="268" customWidth="1"/>
    <col min="6" max="6" width="16" style="268" customWidth="1"/>
    <col min="7" max="7" width="16.5703125" style="268" bestFit="1" customWidth="1"/>
    <col min="8" max="8" width="7.5703125" style="268" bestFit="1" customWidth="1"/>
    <col min="9" max="9" width="6.7109375" style="242" customWidth="1"/>
    <col min="10" max="10" width="14.28515625" style="242" customWidth="1"/>
    <col min="11" max="11" width="12.7109375" style="242" customWidth="1"/>
    <col min="12" max="12" width="15.28515625" style="255" customWidth="1"/>
    <col min="13" max="13" width="14.28515625" style="242" customWidth="1"/>
    <col min="14" max="14" width="13.42578125" style="242" bestFit="1" customWidth="1"/>
    <col min="15" max="15" width="8.5703125" style="242" customWidth="1"/>
    <col min="16" max="16" width="17" style="242" customWidth="1"/>
    <col min="17" max="16384" width="9.28515625" style="242"/>
  </cols>
  <sheetData>
    <row r="2" spans="1:14">
      <c r="A2" s="699" t="s">
        <v>114</v>
      </c>
      <c r="B2" s="699"/>
      <c r="C2" s="699"/>
      <c r="D2" s="699"/>
      <c r="E2" s="699"/>
      <c r="F2" s="699"/>
      <c r="G2" s="699"/>
      <c r="H2" s="241"/>
      <c r="I2" s="692" t="s">
        <v>114</v>
      </c>
      <c r="J2" s="693"/>
      <c r="K2" s="693"/>
      <c r="L2" s="693"/>
      <c r="M2" s="694"/>
      <c r="N2" s="243"/>
    </row>
    <row r="3" spans="1:14">
      <c r="A3" s="699" t="s">
        <v>626</v>
      </c>
      <c r="B3" s="699"/>
      <c r="C3" s="699"/>
      <c r="D3" s="699"/>
      <c r="E3" s="699"/>
      <c r="F3" s="699"/>
      <c r="G3" s="699"/>
      <c r="H3" s="243"/>
      <c r="I3" s="695" t="s">
        <v>577</v>
      </c>
      <c r="J3" s="696"/>
      <c r="K3" s="696"/>
      <c r="L3" s="696"/>
      <c r="M3" s="697"/>
      <c r="N3" s="237"/>
    </row>
    <row r="4" spans="1:14">
      <c r="A4" s="699" t="s">
        <v>228</v>
      </c>
      <c r="B4" s="699"/>
      <c r="C4" s="699"/>
      <c r="D4" s="699"/>
      <c r="E4" s="699"/>
      <c r="F4" s="699"/>
      <c r="G4" s="699"/>
      <c r="H4" s="243"/>
      <c r="I4" s="695" t="s">
        <v>228</v>
      </c>
      <c r="J4" s="696"/>
      <c r="K4" s="696"/>
      <c r="L4" s="696"/>
      <c r="M4" s="697"/>
      <c r="N4" s="237"/>
    </row>
    <row r="5" spans="1:14">
      <c r="A5" s="699" t="str">
        <f>'ADJ DETAIL-INPUT'!A3</f>
        <v>TWELVE MONTHS ENDED JUNE 30, 2023</v>
      </c>
      <c r="B5" s="699"/>
      <c r="C5" s="699"/>
      <c r="D5" s="699"/>
      <c r="E5" s="699"/>
      <c r="F5" s="699"/>
      <c r="G5" s="699"/>
      <c r="H5" s="243"/>
      <c r="I5" s="698"/>
      <c r="J5" s="699"/>
      <c r="K5" s="699"/>
      <c r="L5" s="699"/>
      <c r="M5" s="700"/>
      <c r="N5" s="237"/>
    </row>
    <row r="6" spans="1:14" ht="16.5" thickBot="1">
      <c r="A6" s="237"/>
      <c r="B6" s="237"/>
      <c r="C6" s="237"/>
      <c r="D6" s="237"/>
      <c r="E6" s="237"/>
      <c r="F6" s="248"/>
      <c r="G6" s="237"/>
      <c r="H6" s="243"/>
      <c r="I6" s="236"/>
      <c r="J6" s="237"/>
      <c r="K6" s="237"/>
      <c r="L6" s="237"/>
      <c r="M6" s="238"/>
      <c r="N6" s="237"/>
    </row>
    <row r="7" spans="1:14">
      <c r="A7" s="243"/>
      <c r="B7" s="243"/>
      <c r="C7" s="243"/>
      <c r="D7" s="243"/>
      <c r="E7" s="344" t="s">
        <v>622</v>
      </c>
      <c r="F7" s="248" t="s">
        <v>622</v>
      </c>
      <c r="G7" s="701" t="s">
        <v>735</v>
      </c>
      <c r="H7" s="243"/>
      <c r="I7" s="201" t="s">
        <v>645</v>
      </c>
      <c r="J7" s="202"/>
      <c r="K7" s="202"/>
      <c r="L7" s="202"/>
      <c r="M7" s="203"/>
      <c r="N7" s="237"/>
    </row>
    <row r="8" spans="1:14">
      <c r="A8" s="237"/>
      <c r="B8" s="237"/>
      <c r="C8" s="691"/>
      <c r="D8" s="691"/>
      <c r="E8" s="344" t="s">
        <v>733</v>
      </c>
      <c r="F8" s="248" t="s">
        <v>734</v>
      </c>
      <c r="G8" s="701"/>
      <c r="H8" s="237"/>
      <c r="I8" s="204"/>
      <c r="J8" s="205"/>
      <c r="K8" s="234"/>
      <c r="L8" s="206"/>
      <c r="M8" s="235"/>
      <c r="N8" s="237"/>
    </row>
    <row r="9" spans="1:14">
      <c r="A9" s="237"/>
      <c r="B9" s="237"/>
      <c r="C9" s="237"/>
      <c r="D9" s="237"/>
      <c r="E9" s="432" t="s">
        <v>830</v>
      </c>
      <c r="F9" s="433" t="s">
        <v>815</v>
      </c>
      <c r="G9" s="432" t="s">
        <v>815</v>
      </c>
      <c r="H9" s="245"/>
      <c r="I9" s="204"/>
      <c r="J9" s="207"/>
      <c r="K9" s="234" t="s">
        <v>120</v>
      </c>
      <c r="L9" s="234"/>
      <c r="M9" s="235" t="s">
        <v>121</v>
      </c>
      <c r="N9" s="237"/>
    </row>
    <row r="10" spans="1:14">
      <c r="A10" s="237" t="s">
        <v>118</v>
      </c>
      <c r="B10" s="237"/>
      <c r="C10" s="237"/>
      <c r="D10" s="237"/>
      <c r="E10" s="344" t="s">
        <v>119</v>
      </c>
      <c r="F10" s="248" t="s">
        <v>119</v>
      </c>
      <c r="G10" s="344" t="s">
        <v>119</v>
      </c>
      <c r="H10" s="237"/>
      <c r="I10" s="204"/>
      <c r="J10" s="208" t="s">
        <v>123</v>
      </c>
      <c r="K10" s="208" t="s">
        <v>125</v>
      </c>
      <c r="L10" s="208" t="s">
        <v>126</v>
      </c>
      <c r="M10" s="209" t="s">
        <v>126</v>
      </c>
      <c r="N10" s="246"/>
    </row>
    <row r="11" spans="1:14">
      <c r="A11" s="244" t="s">
        <v>20</v>
      </c>
      <c r="B11" s="237"/>
      <c r="C11" s="244" t="s">
        <v>79</v>
      </c>
      <c r="D11" s="237"/>
      <c r="E11" s="345" t="s">
        <v>122</v>
      </c>
      <c r="F11" s="346" t="s">
        <v>122</v>
      </c>
      <c r="G11" s="345" t="s">
        <v>122</v>
      </c>
      <c r="H11" s="237"/>
      <c r="I11" s="204"/>
      <c r="J11" s="205"/>
      <c r="K11" s="205"/>
      <c r="L11" s="206"/>
      <c r="M11" s="210"/>
      <c r="N11" s="246"/>
    </row>
    <row r="12" spans="1:14">
      <c r="A12" s="242"/>
      <c r="B12" s="242"/>
      <c r="C12" s="242"/>
      <c r="D12" s="242"/>
      <c r="E12" s="242"/>
      <c r="F12" s="242"/>
      <c r="G12" s="242"/>
      <c r="H12" s="242"/>
      <c r="I12" s="204"/>
      <c r="J12" s="207" t="s">
        <v>17</v>
      </c>
      <c r="K12" s="211">
        <f>100%-K14</f>
        <v>0.51500000000000001</v>
      </c>
      <c r="L12" s="266">
        <v>4.99E-2</v>
      </c>
      <c r="M12" s="212">
        <f>ROUND(K12*L12,4)</f>
        <v>2.5700000000000001E-2</v>
      </c>
      <c r="N12" s="247" t="s">
        <v>219</v>
      </c>
    </row>
    <row r="13" spans="1:14">
      <c r="A13" s="248">
        <v>1</v>
      </c>
      <c r="B13" s="242"/>
      <c r="C13" s="242" t="s">
        <v>172</v>
      </c>
      <c r="D13" s="242"/>
      <c r="E13" s="302">
        <f>'ADJ DETAIL-INPUT'!BL80</f>
        <v>2309816.7807339802</v>
      </c>
      <c r="F13" s="249">
        <f>'ADJ DETAIL-INPUT'!CC80</f>
        <v>2400060.8807339808</v>
      </c>
      <c r="G13" s="309"/>
      <c r="H13" s="250"/>
      <c r="I13" s="204"/>
      <c r="J13" s="207"/>
      <c r="K13" s="211"/>
      <c r="L13" s="211"/>
      <c r="M13" s="212"/>
      <c r="N13" s="252">
        <f>SUM(M12:M13)</f>
        <v>2.5700000000000001E-2</v>
      </c>
    </row>
    <row r="14" spans="1:14">
      <c r="A14" s="248"/>
      <c r="B14" s="242"/>
      <c r="C14" s="242"/>
      <c r="D14" s="242"/>
      <c r="E14" s="251"/>
      <c r="F14" s="251"/>
      <c r="G14" s="251"/>
      <c r="H14" s="251"/>
      <c r="I14" s="204"/>
      <c r="J14" s="207" t="s">
        <v>11</v>
      </c>
      <c r="K14" s="211">
        <v>0.48499999999999999</v>
      </c>
      <c r="L14" s="266">
        <v>0.104</v>
      </c>
      <c r="M14" s="212">
        <f>ROUND(K14*L14,4)</f>
        <v>5.04E-2</v>
      </c>
    </row>
    <row r="15" spans="1:14">
      <c r="A15" s="248">
        <v>2</v>
      </c>
      <c r="B15" s="242"/>
      <c r="C15" s="242" t="s">
        <v>127</v>
      </c>
      <c r="D15" s="242"/>
      <c r="E15" s="412">
        <f>$M$16</f>
        <v>7.6100000000000001E-2</v>
      </c>
      <c r="F15" s="412">
        <f>$M$16</f>
        <v>7.6100000000000001E-2</v>
      </c>
      <c r="G15" s="226"/>
      <c r="H15" s="254"/>
      <c r="I15" s="204"/>
      <c r="J15" s="207"/>
      <c r="K15" s="213"/>
      <c r="L15" s="214"/>
      <c r="M15" s="212"/>
    </row>
    <row r="16" spans="1:14" ht="16.5" thickBot="1">
      <c r="A16" s="248"/>
      <c r="B16" s="242"/>
      <c r="C16" s="242"/>
      <c r="D16" s="242"/>
      <c r="E16" s="253"/>
      <c r="F16" s="253"/>
      <c r="G16" s="263"/>
      <c r="H16" s="253"/>
      <c r="I16" s="204"/>
      <c r="J16" s="207" t="s">
        <v>131</v>
      </c>
      <c r="K16" s="215">
        <f>SUM(K12:K14)</f>
        <v>1</v>
      </c>
      <c r="L16" s="214"/>
      <c r="M16" s="216">
        <f>SUM(M12:M14)</f>
        <v>7.6100000000000001E-2</v>
      </c>
    </row>
    <row r="17" spans="1:13" ht="17.25" thickTop="1" thickBot="1">
      <c r="A17" s="248">
        <v>3</v>
      </c>
      <c r="B17" s="242"/>
      <c r="C17" s="242" t="s">
        <v>128</v>
      </c>
      <c r="D17" s="242"/>
      <c r="E17" s="251">
        <f>ROUND(E13*E15,4)</f>
        <v>175777.057</v>
      </c>
      <c r="F17" s="251">
        <f t="shared" ref="F17" si="0">ROUND(F13*F15,4)</f>
        <v>182644.633</v>
      </c>
      <c r="G17" s="251"/>
      <c r="H17" s="251"/>
      <c r="I17" s="217"/>
      <c r="J17" s="218"/>
      <c r="K17" s="219"/>
      <c r="L17" s="220"/>
      <c r="M17" s="221"/>
    </row>
    <row r="18" spans="1:13">
      <c r="A18" s="248"/>
      <c r="B18" s="242"/>
      <c r="C18" s="242"/>
      <c r="D18" s="242"/>
      <c r="E18" s="251"/>
      <c r="F18" s="251"/>
      <c r="G18" s="251"/>
      <c r="H18" s="251"/>
      <c r="I18" s="246"/>
    </row>
    <row r="19" spans="1:13">
      <c r="A19" s="248">
        <v>4</v>
      </c>
      <c r="B19" s="242"/>
      <c r="C19" s="242" t="s">
        <v>129</v>
      </c>
      <c r="D19" s="242"/>
      <c r="E19" s="256">
        <f>'ADJ DETAIL-INPUT'!BL56</f>
        <v>117785.79962002137</v>
      </c>
      <c r="F19" s="256">
        <f>'ADJ DETAIL-INPUT'!CC56</f>
        <v>65862.356897721358</v>
      </c>
      <c r="G19" s="251"/>
      <c r="H19" s="257"/>
      <c r="K19" s="243"/>
      <c r="L19" s="243"/>
    </row>
    <row r="20" spans="1:13">
      <c r="A20" s="248"/>
      <c r="B20" s="242"/>
      <c r="C20" s="242"/>
      <c r="D20" s="242"/>
      <c r="E20" s="242"/>
      <c r="F20" s="242"/>
      <c r="G20" s="242"/>
      <c r="H20" s="242"/>
      <c r="J20" s="251"/>
    </row>
    <row r="21" spans="1:13">
      <c r="A21" s="248">
        <v>5</v>
      </c>
      <c r="B21" s="242"/>
      <c r="C21" s="242" t="s">
        <v>130</v>
      </c>
      <c r="D21" s="242"/>
      <c r="E21" s="251">
        <f>E17-E19</f>
        <v>57991.257379978633</v>
      </c>
      <c r="F21" s="251">
        <f t="shared" ref="F21" si="1">F17-F19</f>
        <v>116782.27610227864</v>
      </c>
      <c r="G21" s="251">
        <f>F21-E21</f>
        <v>58791.01872230001</v>
      </c>
      <c r="H21" s="251"/>
      <c r="I21" s="465" t="s">
        <v>877</v>
      </c>
      <c r="K21" s="466"/>
      <c r="L21" s="467"/>
    </row>
    <row r="22" spans="1:13">
      <c r="A22" s="248"/>
      <c r="B22" s="242"/>
      <c r="C22" s="242"/>
      <c r="D22" s="242"/>
      <c r="E22" s="242"/>
      <c r="F22" s="242"/>
      <c r="G22" s="242"/>
      <c r="H22" s="242"/>
      <c r="K22" s="346" t="s">
        <v>751</v>
      </c>
      <c r="L22" s="346" t="s">
        <v>752</v>
      </c>
      <c r="M22" s="346" t="s">
        <v>755</v>
      </c>
    </row>
    <row r="23" spans="1:13">
      <c r="A23" s="248">
        <v>6</v>
      </c>
      <c r="B23" s="242"/>
      <c r="C23" s="242" t="s">
        <v>132</v>
      </c>
      <c r="D23" s="242"/>
      <c r="E23" s="258">
        <f>'CF '!E24</f>
        <v>0.75248000000000004</v>
      </c>
      <c r="F23" s="258">
        <f>E23</f>
        <v>0.75248000000000004</v>
      </c>
      <c r="G23" s="341">
        <f>F23</f>
        <v>0.75248000000000004</v>
      </c>
      <c r="H23" s="258"/>
      <c r="J23" s="464" t="s">
        <v>753</v>
      </c>
      <c r="K23" s="470">
        <v>920.88161811609461</v>
      </c>
      <c r="L23" s="470">
        <v>35.978630661251401</v>
      </c>
      <c r="M23" s="251">
        <f>K23+L23</f>
        <v>956.86024877734599</v>
      </c>
    </row>
    <row r="24" spans="1:13" ht="16.5" thickBot="1">
      <c r="A24" s="248"/>
      <c r="B24" s="242"/>
      <c r="C24" s="242"/>
      <c r="D24" s="242"/>
      <c r="E24" s="259"/>
      <c r="F24" s="343"/>
      <c r="G24" s="242"/>
      <c r="H24" s="260"/>
      <c r="J24" s="464" t="s">
        <v>754</v>
      </c>
      <c r="K24" s="471">
        <v>234</v>
      </c>
      <c r="L24" s="471">
        <v>6.6432028741155591</v>
      </c>
      <c r="M24" s="468">
        <f>K24+L24</f>
        <v>240.64320287411556</v>
      </c>
    </row>
    <row r="25" spans="1:13" ht="16.5" thickBot="1">
      <c r="A25" s="248">
        <v>7</v>
      </c>
      <c r="B25" s="242"/>
      <c r="C25" s="242" t="s">
        <v>601</v>
      </c>
      <c r="D25" s="242"/>
      <c r="E25" s="301">
        <f>E21/E23</f>
        <v>77066.842148600132</v>
      </c>
      <c r="F25" s="251">
        <f t="shared" ref="F25" si="2">ROUND(F21/F23,0)</f>
        <v>155197</v>
      </c>
      <c r="G25" s="301">
        <f>G21/G23</f>
        <v>78129.676167207115</v>
      </c>
      <c r="H25" s="261"/>
      <c r="J25" s="265" t="s">
        <v>559</v>
      </c>
      <c r="K25" s="469">
        <f>K24+K23</f>
        <v>1154.8816181160946</v>
      </c>
      <c r="L25" s="469">
        <f>L24+L23</f>
        <v>42.62183353536696</v>
      </c>
      <c r="M25" s="469">
        <f>M24+M23</f>
        <v>1197.5034516514615</v>
      </c>
    </row>
    <row r="26" spans="1:13">
      <c r="A26" s="248"/>
      <c r="B26" s="246"/>
      <c r="C26" s="242"/>
      <c r="D26" s="242"/>
      <c r="E26" s="251"/>
      <c r="F26" s="242"/>
      <c r="G26" s="242"/>
      <c r="H26" s="262"/>
      <c r="I26" s="243"/>
    </row>
    <row r="27" spans="1:13">
      <c r="A27" s="248">
        <v>8</v>
      </c>
      <c r="B27" s="246"/>
      <c r="C27" s="242" t="s">
        <v>602</v>
      </c>
      <c r="D27" s="242"/>
      <c r="E27" s="251">
        <f>'ADJ DETAIL-INPUT'!BL13+'ADJ DETAIL-INPUT'!BL14</f>
        <v>590563.4</v>
      </c>
      <c r="F27" s="251"/>
      <c r="G27" s="251">
        <f>E27+E25</f>
        <v>667630.24214860017</v>
      </c>
      <c r="H27" s="264"/>
      <c r="I27"/>
      <c r="J27"/>
      <c r="K27"/>
      <c r="L27"/>
      <c r="M27"/>
    </row>
    <row r="28" spans="1:13">
      <c r="A28" s="248"/>
      <c r="B28" s="246"/>
      <c r="C28" s="242"/>
      <c r="D28" s="242"/>
      <c r="E28" s="242"/>
      <c r="F28" s="242"/>
      <c r="G28" s="242"/>
      <c r="H28" s="265"/>
      <c r="I28"/>
      <c r="J28"/>
      <c r="K28" s="475"/>
      <c r="L28"/>
      <c r="M28"/>
    </row>
    <row r="29" spans="1:13" ht="16.5" thickBot="1">
      <c r="A29" s="248">
        <v>9</v>
      </c>
      <c r="B29" s="246"/>
      <c r="C29" s="242" t="s">
        <v>133</v>
      </c>
      <c r="D29" s="242"/>
      <c r="E29" s="473">
        <f>(E25/E27)</f>
        <v>0.13049715263187683</v>
      </c>
      <c r="F29" s="254"/>
      <c r="G29" s="473">
        <f>G25/G27</f>
        <v>0.1170253700847439</v>
      </c>
      <c r="H29" s="266"/>
      <c r="I29"/>
      <c r="J29"/>
      <c r="K29"/>
      <c r="L29"/>
      <c r="M29"/>
    </row>
    <row r="30" spans="1:13" ht="16.5" thickTop="1">
      <c r="H30" s="269"/>
      <c r="I30" s="246"/>
      <c r="J30" s="262"/>
      <c r="K30" s="472"/>
      <c r="L30" s="237"/>
      <c r="M30" s="270"/>
    </row>
    <row r="31" spans="1:13">
      <c r="A31" s="248">
        <v>10</v>
      </c>
      <c r="B31" s="246"/>
      <c r="C31" s="242" t="s">
        <v>644</v>
      </c>
      <c r="D31" s="242"/>
      <c r="E31" s="251">
        <v>609280</v>
      </c>
      <c r="F31" s="251"/>
      <c r="G31" s="251">
        <f>E31+E25-1</f>
        <v>686345.84214860015</v>
      </c>
      <c r="H31" s="251"/>
      <c r="I31" s="246"/>
      <c r="J31" s="237"/>
      <c r="K31" s="246"/>
      <c r="L31" s="267"/>
      <c r="M31" s="246"/>
    </row>
    <row r="33" spans="1:7" ht="16.5" thickBot="1">
      <c r="A33" s="248">
        <v>11</v>
      </c>
      <c r="B33" s="246"/>
      <c r="C33" s="242" t="s">
        <v>133</v>
      </c>
      <c r="D33" s="242"/>
      <c r="E33" s="474">
        <f>(E25/E31)</f>
        <v>0.12648838325334844</v>
      </c>
      <c r="F33" s="342"/>
      <c r="G33" s="473">
        <f>G25/G31</f>
        <v>0.11383426746292043</v>
      </c>
    </row>
    <row r="34" spans="1:7" ht="16.5" thickTop="1">
      <c r="A34" s="248"/>
      <c r="E34" s="271"/>
    </row>
    <row r="35" spans="1:7">
      <c r="A35" s="248">
        <v>12</v>
      </c>
      <c r="C35" s="268" t="s">
        <v>885</v>
      </c>
      <c r="G35" s="251">
        <v>-24419</v>
      </c>
    </row>
    <row r="36" spans="1:7">
      <c r="A36" s="248"/>
    </row>
    <row r="37" spans="1:7" ht="16.5" thickBot="1">
      <c r="A37" s="248">
        <v>13</v>
      </c>
      <c r="C37" s="268" t="s">
        <v>884</v>
      </c>
      <c r="E37" s="271"/>
      <c r="G37" s="473">
        <f>G33-3.6%</f>
        <v>7.7834267462920423E-2</v>
      </c>
    </row>
    <row r="38" spans="1:7" ht="16.5" thickTop="1">
      <c r="A38" s="248"/>
    </row>
    <row r="39" spans="1:7">
      <c r="A39" s="248"/>
      <c r="C39" s="690" t="s">
        <v>886</v>
      </c>
      <c r="D39" s="690"/>
      <c r="E39" s="690"/>
      <c r="F39" s="690"/>
      <c r="G39" s="690"/>
    </row>
    <row r="40" spans="1:7">
      <c r="A40" s="248"/>
      <c r="C40" s="690"/>
      <c r="D40" s="690"/>
      <c r="E40" s="690"/>
      <c r="F40" s="690"/>
      <c r="G40" s="690"/>
    </row>
  </sheetData>
  <mergeCells count="11">
    <mergeCell ref="C39:G40"/>
    <mergeCell ref="C8:D8"/>
    <mergeCell ref="I2:M2"/>
    <mergeCell ref="I3:M3"/>
    <mergeCell ref="I4:M4"/>
    <mergeCell ref="I5:M5"/>
    <mergeCell ref="A3:G3"/>
    <mergeCell ref="A2:G2"/>
    <mergeCell ref="A4:G4"/>
    <mergeCell ref="A5:G5"/>
    <mergeCell ref="G7:G8"/>
  </mergeCells>
  <phoneticPr fontId="0" type="noConversion"/>
  <printOptions horizontalCentered="1"/>
  <pageMargins left="1" right="1" top="1" bottom="1" header="0.5" footer="0.5"/>
  <pageSetup scale="78" firstPageNumber="4" fitToWidth="2" orientation="portrait" r:id="rId1"/>
  <headerFooter scaleWithDoc="0" alignWithMargins="0">
    <oddHeader>&amp;R Exh. KJS-2</oddHeader>
    <oddFooter>&amp;RPage &amp;P of &amp;N</oddFooter>
  </headerFooter>
  <colBreaks count="1" manualBreakCount="1">
    <brk id="8" min="1" max="39" man="1"/>
  </colBreaks>
  <ignoredErrors>
    <ignoredError sqref="E9:G9" numberStoredAsText="1"/>
    <ignoredError sqref="F25" formula="1"/>
  </ignoredError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6">
    <pageSetUpPr fitToPage="1"/>
  </sheetPr>
  <dimension ref="A1:L27"/>
  <sheetViews>
    <sheetView zoomScaleNormal="100" zoomScalePageLayoutView="115" workbookViewId="0">
      <selection activeCell="K9" sqref="K9"/>
    </sheetView>
  </sheetViews>
  <sheetFormatPr defaultColWidth="9.28515625" defaultRowHeight="15"/>
  <cols>
    <col min="1" max="1" width="11.5703125" style="285" customWidth="1"/>
    <col min="2" max="2" width="4.42578125" style="285" customWidth="1"/>
    <col min="3" max="3" width="37" style="285" customWidth="1"/>
    <col min="4" max="4" width="4.5703125" style="285" customWidth="1"/>
    <col min="5" max="5" width="20.28515625" style="285" customWidth="1"/>
    <col min="6" max="6" width="6" style="285" customWidth="1"/>
    <col min="7" max="9" width="9.28515625" style="285"/>
    <col min="10" max="11" width="14.5703125" style="285" customWidth="1"/>
    <col min="12" max="36" width="9.28515625" style="285"/>
    <col min="37" max="37" width="14.5703125" style="285" customWidth="1"/>
    <col min="38" max="38" width="17" style="285" customWidth="1"/>
    <col min="39" max="39" width="18" style="285" customWidth="1"/>
    <col min="40" max="40" width="17" style="285" customWidth="1"/>
    <col min="41" max="41" width="15.7109375" style="285" customWidth="1"/>
    <col min="42" max="51" width="9.28515625" style="285"/>
    <col min="52" max="52" width="11.42578125" style="285" customWidth="1"/>
    <col min="53" max="16384" width="9.28515625" style="285"/>
  </cols>
  <sheetData>
    <row r="1" spans="1:11" ht="15.75">
      <c r="A1" s="241" t="s">
        <v>114</v>
      </c>
      <c r="B1" s="241"/>
      <c r="C1" s="241"/>
      <c r="D1" s="241"/>
      <c r="E1" s="483"/>
      <c r="F1" s="242"/>
      <c r="G1" s="484"/>
      <c r="H1" s="242"/>
      <c r="I1" s="242"/>
      <c r="J1" s="242"/>
      <c r="K1" s="242"/>
    </row>
    <row r="2" spans="1:11" ht="13.5" customHeight="1">
      <c r="A2" s="702" t="s">
        <v>171</v>
      </c>
      <c r="B2" s="702"/>
      <c r="C2" s="702"/>
      <c r="D2" s="702"/>
      <c r="E2" s="702"/>
      <c r="F2" s="242"/>
      <c r="G2" s="484"/>
      <c r="H2" s="242"/>
      <c r="I2" s="242"/>
      <c r="J2" s="242"/>
      <c r="K2" s="242"/>
    </row>
    <row r="3" spans="1:11" ht="15.75">
      <c r="A3" s="699" t="s">
        <v>228</v>
      </c>
      <c r="B3" s="699"/>
      <c r="C3" s="699"/>
      <c r="D3" s="699"/>
      <c r="E3" s="699"/>
      <c r="F3" s="243"/>
      <c r="G3" s="243"/>
      <c r="H3" s="242"/>
      <c r="I3" s="242"/>
      <c r="J3" s="242"/>
      <c r="K3" s="242"/>
    </row>
    <row r="4" spans="1:11" ht="15.75">
      <c r="A4" s="699" t="str">
        <f>'RR Summary'!A5:G5</f>
        <v>TWELVE MONTHS ENDED JUNE 30, 2023</v>
      </c>
      <c r="B4" s="699"/>
      <c r="C4" s="699"/>
      <c r="D4" s="699"/>
      <c r="E4" s="699"/>
      <c r="F4" s="242"/>
      <c r="G4" s="484"/>
      <c r="H4" s="242"/>
      <c r="I4" s="242"/>
      <c r="J4" s="248">
        <v>12.202400000000001</v>
      </c>
      <c r="K4" s="248">
        <v>12.202500000000001</v>
      </c>
    </row>
    <row r="5" spans="1:11" ht="15.75">
      <c r="A5" s="242"/>
      <c r="B5" s="242"/>
      <c r="C5" s="237"/>
      <c r="D5" s="242"/>
      <c r="E5" s="243"/>
      <c r="F5" s="242"/>
      <c r="G5" s="484"/>
      <c r="H5" s="242"/>
      <c r="I5" s="242"/>
      <c r="J5" s="485" t="s">
        <v>173</v>
      </c>
      <c r="K5" s="485" t="s">
        <v>173</v>
      </c>
    </row>
    <row r="6" spans="1:11" ht="15.75">
      <c r="A6" s="237" t="s">
        <v>118</v>
      </c>
      <c r="B6" s="237"/>
      <c r="C6" s="237"/>
      <c r="D6" s="237"/>
      <c r="E6" s="486"/>
      <c r="F6" s="237"/>
      <c r="G6" s="487"/>
      <c r="H6" s="237"/>
      <c r="I6" s="237"/>
      <c r="J6" s="488" t="s">
        <v>163</v>
      </c>
      <c r="K6" s="488" t="s">
        <v>163</v>
      </c>
    </row>
    <row r="7" spans="1:11" ht="15.75">
      <c r="A7" s="244" t="s">
        <v>20</v>
      </c>
      <c r="B7" s="237"/>
      <c r="C7" s="244" t="s">
        <v>79</v>
      </c>
      <c r="D7" s="237"/>
      <c r="E7" s="489" t="s">
        <v>164</v>
      </c>
      <c r="F7" s="237"/>
      <c r="G7" s="487"/>
      <c r="H7" s="237"/>
      <c r="I7" s="237"/>
      <c r="J7" s="237"/>
      <c r="K7" s="237"/>
    </row>
    <row r="8" spans="1:11" ht="15.75">
      <c r="A8" s="242"/>
      <c r="B8" s="242"/>
      <c r="C8" s="242"/>
      <c r="D8" s="242"/>
      <c r="E8" s="490"/>
      <c r="F8" s="242"/>
      <c r="G8" s="484"/>
      <c r="H8" s="242"/>
      <c r="I8" s="242"/>
      <c r="J8" s="242"/>
      <c r="K8" s="242"/>
    </row>
    <row r="9" spans="1:11" ht="15.75">
      <c r="A9" s="248">
        <v>1</v>
      </c>
      <c r="B9" s="242"/>
      <c r="C9" s="243" t="s">
        <v>31</v>
      </c>
      <c r="D9" s="242"/>
      <c r="E9" s="491">
        <f>'CF WA Elec'!E5</f>
        <v>1</v>
      </c>
      <c r="F9" s="242"/>
      <c r="G9" s="242"/>
      <c r="H9" s="242"/>
      <c r="I9" s="242"/>
      <c r="J9" s="492">
        <f>'RR Summary'!E25</f>
        <v>77066.842148600132</v>
      </c>
      <c r="K9" s="492">
        <f>'RR Summary'!G25</f>
        <v>78129.676167207115</v>
      </c>
    </row>
    <row r="10" spans="1:11" ht="15.75">
      <c r="A10" s="248"/>
      <c r="B10" s="242"/>
      <c r="C10" s="242"/>
      <c r="D10" s="242"/>
      <c r="E10" s="491"/>
      <c r="F10" s="242"/>
      <c r="G10" s="242"/>
      <c r="H10" s="242"/>
      <c r="I10" s="242"/>
      <c r="J10" s="484"/>
      <c r="K10" s="484"/>
    </row>
    <row r="11" spans="1:11" ht="15.75">
      <c r="A11" s="248"/>
      <c r="B11" s="242"/>
      <c r="C11" s="493" t="s">
        <v>165</v>
      </c>
      <c r="D11" s="258"/>
      <c r="E11" s="494"/>
      <c r="F11" s="490"/>
      <c r="G11" s="242"/>
      <c r="H11" s="242"/>
      <c r="I11" s="242"/>
      <c r="J11" s="484"/>
      <c r="K11" s="484"/>
    </row>
    <row r="12" spans="1:11" ht="15.75">
      <c r="A12" s="248">
        <v>2</v>
      </c>
      <c r="B12" s="242"/>
      <c r="C12" s="258" t="s">
        <v>166</v>
      </c>
      <c r="D12" s="495"/>
      <c r="E12" s="494">
        <f>'CF WA Elec'!E9</f>
        <v>4.9516574516858527E-3</v>
      </c>
      <c r="F12" s="496"/>
      <c r="G12" s="242"/>
      <c r="H12" s="242"/>
      <c r="I12" s="242"/>
      <c r="J12" s="484">
        <f>ROUND($J$9*E12,0)</f>
        <v>382</v>
      </c>
      <c r="K12" s="484">
        <f>ROUND($K$9*E12,0)</f>
        <v>387</v>
      </c>
    </row>
    <row r="13" spans="1:11" ht="15.75">
      <c r="A13" s="248"/>
      <c r="B13" s="242"/>
      <c r="C13" s="258"/>
      <c r="D13" s="258"/>
      <c r="E13" s="494"/>
      <c r="F13" s="242"/>
      <c r="G13" s="242"/>
      <c r="H13" s="242"/>
      <c r="I13" s="242"/>
      <c r="J13" s="484"/>
      <c r="K13" s="484"/>
    </row>
    <row r="14" spans="1:11" ht="15.75">
      <c r="A14" s="248">
        <v>3</v>
      </c>
      <c r="B14" s="242"/>
      <c r="C14" s="258" t="s">
        <v>167</v>
      </c>
      <c r="D14" s="258"/>
      <c r="E14" s="494">
        <f>'CF WA Elec'!E11</f>
        <v>4.0000000000000001E-3</v>
      </c>
      <c r="F14" s="242"/>
      <c r="G14" s="242"/>
      <c r="H14" s="242"/>
      <c r="I14" s="242"/>
      <c r="J14" s="484">
        <f>ROUND($J$9*E14,0)</f>
        <v>308</v>
      </c>
      <c r="K14" s="484">
        <f>ROUND($K$9*E14,0)</f>
        <v>313</v>
      </c>
    </row>
    <row r="15" spans="1:11" ht="15.75">
      <c r="A15" s="248"/>
      <c r="B15" s="242"/>
      <c r="C15" s="258"/>
      <c r="D15" s="258"/>
      <c r="E15" s="494"/>
      <c r="F15" s="242"/>
      <c r="G15" s="242"/>
      <c r="H15" s="242"/>
      <c r="I15" s="242"/>
      <c r="J15" s="484"/>
      <c r="K15" s="484"/>
    </row>
    <row r="16" spans="1:11" ht="15.75">
      <c r="A16" s="248">
        <v>4</v>
      </c>
      <c r="B16" s="242"/>
      <c r="C16" s="258" t="s">
        <v>168</v>
      </c>
      <c r="D16" s="495"/>
      <c r="E16" s="494">
        <f>'CF WA Elec'!E13</f>
        <v>3.8542202500266402E-2</v>
      </c>
      <c r="F16" s="497"/>
      <c r="G16" s="242"/>
      <c r="H16" s="242"/>
      <c r="I16" s="242"/>
      <c r="J16" s="484">
        <f>ROUND($J$9*E16,0)</f>
        <v>2970</v>
      </c>
      <c r="K16" s="484">
        <f>ROUND($K$9*E16,0)</f>
        <v>3011</v>
      </c>
    </row>
    <row r="17" spans="1:12" ht="15.75">
      <c r="A17" s="248"/>
      <c r="B17" s="242"/>
      <c r="C17" s="258"/>
      <c r="D17" s="258"/>
      <c r="E17" s="258"/>
      <c r="F17" s="242"/>
      <c r="G17" s="242"/>
      <c r="H17" s="242"/>
      <c r="I17" s="242"/>
      <c r="J17" s="484"/>
      <c r="K17" s="484"/>
      <c r="L17" s="242"/>
    </row>
    <row r="18" spans="1:12" ht="15.75">
      <c r="A18" s="248">
        <v>6</v>
      </c>
      <c r="B18" s="242"/>
      <c r="C18" s="258" t="s">
        <v>169</v>
      </c>
      <c r="D18" s="258"/>
      <c r="E18" s="498">
        <f>SUM(E12:E16)</f>
        <v>4.7493859951952253E-2</v>
      </c>
      <c r="F18" s="242"/>
      <c r="G18" s="242"/>
      <c r="H18" s="242"/>
      <c r="I18" s="242"/>
      <c r="J18" s="499">
        <f>SUM(J12:J16)</f>
        <v>3660</v>
      </c>
      <c r="K18" s="499">
        <f>SUM(K12:K16)</f>
        <v>3711</v>
      </c>
      <c r="L18" s="242"/>
    </row>
    <row r="19" spans="1:12" ht="15.75">
      <c r="A19" s="242"/>
      <c r="B19" s="242"/>
      <c r="C19" s="258"/>
      <c r="D19" s="258"/>
      <c r="E19" s="494"/>
      <c r="F19" s="242"/>
      <c r="G19" s="242"/>
      <c r="H19" s="242"/>
      <c r="I19" s="242"/>
      <c r="J19" s="484"/>
      <c r="K19" s="484"/>
      <c r="L19" s="257"/>
    </row>
    <row r="20" spans="1:12" ht="15.75">
      <c r="A20" s="248">
        <v>7</v>
      </c>
      <c r="B20" s="242"/>
      <c r="C20" s="258" t="s">
        <v>170</v>
      </c>
      <c r="D20" s="258"/>
      <c r="E20" s="494">
        <f>E9-E18</f>
        <v>0.95250614004804779</v>
      </c>
      <c r="F20" s="242"/>
      <c r="G20" s="242"/>
      <c r="H20" s="242"/>
      <c r="I20" s="242"/>
      <c r="J20" s="500">
        <f>J9-J18</f>
        <v>73406.842148600132</v>
      </c>
      <c r="K20" s="500">
        <f>K9-K18</f>
        <v>74418.676167207115</v>
      </c>
      <c r="L20" s="242"/>
    </row>
    <row r="21" spans="1:12" ht="15.75">
      <c r="A21" s="242"/>
      <c r="B21" s="242"/>
      <c r="C21" s="258"/>
      <c r="D21" s="258"/>
      <c r="E21" s="494"/>
      <c r="F21" s="242"/>
      <c r="G21" s="242"/>
      <c r="H21" s="242"/>
      <c r="I21" s="242"/>
      <c r="J21" s="500"/>
      <c r="K21" s="500"/>
      <c r="L21" s="242"/>
    </row>
    <row r="22" spans="1:12" ht="15.75">
      <c r="A22" s="248">
        <v>8</v>
      </c>
      <c r="B22" s="242"/>
      <c r="C22" s="258" t="s">
        <v>625</v>
      </c>
      <c r="D22" s="501"/>
      <c r="E22" s="502">
        <f>'CF WA Elec'!E20</f>
        <v>0.20002628941009004</v>
      </c>
      <c r="F22" s="242"/>
      <c r="G22" s="484"/>
      <c r="H22" s="242"/>
      <c r="I22" s="242"/>
      <c r="J22" s="503">
        <f>ROUND(J20*0.21,0)</f>
        <v>15415</v>
      </c>
      <c r="K22" s="503">
        <f>ROUND(K20*0.21,0)</f>
        <v>15628</v>
      </c>
      <c r="L22" s="242"/>
    </row>
    <row r="23" spans="1:12" ht="15.75">
      <c r="A23" s="242"/>
      <c r="B23" s="242"/>
      <c r="C23" s="258"/>
      <c r="D23" s="258"/>
      <c r="E23" s="494"/>
      <c r="F23" s="242"/>
      <c r="G23" s="484"/>
      <c r="H23" s="242"/>
      <c r="I23" s="242"/>
      <c r="J23" s="242"/>
      <c r="K23" s="242"/>
      <c r="L23" s="494"/>
    </row>
    <row r="24" spans="1:12" ht="16.5" thickBot="1">
      <c r="A24" s="248">
        <v>9</v>
      </c>
      <c r="B24" s="242"/>
      <c r="C24" s="493" t="s">
        <v>171</v>
      </c>
      <c r="D24" s="258"/>
      <c r="E24" s="504">
        <f>ROUND(E20-E22,6)</f>
        <v>0.75248000000000004</v>
      </c>
      <c r="F24" s="242"/>
      <c r="G24" s="242"/>
      <c r="H24" s="242"/>
      <c r="I24" s="242"/>
      <c r="J24" s="505">
        <f>J20-J22</f>
        <v>57991.842148600132</v>
      </c>
      <c r="K24" s="505">
        <f>K20-K22</f>
        <v>58790.676167207115</v>
      </c>
      <c r="L24" s="242"/>
    </row>
    <row r="25" spans="1:12" ht="16.5" thickTop="1">
      <c r="A25" s="242"/>
      <c r="B25" s="242"/>
      <c r="C25" s="242"/>
      <c r="D25" s="242"/>
      <c r="E25" s="494"/>
      <c r="F25" s="242"/>
      <c r="G25" s="242"/>
      <c r="H25" s="242"/>
      <c r="I25" s="242"/>
      <c r="J25" s="242"/>
      <c r="K25" s="242"/>
      <c r="L25" s="242"/>
    </row>
    <row r="26" spans="1:12" ht="15.75">
      <c r="A26" s="242"/>
      <c r="B26" s="242"/>
      <c r="C26" s="242"/>
      <c r="D26" s="242"/>
      <c r="E26" s="494"/>
      <c r="F26" s="242"/>
      <c r="G26" s="242"/>
      <c r="H26" s="242"/>
      <c r="I26" s="242"/>
      <c r="J26" s="264">
        <f>J24/E24</f>
        <v>77067.619270412673</v>
      </c>
      <c r="K26" s="264">
        <f>K24/E24</f>
        <v>78129.220932393044</v>
      </c>
      <c r="L26" s="242" t="s">
        <v>736</v>
      </c>
    </row>
    <row r="27" spans="1:12" ht="15.75">
      <c r="A27" s="242"/>
      <c r="B27" s="242"/>
      <c r="C27" s="242"/>
      <c r="D27" s="242"/>
      <c r="E27" s="494"/>
      <c r="F27" s="242"/>
      <c r="G27" s="242"/>
      <c r="H27" s="242"/>
      <c r="I27" s="242"/>
      <c r="J27" s="264">
        <f>J26-'RR Summary'!E25</f>
        <v>0.77712181254173629</v>
      </c>
      <c r="K27" s="264">
        <f>K26-'RR Summary'!G25</f>
        <v>-0.45523481407144573</v>
      </c>
      <c r="L27" s="242" t="s">
        <v>91</v>
      </c>
    </row>
  </sheetData>
  <mergeCells count="3">
    <mergeCell ref="A3:E3"/>
    <mergeCell ref="A2:E2"/>
    <mergeCell ref="A4:E4"/>
  </mergeCells>
  <phoneticPr fontId="0" type="noConversion"/>
  <pageMargins left="1" right="1" top="1" bottom="1" header="0.5" footer="0.5"/>
  <pageSetup firstPageNumber="4" orientation="portrait" r:id="rId1"/>
  <headerFooter scaleWithDoc="0" alignWithMargins="0">
    <oddHeader>&amp;R Exh. KJS-2</oddHeader>
    <oddFooter>&amp;RPage &amp;P of &amp;N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CD119"/>
  <sheetViews>
    <sheetView zoomScaleNormal="100" zoomScaleSheetLayoutView="100" workbookViewId="0">
      <pane xSplit="5" ySplit="11" topLeftCell="F70" activePane="bottomRight" state="frozen"/>
      <selection activeCell="K20" sqref="K20"/>
      <selection pane="topRight" activeCell="K20" sqref="K20"/>
      <selection pane="bottomLeft" activeCell="K20" sqref="K20"/>
      <selection pane="bottomRight" activeCell="E78" sqref="E78:I78"/>
    </sheetView>
  </sheetViews>
  <sheetFormatPr defaultColWidth="10.5703125" defaultRowHeight="12"/>
  <cols>
    <col min="1" max="1" width="4.85546875" style="168" customWidth="1"/>
    <col min="2" max="2" width="5.5703125" style="167" customWidth="1"/>
    <col min="3" max="3" width="3.42578125" style="167" customWidth="1"/>
    <col min="4" max="4" width="26.85546875" style="167" customWidth="1"/>
    <col min="5" max="5" width="11" style="183" bestFit="1" customWidth="1"/>
    <col min="6" max="7" width="11" style="183" customWidth="1"/>
    <col min="8" max="11" width="9.5703125" style="183" customWidth="1"/>
    <col min="12" max="12" width="10.7109375" style="183" customWidth="1"/>
    <col min="13" max="13" width="9.5703125" style="183" customWidth="1"/>
    <col min="14" max="14" width="11" style="183" customWidth="1"/>
    <col min="15" max="15" width="11.140625" style="183" customWidth="1"/>
    <col min="16" max="16" width="11.7109375" style="183" customWidth="1"/>
    <col min="17" max="17" width="8.85546875" style="183" customWidth="1"/>
    <col min="18" max="18" width="9.5703125" style="183" customWidth="1"/>
    <col min="19" max="19" width="12.85546875" style="183" customWidth="1"/>
    <col min="20" max="20" width="10.85546875" style="183" customWidth="1"/>
    <col min="21" max="21" width="15.42578125" style="356" customWidth="1"/>
    <col min="22" max="22" width="12.140625" style="356" customWidth="1"/>
    <col min="23" max="23" width="9.140625" style="183" customWidth="1"/>
    <col min="24" max="24" width="12.140625" style="183" customWidth="1"/>
    <col min="25" max="25" width="11.28515625" style="183" customWidth="1"/>
    <col min="26" max="26" width="11.5703125" style="356" customWidth="1"/>
    <col min="27" max="27" width="12.42578125" style="356" customWidth="1"/>
    <col min="28" max="28" width="10.7109375" style="356" customWidth="1"/>
    <col min="29" max="29" width="3.28515625" style="356" hidden="1" customWidth="1"/>
    <col min="30" max="30" width="10.140625" style="182" customWidth="1"/>
    <col min="31" max="31" width="10.7109375" style="183" customWidth="1"/>
    <col min="32" max="32" width="15.28515625" style="183" bestFit="1" customWidth="1"/>
    <col min="33" max="33" width="12.85546875" style="183" bestFit="1" customWidth="1"/>
    <col min="34" max="34" width="17.42578125" style="183" customWidth="1"/>
    <col min="35" max="35" width="10.140625" style="183" bestFit="1" customWidth="1"/>
    <col min="36" max="36" width="11.7109375" style="356" bestFit="1" customWidth="1"/>
    <col min="37" max="37" width="11.28515625" style="356" customWidth="1"/>
    <col min="38" max="38" width="11.140625" style="183" customWidth="1"/>
    <col min="39" max="43" width="10.140625" style="183" bestFit="1" customWidth="1"/>
    <col min="44" max="44" width="8.5703125" style="183" customWidth="1"/>
    <col min="45" max="45" width="10.140625" style="183" bestFit="1" customWidth="1"/>
    <col min="46" max="46" width="10.42578125" style="183" customWidth="1"/>
    <col min="47" max="47" width="15.42578125" style="183" customWidth="1"/>
    <col min="48" max="48" width="11.28515625" style="183" customWidth="1"/>
    <col min="49" max="49" width="15.140625" style="183" customWidth="1"/>
    <col min="50" max="50" width="12.85546875" style="183" customWidth="1"/>
    <col min="51" max="51" width="12.42578125" style="183" customWidth="1"/>
    <col min="52" max="52" width="9.7109375" style="183" bestFit="1" customWidth="1"/>
    <col min="53" max="53" width="14.28515625" style="183" customWidth="1"/>
    <col min="54" max="54" width="16.140625" style="183" customWidth="1"/>
    <col min="55" max="56" width="11.42578125" style="183" customWidth="1"/>
    <col min="57" max="57" width="16.7109375" style="183" customWidth="1"/>
    <col min="58" max="58" width="16" style="183" customWidth="1"/>
    <col min="59" max="59" width="15.7109375" style="183" hidden="1" customWidth="1"/>
    <col min="60" max="60" width="15.28515625" style="183" hidden="1" customWidth="1"/>
    <col min="61" max="61" width="14.5703125" style="183" hidden="1" customWidth="1"/>
    <col min="62" max="62" width="13.7109375" style="183" hidden="1" customWidth="1"/>
    <col min="63" max="63" width="18" style="183" hidden="1" customWidth="1"/>
    <col min="64" max="64" width="14.28515625" style="182" customWidth="1"/>
    <col min="65" max="65" width="1.42578125" style="182" hidden="1" customWidth="1"/>
    <col min="66" max="66" width="13.5703125" style="356" customWidth="1"/>
    <col min="67" max="67" width="15.28515625" style="356" hidden="1" customWidth="1"/>
    <col min="68" max="68" width="10.5703125" style="356" customWidth="1"/>
    <col min="69" max="69" width="9.42578125" style="356" customWidth="1"/>
    <col min="70" max="70" width="9" style="183" customWidth="1"/>
    <col min="71" max="71" width="10.140625" style="183" customWidth="1"/>
    <col min="72" max="72" width="12.5703125" style="183" customWidth="1"/>
    <col min="73" max="73" width="10.5703125" style="183" customWidth="1"/>
    <col min="74" max="74" width="15.28515625" style="183" bestFit="1" customWidth="1"/>
    <col min="75" max="75" width="15.140625" style="183" bestFit="1" customWidth="1"/>
    <col min="76" max="76" width="8.5703125" style="183" bestFit="1" customWidth="1"/>
    <col min="77" max="77" width="15.5703125" style="183" customWidth="1"/>
    <col min="78" max="78" width="11.7109375" style="183" customWidth="1"/>
    <col min="79" max="79" width="9.7109375" style="183" bestFit="1" customWidth="1"/>
    <col min="80" max="80" width="14.7109375" style="183" hidden="1" customWidth="1"/>
    <col min="81" max="82" width="14.140625" style="183" customWidth="1"/>
    <col min="83" max="16384" width="10.5703125" style="167"/>
  </cols>
  <sheetData>
    <row r="1" spans="1:82" ht="19.5" customHeight="1">
      <c r="A1" s="239" t="s">
        <v>176</v>
      </c>
      <c r="D1" s="168"/>
      <c r="E1" s="305"/>
      <c r="F1" s="448" t="s">
        <v>595</v>
      </c>
      <c r="G1" s="182"/>
      <c r="H1" s="182"/>
      <c r="I1" s="182"/>
      <c r="J1" s="182"/>
      <c r="K1" s="184"/>
      <c r="L1" s="182"/>
      <c r="M1" s="182"/>
      <c r="N1" s="182"/>
      <c r="O1" s="182"/>
      <c r="P1" s="182"/>
      <c r="Q1" s="182"/>
      <c r="R1" s="182"/>
      <c r="S1" s="182"/>
      <c r="V1" s="367"/>
      <c r="W1" s="182"/>
      <c r="AA1" s="376"/>
      <c r="AE1" s="449" t="s">
        <v>883</v>
      </c>
      <c r="AF1" s="182"/>
      <c r="AH1" s="182"/>
      <c r="AI1" s="182"/>
      <c r="AR1" s="182"/>
      <c r="AT1" s="389"/>
      <c r="AX1" s="389"/>
      <c r="AY1" s="389"/>
      <c r="AZ1" s="389"/>
      <c r="BA1" s="389"/>
      <c r="BB1" s="389"/>
      <c r="BC1" s="389"/>
      <c r="BD1" s="389"/>
      <c r="BE1" s="389"/>
      <c r="BF1" s="459"/>
      <c r="BG1" s="389"/>
      <c r="BH1" s="389"/>
      <c r="BI1" s="389"/>
      <c r="BJ1" s="389"/>
      <c r="BK1" s="389"/>
      <c r="BN1" s="449" t="s">
        <v>882</v>
      </c>
      <c r="BO1" s="384"/>
      <c r="BP1" s="384"/>
      <c r="BQ1" s="384"/>
      <c r="BR1"/>
      <c r="BT1" s="182"/>
      <c r="BU1" s="389"/>
      <c r="BV1"/>
      <c r="BW1"/>
      <c r="BX1"/>
      <c r="CB1" s="389"/>
      <c r="CD1" s="389"/>
    </row>
    <row r="2" spans="1:82" ht="14.25" customHeight="1">
      <c r="A2" s="239" t="s">
        <v>623</v>
      </c>
      <c r="D2" s="168"/>
      <c r="E2" s="306"/>
      <c r="G2" s="182"/>
      <c r="J2" s="182"/>
      <c r="K2" s="182"/>
      <c r="L2" s="182"/>
      <c r="N2" s="182"/>
      <c r="O2" s="182"/>
      <c r="P2" s="182"/>
      <c r="Q2" s="198"/>
      <c r="R2" s="198"/>
      <c r="S2" s="198"/>
      <c r="V2" s="368"/>
      <c r="W2" s="182"/>
      <c r="AA2" s="368"/>
      <c r="AB2" s="377"/>
      <c r="AE2" s="391"/>
      <c r="AF2" s="391"/>
      <c r="AH2" s="182"/>
      <c r="AL2" s="223"/>
      <c r="AM2" s="411"/>
      <c r="AN2" s="411"/>
      <c r="AO2" s="223"/>
      <c r="AS2" s="223"/>
      <c r="AT2" s="198"/>
      <c r="BF2" s="184"/>
      <c r="BG2" s="350"/>
      <c r="BH2" s="198"/>
      <c r="BI2" s="198"/>
      <c r="BJ2" s="198"/>
      <c r="BK2" s="198"/>
      <c r="BM2" s="223"/>
      <c r="BR2"/>
      <c r="BU2" s="198"/>
      <c r="BV2"/>
      <c r="BW2"/>
      <c r="BX2"/>
      <c r="BY2" s="223"/>
      <c r="CB2" s="198"/>
      <c r="CC2" s="277"/>
      <c r="CD2" s="198"/>
    </row>
    <row r="3" spans="1:82" ht="17.25" customHeight="1">
      <c r="A3" s="239" t="s">
        <v>761</v>
      </c>
      <c r="D3" s="168"/>
      <c r="E3" s="435" t="s">
        <v>740</v>
      </c>
      <c r="F3" s="385"/>
      <c r="G3" s="348"/>
      <c r="H3" s="348"/>
      <c r="I3" s="348"/>
      <c r="J3" s="348"/>
      <c r="K3" s="348"/>
      <c r="L3" s="198"/>
      <c r="M3" s="350"/>
      <c r="O3" s="182"/>
      <c r="Q3" s="350"/>
      <c r="R3" s="350"/>
      <c r="S3" s="350"/>
      <c r="V3" s="369"/>
      <c r="X3" s="223"/>
      <c r="Y3" s="184"/>
      <c r="Z3" s="374"/>
      <c r="AA3" s="378"/>
      <c r="AB3" s="377"/>
      <c r="AC3" s="374"/>
      <c r="AE3" s="391"/>
      <c r="AF3" s="391"/>
      <c r="AG3" s="184"/>
      <c r="AH3" s="182"/>
      <c r="AI3" s="350"/>
      <c r="AJ3" s="381"/>
      <c r="AK3" s="381"/>
      <c r="AL3" s="182"/>
      <c r="AM3" s="411"/>
      <c r="AN3" s="411"/>
      <c r="AO3" s="395"/>
      <c r="AP3" s="395"/>
      <c r="AQ3" s="395"/>
      <c r="AR3" s="350"/>
      <c r="AS3" s="182"/>
      <c r="AT3" s="198"/>
      <c r="AU3" s="223"/>
      <c r="AV3" s="223"/>
      <c r="AW3" s="223"/>
      <c r="AX3" s="350"/>
      <c r="AY3" s="350"/>
      <c r="AZ3" s="350"/>
      <c r="BA3" s="350"/>
      <c r="BB3" s="350"/>
      <c r="BC3" s="350"/>
      <c r="BD3" s="350"/>
      <c r="BE3" s="350"/>
      <c r="BF3" s="161"/>
      <c r="BG3" s="350"/>
      <c r="BH3" s="198"/>
      <c r="BI3" s="198"/>
      <c r="BJ3" s="198"/>
      <c r="BK3" s="198"/>
      <c r="BL3" s="703" t="s">
        <v>879</v>
      </c>
      <c r="BN3" s="381"/>
      <c r="BO3" s="381"/>
      <c r="BP3" s="381"/>
      <c r="BQ3" s="381"/>
      <c r="BR3"/>
      <c r="BS3" s="350"/>
      <c r="BT3" s="350"/>
      <c r="BU3" s="198"/>
      <c r="BV3"/>
      <c r="BW3"/>
      <c r="BX3" s="461"/>
      <c r="BY3" s="409"/>
      <c r="BZ3" s="350"/>
      <c r="CA3" s="350"/>
      <c r="CB3" s="198"/>
      <c r="CC3" s="703" t="s">
        <v>878</v>
      </c>
      <c r="CD3" s="198"/>
    </row>
    <row r="4" spans="1:82" ht="17.25" customHeight="1">
      <c r="A4" s="239" t="s">
        <v>177</v>
      </c>
      <c r="D4" s="168"/>
      <c r="E4" s="436" t="s">
        <v>741</v>
      </c>
      <c r="F4" s="385"/>
      <c r="G4" s="348"/>
      <c r="H4" s="348"/>
      <c r="I4" s="348"/>
      <c r="J4" s="348"/>
      <c r="K4" s="348"/>
      <c r="L4" s="348"/>
      <c r="M4" s="348"/>
      <c r="N4" s="348"/>
      <c r="O4" s="410"/>
      <c r="P4" s="348"/>
      <c r="Q4" s="349"/>
      <c r="R4" s="349"/>
      <c r="S4" s="349"/>
      <c r="T4" s="349"/>
      <c r="U4" s="357"/>
      <c r="V4" s="370"/>
      <c r="W4" s="352"/>
      <c r="X4" s="223"/>
      <c r="Y4" s="198"/>
      <c r="Z4" s="375"/>
      <c r="AA4" s="379"/>
      <c r="AB4" s="377"/>
      <c r="AC4" s="375"/>
      <c r="AD4" s="198"/>
      <c r="AE4" s="391"/>
      <c r="AF4" s="391"/>
      <c r="AG4" s="184"/>
      <c r="AH4" s="352"/>
      <c r="AI4" s="350"/>
      <c r="AJ4" s="381"/>
      <c r="AK4" s="381"/>
      <c r="AL4" s="395"/>
      <c r="AM4" s="395"/>
      <c r="AN4" s="395"/>
      <c r="AO4" s="395"/>
      <c r="AP4" s="395"/>
      <c r="AQ4" s="395"/>
      <c r="AR4" s="350"/>
      <c r="AS4" s="395"/>
      <c r="AT4" s="395"/>
      <c r="AU4" s="395"/>
      <c r="AV4" s="395"/>
      <c r="AW4" s="395"/>
      <c r="AX4" s="395"/>
      <c r="AY4" s="395"/>
      <c r="AZ4" s="395"/>
      <c r="BA4" s="395"/>
      <c r="BB4" s="395"/>
      <c r="BC4" s="395"/>
      <c r="BD4" s="395"/>
      <c r="BE4" s="395"/>
      <c r="BF4" s="184"/>
      <c r="BG4" s="198"/>
      <c r="BH4" s="198"/>
      <c r="BI4" s="198"/>
      <c r="BJ4" s="198"/>
      <c r="BK4" s="198"/>
      <c r="BL4" s="703"/>
      <c r="BM4" s="184"/>
      <c r="BN4" s="381"/>
      <c r="BO4" s="381"/>
      <c r="BP4" s="381"/>
      <c r="BQ4" s="381"/>
      <c r="BR4" s="395"/>
      <c r="BS4" s="350"/>
      <c r="BT4" s="350"/>
      <c r="BU4" s="198"/>
      <c r="BV4"/>
      <c r="BW4"/>
      <c r="BX4"/>
      <c r="BY4" s="409"/>
      <c r="BZ4" s="350"/>
      <c r="CA4" s="223"/>
      <c r="CB4" s="198"/>
      <c r="CC4" s="703"/>
      <c r="CD4" s="321" t="s">
        <v>728</v>
      </c>
    </row>
    <row r="5" spans="1:82" s="148" customFormat="1" ht="15" customHeight="1">
      <c r="A5" s="225"/>
      <c r="D5" s="304"/>
      <c r="E5" s="437"/>
      <c r="F5" s="386"/>
      <c r="G5" s="349"/>
      <c r="H5" s="456"/>
      <c r="I5" s="349"/>
      <c r="J5" s="185"/>
      <c r="K5" s="349"/>
      <c r="L5" s="349"/>
      <c r="M5" s="185"/>
      <c r="N5" s="185"/>
      <c r="O5" s="185"/>
      <c r="P5" s="185"/>
      <c r="Q5" s="185"/>
      <c r="R5" s="185"/>
      <c r="S5" s="351"/>
      <c r="T5" s="185"/>
      <c r="U5" s="358"/>
      <c r="V5" s="168"/>
      <c r="W5" s="186"/>
      <c r="X5" s="168"/>
      <c r="Y5" s="185"/>
      <c r="Z5" s="185"/>
      <c r="AA5" s="380"/>
      <c r="AB5" s="349"/>
      <c r="AC5" s="358"/>
      <c r="AD5" s="161"/>
      <c r="AE5" s="349"/>
      <c r="AF5" s="349"/>
      <c r="AG5" s="168"/>
      <c r="AH5" s="168"/>
      <c r="AI5" s="168"/>
      <c r="AJ5" s="349"/>
      <c r="AK5" s="349"/>
      <c r="AL5" s="349"/>
      <c r="AM5" s="168"/>
      <c r="AN5" s="168"/>
      <c r="AO5" s="168"/>
      <c r="AP5" s="168"/>
      <c r="AQ5" s="349"/>
      <c r="AR5" s="349"/>
      <c r="AS5" s="168"/>
      <c r="AT5" s="351"/>
      <c r="AU5" s="168"/>
      <c r="AV5" s="168"/>
      <c r="AW5" s="168"/>
      <c r="AX5" s="168"/>
      <c r="AY5" s="349"/>
      <c r="AZ5" s="349"/>
      <c r="BA5" s="349"/>
      <c r="BB5" s="351"/>
      <c r="BC5" s="349"/>
      <c r="BD5" s="351"/>
      <c r="BE5" s="168"/>
      <c r="BF5" s="168"/>
      <c r="BG5" s="390"/>
      <c r="BH5" s="390"/>
      <c r="BI5" s="390"/>
      <c r="BJ5" s="390"/>
      <c r="BK5" s="390"/>
      <c r="BL5" s="320" t="s">
        <v>727</v>
      </c>
      <c r="BM5" s="161"/>
      <c r="BN5" s="349"/>
      <c r="BO5" s="462"/>
      <c r="BP5" s="349"/>
      <c r="BQ5" s="349"/>
      <c r="BR5" s="168"/>
      <c r="BS5" s="349"/>
      <c r="BT5" s="349"/>
      <c r="BU5" s="349"/>
      <c r="BV5" s="168"/>
      <c r="BW5" s="168"/>
      <c r="BX5" s="349"/>
      <c r="BY5" s="349"/>
      <c r="BZ5" s="457"/>
      <c r="CA5" s="349"/>
      <c r="CB5" s="390"/>
      <c r="CC5" s="320" t="s">
        <v>728</v>
      </c>
      <c r="CD5" s="322" t="s">
        <v>730</v>
      </c>
    </row>
    <row r="6" spans="1:82" s="168" customFormat="1" ht="12" customHeight="1">
      <c r="A6" s="506"/>
      <c r="B6" s="507"/>
      <c r="C6" s="508"/>
      <c r="D6" s="508"/>
      <c r="E6" s="506"/>
      <c r="F6" s="509" t="s">
        <v>1</v>
      </c>
      <c r="G6" s="509" t="s">
        <v>1</v>
      </c>
      <c r="H6" s="509" t="s">
        <v>241</v>
      </c>
      <c r="I6" s="509" t="s">
        <v>742</v>
      </c>
      <c r="J6" s="509" t="s">
        <v>3</v>
      </c>
      <c r="K6" s="509" t="s">
        <v>5</v>
      </c>
      <c r="L6" s="509" t="s">
        <v>789</v>
      </c>
      <c r="M6" s="509" t="s">
        <v>15</v>
      </c>
      <c r="N6" s="509" t="s">
        <v>4</v>
      </c>
      <c r="O6" s="509" t="s">
        <v>558</v>
      </c>
      <c r="P6" s="509" t="s">
        <v>6</v>
      </c>
      <c r="Q6" s="509" t="s">
        <v>5</v>
      </c>
      <c r="R6" s="509" t="s">
        <v>215</v>
      </c>
      <c r="S6" s="509" t="s">
        <v>580</v>
      </c>
      <c r="T6" s="510" t="s">
        <v>3</v>
      </c>
      <c r="U6" s="511" t="s">
        <v>599</v>
      </c>
      <c r="V6" s="512" t="s">
        <v>621</v>
      </c>
      <c r="W6" s="513" t="s">
        <v>5</v>
      </c>
      <c r="X6" s="514" t="s">
        <v>5</v>
      </c>
      <c r="Y6" s="513" t="s">
        <v>3</v>
      </c>
      <c r="Z6" s="515" t="s">
        <v>117</v>
      </c>
      <c r="AA6" s="512" t="s">
        <v>600</v>
      </c>
      <c r="AB6" s="516" t="s">
        <v>606</v>
      </c>
      <c r="AC6" s="514"/>
      <c r="AD6" s="517" t="s">
        <v>19</v>
      </c>
      <c r="AE6" s="518" t="s">
        <v>7</v>
      </c>
      <c r="AF6" s="519" t="s">
        <v>7</v>
      </c>
      <c r="AG6" s="519" t="s">
        <v>7</v>
      </c>
      <c r="AH6" s="513" t="s">
        <v>221</v>
      </c>
      <c r="AI6" s="513" t="s">
        <v>221</v>
      </c>
      <c r="AJ6" s="515" t="s">
        <v>7</v>
      </c>
      <c r="AK6" s="515" t="s">
        <v>221</v>
      </c>
      <c r="AL6" s="513" t="s">
        <v>221</v>
      </c>
      <c r="AM6" s="513" t="s">
        <v>221</v>
      </c>
      <c r="AN6" s="513" t="s">
        <v>221</v>
      </c>
      <c r="AO6" s="513" t="s">
        <v>221</v>
      </c>
      <c r="AP6" s="513" t="s">
        <v>221</v>
      </c>
      <c r="AQ6" s="513" t="s">
        <v>221</v>
      </c>
      <c r="AR6" s="519" t="s">
        <v>7</v>
      </c>
      <c r="AS6" s="513" t="s">
        <v>221</v>
      </c>
      <c r="AT6" s="520" t="s">
        <v>7</v>
      </c>
      <c r="AU6" s="514" t="s">
        <v>7</v>
      </c>
      <c r="AV6" s="514" t="s">
        <v>7</v>
      </c>
      <c r="AW6" s="514" t="s">
        <v>7</v>
      </c>
      <c r="AX6" s="513" t="s">
        <v>7</v>
      </c>
      <c r="AY6" s="513" t="s">
        <v>7</v>
      </c>
      <c r="AZ6" s="513" t="s">
        <v>7</v>
      </c>
      <c r="BA6" s="513" t="s">
        <v>826</v>
      </c>
      <c r="BB6" s="513" t="s">
        <v>7</v>
      </c>
      <c r="BC6" s="513" t="s">
        <v>7</v>
      </c>
      <c r="BD6" s="513" t="s">
        <v>7</v>
      </c>
      <c r="BE6" s="520" t="s">
        <v>844</v>
      </c>
      <c r="BF6" s="521" t="s">
        <v>802</v>
      </c>
      <c r="BG6" s="520"/>
      <c r="BH6" s="520"/>
      <c r="BI6" s="520"/>
      <c r="BJ6" s="520"/>
      <c r="BK6" s="520"/>
      <c r="BL6" s="522" t="s">
        <v>830</v>
      </c>
      <c r="BM6" s="413"/>
      <c r="BN6" s="523" t="s">
        <v>7</v>
      </c>
      <c r="BO6" s="519"/>
      <c r="BP6" s="524" t="s">
        <v>7</v>
      </c>
      <c r="BQ6" s="524" t="s">
        <v>221</v>
      </c>
      <c r="BR6" s="520" t="s">
        <v>221</v>
      </c>
      <c r="BS6" s="520" t="s">
        <v>221</v>
      </c>
      <c r="BT6" s="520" t="s">
        <v>7</v>
      </c>
      <c r="BU6" s="520" t="s">
        <v>7</v>
      </c>
      <c r="BV6" s="520" t="s">
        <v>844</v>
      </c>
      <c r="BW6" s="525">
        <v>2026</v>
      </c>
      <c r="BX6" s="520" t="s">
        <v>7</v>
      </c>
      <c r="BY6" s="513" t="s">
        <v>826</v>
      </c>
      <c r="BZ6" s="513" t="s">
        <v>7</v>
      </c>
      <c r="CA6" s="513" t="s">
        <v>7</v>
      </c>
      <c r="CB6" s="520"/>
      <c r="CC6" s="522" t="s">
        <v>815</v>
      </c>
      <c r="CD6" s="526" t="s">
        <v>876</v>
      </c>
    </row>
    <row r="7" spans="1:82" s="168" customFormat="1">
      <c r="A7" s="527" t="s">
        <v>8</v>
      </c>
      <c r="B7" s="528"/>
      <c r="E7" s="529" t="s">
        <v>245</v>
      </c>
      <c r="F7" s="530" t="s">
        <v>10</v>
      </c>
      <c r="G7" s="530" t="s">
        <v>243</v>
      </c>
      <c r="H7" s="530" t="s">
        <v>120</v>
      </c>
      <c r="I7" s="530" t="s">
        <v>760</v>
      </c>
      <c r="J7" s="530" t="s">
        <v>13</v>
      </c>
      <c r="K7" s="530" t="s">
        <v>14</v>
      </c>
      <c r="L7" s="530" t="s">
        <v>28</v>
      </c>
      <c r="M7" s="530" t="s">
        <v>28</v>
      </c>
      <c r="N7" s="530" t="s">
        <v>16</v>
      </c>
      <c r="O7" s="530" t="s">
        <v>616</v>
      </c>
      <c r="P7" s="530" t="s">
        <v>18</v>
      </c>
      <c r="Q7" s="530" t="s">
        <v>216</v>
      </c>
      <c r="R7" s="530" t="s">
        <v>646</v>
      </c>
      <c r="S7" s="530" t="s">
        <v>174</v>
      </c>
      <c r="T7" s="531" t="s">
        <v>582</v>
      </c>
      <c r="U7" s="532" t="s">
        <v>619</v>
      </c>
      <c r="V7" s="533" t="s">
        <v>617</v>
      </c>
      <c r="W7" s="529" t="s">
        <v>17</v>
      </c>
      <c r="X7" s="534" t="s">
        <v>120</v>
      </c>
      <c r="Y7" s="529" t="s">
        <v>115</v>
      </c>
      <c r="Z7" s="533" t="s">
        <v>2</v>
      </c>
      <c r="AA7" s="533" t="s">
        <v>790</v>
      </c>
      <c r="AB7" s="535" t="s">
        <v>12</v>
      </c>
      <c r="AC7" s="536"/>
      <c r="AD7" s="537" t="s">
        <v>32</v>
      </c>
      <c r="AE7" s="413" t="s">
        <v>667</v>
      </c>
      <c r="AF7" s="538" t="s">
        <v>69</v>
      </c>
      <c r="AG7" s="538" t="s">
        <v>584</v>
      </c>
      <c r="AH7" s="529" t="s">
        <v>615</v>
      </c>
      <c r="AI7" s="529" t="s">
        <v>796</v>
      </c>
      <c r="AJ7" s="533" t="s">
        <v>668</v>
      </c>
      <c r="AK7" s="533" t="s">
        <v>213</v>
      </c>
      <c r="AL7" s="529" t="s">
        <v>213</v>
      </c>
      <c r="AM7" s="529" t="s">
        <v>226</v>
      </c>
      <c r="AN7" s="529" t="s">
        <v>617</v>
      </c>
      <c r="AO7" s="529" t="s">
        <v>723</v>
      </c>
      <c r="AP7" s="529" t="s">
        <v>798</v>
      </c>
      <c r="AQ7" s="529" t="s">
        <v>14</v>
      </c>
      <c r="AR7" s="538" t="s">
        <v>630</v>
      </c>
      <c r="AS7" s="529" t="s">
        <v>607</v>
      </c>
      <c r="AT7" s="539" t="s">
        <v>724</v>
      </c>
      <c r="AU7" s="539" t="s">
        <v>850</v>
      </c>
      <c r="AV7" s="539" t="s">
        <v>749</v>
      </c>
      <c r="AW7" s="539" t="s">
        <v>850</v>
      </c>
      <c r="AX7" s="529" t="s">
        <v>837</v>
      </c>
      <c r="AY7" s="529" t="s">
        <v>857</v>
      </c>
      <c r="AZ7" s="529" t="s">
        <v>875</v>
      </c>
      <c r="BA7" s="529" t="s">
        <v>744</v>
      </c>
      <c r="BB7" s="529" t="s">
        <v>854</v>
      </c>
      <c r="BC7" s="529" t="s">
        <v>835</v>
      </c>
      <c r="BD7" s="529" t="s">
        <v>840</v>
      </c>
      <c r="BE7" s="539" t="s">
        <v>850</v>
      </c>
      <c r="BF7" s="539" t="s">
        <v>804</v>
      </c>
      <c r="BG7" s="539"/>
      <c r="BH7" s="539"/>
      <c r="BI7" s="539"/>
      <c r="BJ7" s="539"/>
      <c r="BK7" s="539"/>
      <c r="BL7" s="537" t="s">
        <v>729</v>
      </c>
      <c r="BM7" s="540"/>
      <c r="BN7" s="529" t="s">
        <v>860</v>
      </c>
      <c r="BO7" s="538"/>
      <c r="BP7" s="533" t="s">
        <v>668</v>
      </c>
      <c r="BQ7" s="533" t="s">
        <v>213</v>
      </c>
      <c r="BR7" s="539" t="s">
        <v>226</v>
      </c>
      <c r="BS7" s="539" t="s">
        <v>14</v>
      </c>
      <c r="BT7" s="529" t="s">
        <v>857</v>
      </c>
      <c r="BU7" s="539" t="s">
        <v>724</v>
      </c>
      <c r="BV7" s="539" t="s">
        <v>842</v>
      </c>
      <c r="BW7" s="539" t="s">
        <v>804</v>
      </c>
      <c r="BX7" s="539" t="s">
        <v>796</v>
      </c>
      <c r="BY7" s="529" t="s">
        <v>744</v>
      </c>
      <c r="BZ7" s="529" t="s">
        <v>790</v>
      </c>
      <c r="CA7" s="529" t="s">
        <v>835</v>
      </c>
      <c r="CB7" s="539"/>
      <c r="CC7" s="537" t="s">
        <v>729</v>
      </c>
      <c r="CD7" s="541" t="s">
        <v>729</v>
      </c>
    </row>
    <row r="8" spans="1:82" s="168" customFormat="1">
      <c r="A8" s="437" t="s">
        <v>20</v>
      </c>
      <c r="B8" s="542"/>
      <c r="C8" s="543"/>
      <c r="D8" s="543" t="s">
        <v>21</v>
      </c>
      <c r="E8" s="544" t="s">
        <v>246</v>
      </c>
      <c r="F8" s="545" t="s">
        <v>23</v>
      </c>
      <c r="G8" s="545" t="s">
        <v>244</v>
      </c>
      <c r="H8" s="545" t="s">
        <v>75</v>
      </c>
      <c r="I8" s="545" t="s">
        <v>75</v>
      </c>
      <c r="J8" s="545" t="s">
        <v>26</v>
      </c>
      <c r="K8" s="545" t="s">
        <v>27</v>
      </c>
      <c r="L8" s="545" t="s">
        <v>75</v>
      </c>
      <c r="M8" s="545" t="s">
        <v>75</v>
      </c>
      <c r="N8" s="545" t="s">
        <v>29</v>
      </c>
      <c r="O8" s="545" t="s">
        <v>28</v>
      </c>
      <c r="P8" s="545" t="s">
        <v>598</v>
      </c>
      <c r="Q8" s="545" t="s">
        <v>26</v>
      </c>
      <c r="R8" s="545" t="s">
        <v>242</v>
      </c>
      <c r="S8" s="545" t="s">
        <v>75</v>
      </c>
      <c r="T8" s="546" t="s">
        <v>583</v>
      </c>
      <c r="U8" s="547" t="s">
        <v>620</v>
      </c>
      <c r="V8" s="548" t="s">
        <v>28</v>
      </c>
      <c r="W8" s="544" t="s">
        <v>30</v>
      </c>
      <c r="X8" s="549" t="s">
        <v>846</v>
      </c>
      <c r="Y8" s="544" t="s">
        <v>116</v>
      </c>
      <c r="Z8" s="548" t="s">
        <v>24</v>
      </c>
      <c r="AA8" s="548" t="s">
        <v>605</v>
      </c>
      <c r="AB8" s="550" t="s">
        <v>25</v>
      </c>
      <c r="AC8" s="551"/>
      <c r="AD8" s="552" t="s">
        <v>75</v>
      </c>
      <c r="AE8" s="553" t="s">
        <v>25</v>
      </c>
      <c r="AF8" s="554" t="s">
        <v>671</v>
      </c>
      <c r="AG8" s="554" t="s">
        <v>174</v>
      </c>
      <c r="AH8" s="544" t="s">
        <v>614</v>
      </c>
      <c r="AI8" s="544" t="s">
        <v>797</v>
      </c>
      <c r="AJ8" s="548" t="s">
        <v>628</v>
      </c>
      <c r="AK8" s="548" t="s">
        <v>799</v>
      </c>
      <c r="AL8" s="544" t="s">
        <v>214</v>
      </c>
      <c r="AM8" s="544" t="s">
        <v>227</v>
      </c>
      <c r="AN8" s="544"/>
      <c r="AO8" s="544" t="s">
        <v>213</v>
      </c>
      <c r="AP8" s="544" t="s">
        <v>213</v>
      </c>
      <c r="AQ8" s="544" t="s">
        <v>27</v>
      </c>
      <c r="AR8" s="554" t="s">
        <v>28</v>
      </c>
      <c r="AS8" s="544" t="s">
        <v>28</v>
      </c>
      <c r="AT8" s="555" t="s">
        <v>725</v>
      </c>
      <c r="AU8" s="549" t="s">
        <v>868</v>
      </c>
      <c r="AV8" s="549" t="s">
        <v>28</v>
      </c>
      <c r="AW8" s="549" t="s">
        <v>866</v>
      </c>
      <c r="AX8" s="544" t="s">
        <v>838</v>
      </c>
      <c r="AY8" s="544" t="s">
        <v>28</v>
      </c>
      <c r="AZ8" s="544" t="s">
        <v>28</v>
      </c>
      <c r="BA8" s="544" t="s">
        <v>746</v>
      </c>
      <c r="BB8" s="544" t="s">
        <v>853</v>
      </c>
      <c r="BC8" s="544" t="s">
        <v>30</v>
      </c>
      <c r="BD8" s="544" t="s">
        <v>28</v>
      </c>
      <c r="BE8" s="555" t="s">
        <v>843</v>
      </c>
      <c r="BF8" s="555" t="s">
        <v>803</v>
      </c>
      <c r="BG8" s="555"/>
      <c r="BH8" s="555"/>
      <c r="BI8" s="555"/>
      <c r="BJ8" s="555"/>
      <c r="BK8" s="555"/>
      <c r="BL8" s="552" t="s">
        <v>32</v>
      </c>
      <c r="BM8" s="413"/>
      <c r="BN8" s="544" t="s">
        <v>861</v>
      </c>
      <c r="BO8" s="554"/>
      <c r="BP8" s="548" t="s">
        <v>628</v>
      </c>
      <c r="BQ8" s="548" t="s">
        <v>799</v>
      </c>
      <c r="BR8" s="555" t="s">
        <v>227</v>
      </c>
      <c r="BS8" s="555" t="s">
        <v>27</v>
      </c>
      <c r="BT8" s="555" t="s">
        <v>28</v>
      </c>
      <c r="BU8" s="555" t="s">
        <v>725</v>
      </c>
      <c r="BV8" s="555" t="s">
        <v>845</v>
      </c>
      <c r="BW8" s="555" t="s">
        <v>803</v>
      </c>
      <c r="BX8" s="555"/>
      <c r="BY8" s="544" t="s">
        <v>746</v>
      </c>
      <c r="BZ8" s="544" t="s">
        <v>628</v>
      </c>
      <c r="CA8" s="544" t="s">
        <v>30</v>
      </c>
      <c r="CB8" s="555"/>
      <c r="CC8" s="552" t="s">
        <v>32</v>
      </c>
      <c r="CD8" s="556" t="s">
        <v>32</v>
      </c>
    </row>
    <row r="9" spans="1:82" s="557" customFormat="1">
      <c r="B9" s="194" t="s">
        <v>529</v>
      </c>
      <c r="E9" s="558">
        <v>1</v>
      </c>
      <c r="F9" s="559">
        <f>1+0.01</f>
        <v>1.01</v>
      </c>
      <c r="G9" s="559">
        <f>F9+0.01</f>
        <v>1.02</v>
      </c>
      <c r="H9" s="559">
        <f>G9+0.01</f>
        <v>1.03</v>
      </c>
      <c r="I9" s="559">
        <f>H9+0.01</f>
        <v>1.04</v>
      </c>
      <c r="J9" s="559">
        <v>2.0099999999999998</v>
      </c>
      <c r="K9" s="559">
        <f>J9+0.01</f>
        <v>2.0199999999999996</v>
      </c>
      <c r="L9" s="559">
        <f t="shared" ref="L9:S9" si="0">K9+0.01</f>
        <v>2.0299999999999994</v>
      </c>
      <c r="M9" s="559">
        <f t="shared" si="0"/>
        <v>2.0399999999999991</v>
      </c>
      <c r="N9" s="559">
        <f t="shared" si="0"/>
        <v>2.0499999999999989</v>
      </c>
      <c r="O9" s="559">
        <f t="shared" si="0"/>
        <v>2.0599999999999987</v>
      </c>
      <c r="P9" s="559">
        <f t="shared" si="0"/>
        <v>2.0699999999999985</v>
      </c>
      <c r="Q9" s="559">
        <f t="shared" si="0"/>
        <v>2.0799999999999983</v>
      </c>
      <c r="R9" s="559">
        <f t="shared" si="0"/>
        <v>2.0899999999999981</v>
      </c>
      <c r="S9" s="559">
        <f t="shared" si="0"/>
        <v>2.0999999999999979</v>
      </c>
      <c r="T9" s="559">
        <f t="shared" ref="T9" si="1">S9+0.01</f>
        <v>2.1099999999999977</v>
      </c>
      <c r="U9" s="560">
        <f t="shared" ref="U9" si="2">T9+0.01</f>
        <v>2.1199999999999974</v>
      </c>
      <c r="V9" s="560">
        <f t="shared" ref="V9" si="3">U9+0.01</f>
        <v>2.1299999999999972</v>
      </c>
      <c r="W9" s="559">
        <f t="shared" ref="W9:Y9" si="4">V9+0.01</f>
        <v>2.139999999999997</v>
      </c>
      <c r="X9" s="559">
        <f t="shared" si="4"/>
        <v>2.1499999999999968</v>
      </c>
      <c r="Y9" s="559">
        <f t="shared" si="4"/>
        <v>2.1599999999999966</v>
      </c>
      <c r="Z9" s="560">
        <f t="shared" ref="Z9" si="5">Y9+0.01</f>
        <v>2.1699999999999964</v>
      </c>
      <c r="AA9" s="560">
        <f t="shared" ref="AA9" si="6">Z9+0.01</f>
        <v>2.1799999999999962</v>
      </c>
      <c r="AB9" s="560">
        <f>AA9+0.01</f>
        <v>2.1899999999999959</v>
      </c>
      <c r="AC9" s="560"/>
      <c r="AD9" s="561" t="s">
        <v>557</v>
      </c>
      <c r="AE9" s="559" t="s">
        <v>669</v>
      </c>
      <c r="AF9" s="559" t="s">
        <v>670</v>
      </c>
      <c r="AG9" s="559">
        <v>3.01</v>
      </c>
      <c r="AH9" s="559">
        <f>AG9+0.01</f>
        <v>3.0199999999999996</v>
      </c>
      <c r="AI9" s="559">
        <f t="shared" ref="AI9:AX9" si="7">AH9+0.01</f>
        <v>3.0299999999999994</v>
      </c>
      <c r="AJ9" s="560">
        <f t="shared" si="7"/>
        <v>3.0399999999999991</v>
      </c>
      <c r="AK9" s="560">
        <f t="shared" ref="AK9" si="8">AJ9+0.01</f>
        <v>3.0499999999999989</v>
      </c>
      <c r="AL9" s="559">
        <f t="shared" ref="AL9" si="9">AK9+0.01</f>
        <v>3.0599999999999987</v>
      </c>
      <c r="AM9" s="559">
        <f t="shared" ref="AM9:AN9" si="10">AL9+0.01</f>
        <v>3.0699999999999985</v>
      </c>
      <c r="AN9" s="559">
        <f t="shared" si="10"/>
        <v>3.0799999999999983</v>
      </c>
      <c r="AO9" s="559">
        <f t="shared" ref="AO9" si="11">AN9+0.01</f>
        <v>3.0899999999999981</v>
      </c>
      <c r="AP9" s="559">
        <f t="shared" ref="AP9" si="12">AO9+0.01</f>
        <v>3.0999999999999979</v>
      </c>
      <c r="AQ9" s="559">
        <f t="shared" ref="AQ9" si="13">AP9+0.01</f>
        <v>3.1099999999999977</v>
      </c>
      <c r="AR9" s="559">
        <f t="shared" ref="AR9" si="14">AQ9+0.01</f>
        <v>3.1199999999999974</v>
      </c>
      <c r="AS9" s="559">
        <f t="shared" ref="AS9" si="15">AR9+0.01</f>
        <v>3.1299999999999972</v>
      </c>
      <c r="AT9" s="559">
        <f t="shared" ref="AT9" si="16">AS9+0.01</f>
        <v>3.139999999999997</v>
      </c>
      <c r="AU9" s="559">
        <f t="shared" ref="AU9" si="17">AT9+0.01</f>
        <v>3.1499999999999968</v>
      </c>
      <c r="AV9" s="559">
        <f t="shared" ref="AV9" si="18">AU9+0.01</f>
        <v>3.1599999999999966</v>
      </c>
      <c r="AW9" s="559">
        <f t="shared" ref="AW9" si="19">AV9+0.01</f>
        <v>3.1699999999999964</v>
      </c>
      <c r="AX9" s="559">
        <f t="shared" si="7"/>
        <v>3.1799999999999962</v>
      </c>
      <c r="AY9" s="559">
        <f t="shared" ref="AY9:AZ9" si="20">AX9+0.01</f>
        <v>3.1899999999999959</v>
      </c>
      <c r="AZ9" s="559">
        <f t="shared" si="20"/>
        <v>3.1999999999999957</v>
      </c>
      <c r="BA9" s="559">
        <f>AZ9+0.01</f>
        <v>3.2099999999999955</v>
      </c>
      <c r="BB9" s="559">
        <f t="shared" ref="BB9" si="21">BA9+0.01</f>
        <v>3.2199999999999953</v>
      </c>
      <c r="BC9" s="559">
        <f t="shared" ref="BC9" si="22">BB9+0.01</f>
        <v>3.2299999999999951</v>
      </c>
      <c r="BD9" s="559">
        <f t="shared" ref="BD9" si="23">BC9+0.01</f>
        <v>3.2399999999999949</v>
      </c>
      <c r="BE9" s="559">
        <v>4.01</v>
      </c>
      <c r="BF9" s="559">
        <f t="shared" ref="BF9" si="24">BE9+0.01</f>
        <v>4.0199999999999996</v>
      </c>
      <c r="BG9" s="559"/>
      <c r="BH9" s="559"/>
      <c r="BI9" s="559"/>
      <c r="BJ9" s="559"/>
      <c r="BK9" s="559"/>
      <c r="BL9" s="562" t="s">
        <v>618</v>
      </c>
      <c r="BN9" s="559" t="s">
        <v>820</v>
      </c>
      <c r="BO9" s="559"/>
      <c r="BP9" s="560">
        <f>5.01</f>
        <v>5.01</v>
      </c>
      <c r="BQ9" s="560">
        <f>BP9+0.01</f>
        <v>5.0199999999999996</v>
      </c>
      <c r="BR9" s="559">
        <f t="shared" ref="BR9:BS9" si="25">BQ9+0.01</f>
        <v>5.0299999999999994</v>
      </c>
      <c r="BS9" s="559">
        <f t="shared" si="25"/>
        <v>5.0399999999999991</v>
      </c>
      <c r="BT9" s="559">
        <f t="shared" ref="BT9" si="26">BS9+0.01</f>
        <v>5.0499999999999989</v>
      </c>
      <c r="BU9" s="559">
        <f t="shared" ref="BU9" si="27">BT9+0.01</f>
        <v>5.0599999999999987</v>
      </c>
      <c r="BV9" s="559">
        <f t="shared" ref="BV9" si="28">BU9+0.01</f>
        <v>5.0699999999999985</v>
      </c>
      <c r="BW9" s="559">
        <f t="shared" ref="BW9:BX9" si="29">BV9+0.01</f>
        <v>5.0799999999999983</v>
      </c>
      <c r="BX9" s="559">
        <f t="shared" si="29"/>
        <v>5.0899999999999981</v>
      </c>
      <c r="BY9" s="559">
        <f t="shared" ref="BY9" si="30">BX9+0.01</f>
        <v>5.0999999999999979</v>
      </c>
      <c r="BZ9" s="559">
        <f t="shared" ref="BZ9:CA9" si="31">BY9+0.01</f>
        <v>5.1099999999999977</v>
      </c>
      <c r="CA9" s="559">
        <f t="shared" si="31"/>
        <v>5.1199999999999974</v>
      </c>
      <c r="CB9" s="559"/>
      <c r="CC9" s="563" t="s">
        <v>618</v>
      </c>
      <c r="CD9" s="564" t="s">
        <v>731</v>
      </c>
    </row>
    <row r="10" spans="1:82" s="557" customFormat="1">
      <c r="B10" s="194" t="s">
        <v>530</v>
      </c>
      <c r="E10" s="558" t="s">
        <v>531</v>
      </c>
      <c r="F10" s="559" t="s">
        <v>532</v>
      </c>
      <c r="G10" s="559" t="s">
        <v>533</v>
      </c>
      <c r="H10" s="559" t="s">
        <v>534</v>
      </c>
      <c r="I10" s="559" t="s">
        <v>788</v>
      </c>
      <c r="J10" s="559" t="s">
        <v>535</v>
      </c>
      <c r="K10" s="559" t="s">
        <v>562</v>
      </c>
      <c r="L10" s="559" t="s">
        <v>536</v>
      </c>
      <c r="M10" s="559" t="s">
        <v>537</v>
      </c>
      <c r="N10" s="559" t="s">
        <v>538</v>
      </c>
      <c r="O10" s="559" t="s">
        <v>539</v>
      </c>
      <c r="P10" s="559" t="s">
        <v>560</v>
      </c>
      <c r="Q10" s="559" t="s">
        <v>542</v>
      </c>
      <c r="R10" s="559" t="s">
        <v>543</v>
      </c>
      <c r="S10" s="559" t="s">
        <v>581</v>
      </c>
      <c r="T10" s="559" t="s">
        <v>586</v>
      </c>
      <c r="U10" s="560" t="s">
        <v>544</v>
      </c>
      <c r="V10" s="565" t="s">
        <v>545</v>
      </c>
      <c r="W10" s="559" t="s">
        <v>546</v>
      </c>
      <c r="X10" s="566" t="s">
        <v>847</v>
      </c>
      <c r="Y10" s="559" t="s">
        <v>540</v>
      </c>
      <c r="Z10" s="560" t="s">
        <v>541</v>
      </c>
      <c r="AA10" s="565" t="s">
        <v>737</v>
      </c>
      <c r="AB10" s="560" t="s">
        <v>608</v>
      </c>
      <c r="AC10" s="560"/>
      <c r="AD10" s="561"/>
      <c r="AE10" s="559" t="s">
        <v>672</v>
      </c>
      <c r="AF10" s="559" t="s">
        <v>673</v>
      </c>
      <c r="AG10" s="559" t="s">
        <v>585</v>
      </c>
      <c r="AH10" s="559" t="s">
        <v>596</v>
      </c>
      <c r="AI10" s="559" t="s">
        <v>794</v>
      </c>
      <c r="AJ10" s="560" t="s">
        <v>738</v>
      </c>
      <c r="AK10" s="560" t="s">
        <v>547</v>
      </c>
      <c r="AL10" s="559" t="s">
        <v>548</v>
      </c>
      <c r="AM10" s="559" t="s">
        <v>549</v>
      </c>
      <c r="AN10" s="559" t="s">
        <v>873</v>
      </c>
      <c r="AO10" s="559" t="s">
        <v>726</v>
      </c>
      <c r="AP10" s="559" t="s">
        <v>795</v>
      </c>
      <c r="AQ10" s="559" t="s">
        <v>561</v>
      </c>
      <c r="AR10" s="566" t="s">
        <v>647</v>
      </c>
      <c r="AS10" s="559" t="s">
        <v>629</v>
      </c>
      <c r="AT10" s="566" t="s">
        <v>739</v>
      </c>
      <c r="AU10" s="566" t="s">
        <v>869</v>
      </c>
      <c r="AV10" s="566" t="s">
        <v>841</v>
      </c>
      <c r="AW10" s="566" t="s">
        <v>867</v>
      </c>
      <c r="AX10" s="559" t="s">
        <v>851</v>
      </c>
      <c r="AY10" s="559" t="s">
        <v>858</v>
      </c>
      <c r="AZ10" s="559" t="s">
        <v>874</v>
      </c>
      <c r="BA10" s="559" t="s">
        <v>745</v>
      </c>
      <c r="BB10" s="559" t="s">
        <v>592</v>
      </c>
      <c r="BC10" s="559" t="s">
        <v>836</v>
      </c>
      <c r="BD10" s="559" t="s">
        <v>839</v>
      </c>
      <c r="BE10" s="566" t="s">
        <v>848</v>
      </c>
      <c r="BF10" s="566" t="s">
        <v>801</v>
      </c>
      <c r="BG10" s="566"/>
      <c r="BH10" s="566"/>
      <c r="BI10" s="566"/>
      <c r="BJ10" s="566"/>
      <c r="BK10" s="566"/>
      <c r="BL10" s="562"/>
      <c r="BN10" s="559" t="s">
        <v>821</v>
      </c>
      <c r="BO10" s="559"/>
      <c r="BP10" s="560" t="s">
        <v>805</v>
      </c>
      <c r="BQ10" s="560" t="s">
        <v>806</v>
      </c>
      <c r="BR10" s="566" t="s">
        <v>807</v>
      </c>
      <c r="BS10" s="566" t="s">
        <v>808</v>
      </c>
      <c r="BT10" s="566" t="s">
        <v>859</v>
      </c>
      <c r="BU10" s="566" t="s">
        <v>809</v>
      </c>
      <c r="BV10" s="566" t="s">
        <v>849</v>
      </c>
      <c r="BW10" s="566" t="s">
        <v>810</v>
      </c>
      <c r="BX10" s="566" t="s">
        <v>870</v>
      </c>
      <c r="BY10" s="559" t="s">
        <v>811</v>
      </c>
      <c r="BZ10" s="566" t="s">
        <v>818</v>
      </c>
      <c r="CA10" s="559" t="s">
        <v>863</v>
      </c>
      <c r="CB10" s="566"/>
      <c r="CC10" s="278"/>
      <c r="CD10" s="566"/>
    </row>
    <row r="11" spans="1:82" s="191" customFormat="1" ht="5.25" customHeight="1">
      <c r="B11" s="194"/>
      <c r="E11" s="192"/>
      <c r="F11" s="193"/>
      <c r="G11" s="193"/>
      <c r="H11" s="193"/>
      <c r="I11" s="193"/>
      <c r="J11" s="193"/>
      <c r="K11" s="193"/>
      <c r="L11" s="193"/>
      <c r="M11" s="193"/>
      <c r="N11" s="193"/>
      <c r="O11" s="193"/>
      <c r="P11" s="193"/>
      <c r="Q11" s="193"/>
      <c r="R11" s="193"/>
      <c r="S11" s="193"/>
      <c r="T11" s="193"/>
      <c r="U11" s="359"/>
      <c r="V11" s="371"/>
      <c r="W11" s="193"/>
      <c r="X11" s="353"/>
      <c r="Y11" s="193"/>
      <c r="Z11" s="359"/>
      <c r="AA11" s="371"/>
      <c r="AB11" s="359"/>
      <c r="AC11" s="359"/>
      <c r="AD11" s="403"/>
      <c r="AE11" s="193"/>
      <c r="AF11" s="193"/>
      <c r="AG11" s="193"/>
      <c r="AH11" s="388"/>
      <c r="AI11" s="193"/>
      <c r="AJ11" s="359"/>
      <c r="AK11" s="359"/>
      <c r="AL11" s="193"/>
      <c r="AM11" s="193"/>
      <c r="AN11" s="193"/>
      <c r="AO11" s="193"/>
      <c r="AP11" s="193"/>
      <c r="AQ11" s="193"/>
      <c r="AR11" s="353"/>
      <c r="AS11" s="193"/>
      <c r="AT11" s="353"/>
      <c r="AU11" s="353"/>
      <c r="AV11" s="353"/>
      <c r="AW11" s="353"/>
      <c r="AX11" s="193"/>
      <c r="AY11" s="193"/>
      <c r="AZ11" s="193"/>
      <c r="BA11" s="193"/>
      <c r="BB11" s="193"/>
      <c r="BC11" s="193"/>
      <c r="BD11" s="193"/>
      <c r="BE11" s="353"/>
      <c r="BF11" s="353"/>
      <c r="BG11" s="353"/>
      <c r="BH11" s="353"/>
      <c r="BI11" s="353"/>
      <c r="BJ11" s="353"/>
      <c r="BK11" s="353"/>
      <c r="BL11" s="310"/>
      <c r="BN11" s="359"/>
      <c r="BO11" s="359"/>
      <c r="BP11" s="359"/>
      <c r="BQ11" s="359"/>
      <c r="BR11" s="353"/>
      <c r="BS11" s="353"/>
      <c r="BT11" s="353"/>
      <c r="BU11" s="353"/>
      <c r="BV11" s="353"/>
      <c r="BW11" s="353"/>
      <c r="BX11" s="353"/>
      <c r="BY11" s="353"/>
      <c r="BZ11" s="353"/>
      <c r="CA11" s="353"/>
      <c r="CB11" s="353"/>
      <c r="CC11" s="278"/>
      <c r="CD11" s="353"/>
    </row>
    <row r="12" spans="1:82">
      <c r="B12" s="167" t="s">
        <v>178</v>
      </c>
      <c r="AD12" s="397"/>
      <c r="AE12" s="182"/>
      <c r="AF12" s="182"/>
      <c r="BL12" s="312"/>
      <c r="CC12" s="279"/>
    </row>
    <row r="13" spans="1:82" s="177" customFormat="1">
      <c r="A13" s="176">
        <v>1</v>
      </c>
      <c r="B13" s="177" t="s">
        <v>179</v>
      </c>
      <c r="E13" s="177">
        <f>'ROO INPUT 1.00'!F14</f>
        <v>600149.4</v>
      </c>
      <c r="F13" s="190">
        <v>0</v>
      </c>
      <c r="G13" s="190">
        <v>0</v>
      </c>
      <c r="H13" s="190">
        <v>0</v>
      </c>
      <c r="I13" s="396">
        <v>-22988</v>
      </c>
      <c r="J13" s="190">
        <v>-20672</v>
      </c>
      <c r="K13" s="190">
        <v>0</v>
      </c>
      <c r="L13" s="190">
        <v>0</v>
      </c>
      <c r="M13" s="190">
        <v>0</v>
      </c>
      <c r="N13" s="190">
        <v>0</v>
      </c>
      <c r="O13" s="190">
        <v>0</v>
      </c>
      <c r="P13" s="190">
        <v>0</v>
      </c>
      <c r="Q13" s="190">
        <v>0</v>
      </c>
      <c r="R13" s="190">
        <v>0</v>
      </c>
      <c r="S13" s="190">
        <v>-10306</v>
      </c>
      <c r="T13" s="190">
        <v>8983</v>
      </c>
      <c r="U13" s="360">
        <v>0</v>
      </c>
      <c r="V13" s="360">
        <v>0</v>
      </c>
      <c r="W13" s="190">
        <v>0</v>
      </c>
      <c r="X13" s="190">
        <v>0</v>
      </c>
      <c r="Y13" s="190">
        <v>3596</v>
      </c>
      <c r="Z13" s="360">
        <v>0</v>
      </c>
      <c r="AA13" s="360">
        <v>0</v>
      </c>
      <c r="AB13" s="360">
        <v>0</v>
      </c>
      <c r="AC13" s="360">
        <v>0</v>
      </c>
      <c r="AD13" s="398">
        <f>SUM(E13:AC13)</f>
        <v>558762.4</v>
      </c>
      <c r="AE13" s="190">
        <v>0</v>
      </c>
      <c r="AF13" s="190">
        <v>0</v>
      </c>
      <c r="AG13" s="190">
        <v>30477</v>
      </c>
      <c r="AH13" s="190">
        <v>0</v>
      </c>
      <c r="AI13" s="190">
        <v>0</v>
      </c>
      <c r="AJ13" s="360">
        <v>0</v>
      </c>
      <c r="AK13" s="360">
        <v>0</v>
      </c>
      <c r="AL13" s="190">
        <v>0</v>
      </c>
      <c r="AM13" s="190">
        <v>0</v>
      </c>
      <c r="AN13" s="190">
        <v>0</v>
      </c>
      <c r="AO13" s="190">
        <v>0</v>
      </c>
      <c r="AP13" s="190">
        <v>0</v>
      </c>
      <c r="AQ13" s="190">
        <v>0</v>
      </c>
      <c r="AR13" s="190">
        <v>0</v>
      </c>
      <c r="AS13" s="190">
        <v>0</v>
      </c>
      <c r="AT13" s="190">
        <v>0</v>
      </c>
      <c r="AU13" s="190">
        <v>0</v>
      </c>
      <c r="AV13" s="190">
        <v>0</v>
      </c>
      <c r="AW13" s="190">
        <v>0</v>
      </c>
      <c r="AX13" s="190">
        <v>0</v>
      </c>
      <c r="AY13" s="190">
        <v>0</v>
      </c>
      <c r="AZ13" s="190">
        <v>0</v>
      </c>
      <c r="BA13" s="190">
        <v>0</v>
      </c>
      <c r="BB13" s="190">
        <v>0</v>
      </c>
      <c r="BC13" s="190">
        <v>0</v>
      </c>
      <c r="BD13" s="190">
        <v>0</v>
      </c>
      <c r="BE13" s="190">
        <v>0</v>
      </c>
      <c r="BF13" s="190">
        <v>0</v>
      </c>
      <c r="BG13" s="190"/>
      <c r="BH13" s="190"/>
      <c r="BI13" s="190"/>
      <c r="BJ13" s="190"/>
      <c r="BK13" s="190"/>
      <c r="BL13" s="313">
        <f t="shared" ref="BL13:BL18" si="32">SUM(AD13:BK13)</f>
        <v>589239.4</v>
      </c>
      <c r="BM13" s="318"/>
      <c r="BN13" s="360">
        <v>0</v>
      </c>
      <c r="BO13" s="360">
        <v>0</v>
      </c>
      <c r="BP13" s="360">
        <v>0</v>
      </c>
      <c r="BQ13" s="360">
        <v>0</v>
      </c>
      <c r="BR13" s="190">
        <v>0</v>
      </c>
      <c r="BS13" s="190">
        <v>0</v>
      </c>
      <c r="BT13" s="190">
        <v>0</v>
      </c>
      <c r="BU13" s="190">
        <v>0</v>
      </c>
      <c r="BV13" s="190">
        <v>0</v>
      </c>
      <c r="BW13" s="190">
        <v>0</v>
      </c>
      <c r="BX13" s="190">
        <v>0</v>
      </c>
      <c r="BY13" s="190">
        <v>0</v>
      </c>
      <c r="BZ13" s="190">
        <v>0</v>
      </c>
      <c r="CA13" s="190">
        <v>0</v>
      </c>
      <c r="CB13" s="190"/>
      <c r="CC13" s="280">
        <f t="shared" ref="CC13:CC18" si="33">SUM(BL13:CB13)</f>
        <v>589239.4</v>
      </c>
      <c r="CD13" s="190">
        <f>CC13-BL13</f>
        <v>0</v>
      </c>
    </row>
    <row r="14" spans="1:82" s="178" customFormat="1">
      <c r="A14" s="176">
        <v>2</v>
      </c>
      <c r="B14" s="178" t="s">
        <v>180</v>
      </c>
      <c r="E14" s="178">
        <f>'ROO INPUT 1.00'!F15</f>
        <v>1324</v>
      </c>
      <c r="F14" s="183">
        <v>0</v>
      </c>
      <c r="G14" s="183">
        <v>0</v>
      </c>
      <c r="H14" s="183">
        <v>0</v>
      </c>
      <c r="I14" s="183">
        <v>0</v>
      </c>
      <c r="J14" s="183">
        <v>0</v>
      </c>
      <c r="K14" s="183">
        <v>0</v>
      </c>
      <c r="L14" s="183">
        <v>0</v>
      </c>
      <c r="M14" s="183">
        <v>0</v>
      </c>
      <c r="N14" s="183">
        <v>0</v>
      </c>
      <c r="O14" s="183">
        <v>0</v>
      </c>
      <c r="P14" s="183">
        <v>0</v>
      </c>
      <c r="Q14" s="183">
        <v>0</v>
      </c>
      <c r="R14" s="183">
        <v>0</v>
      </c>
      <c r="S14" s="183">
        <v>0</v>
      </c>
      <c r="T14" s="183">
        <v>0</v>
      </c>
      <c r="U14" s="356">
        <v>0</v>
      </c>
      <c r="V14" s="356">
        <v>0</v>
      </c>
      <c r="W14" s="183">
        <v>0</v>
      </c>
      <c r="X14" s="183">
        <v>0</v>
      </c>
      <c r="Y14" s="183">
        <v>0</v>
      </c>
      <c r="Z14" s="356">
        <v>0</v>
      </c>
      <c r="AA14" s="356">
        <v>0</v>
      </c>
      <c r="AB14" s="356">
        <v>0</v>
      </c>
      <c r="AC14" s="356">
        <v>0</v>
      </c>
      <c r="AD14" s="397">
        <f>SUM(E14:AC14)</f>
        <v>1324</v>
      </c>
      <c r="AE14" s="183">
        <v>0</v>
      </c>
      <c r="AF14" s="183">
        <v>0</v>
      </c>
      <c r="AG14" s="183">
        <v>0</v>
      </c>
      <c r="AH14" s="183">
        <v>0</v>
      </c>
      <c r="AI14" s="183">
        <v>0</v>
      </c>
      <c r="AJ14" s="356">
        <v>0</v>
      </c>
      <c r="AK14" s="356">
        <v>0</v>
      </c>
      <c r="AL14" s="183">
        <v>0</v>
      </c>
      <c r="AM14" s="183">
        <v>0</v>
      </c>
      <c r="AN14" s="183">
        <v>0</v>
      </c>
      <c r="AO14" s="183">
        <v>0</v>
      </c>
      <c r="AP14" s="183">
        <v>0</v>
      </c>
      <c r="AQ14" s="183">
        <v>0</v>
      </c>
      <c r="AR14" s="183">
        <v>0</v>
      </c>
      <c r="AS14" s="183">
        <v>0</v>
      </c>
      <c r="AT14" s="183">
        <v>0</v>
      </c>
      <c r="AU14" s="183">
        <v>0</v>
      </c>
      <c r="AV14" s="183">
        <v>0</v>
      </c>
      <c r="AW14" s="183">
        <v>0</v>
      </c>
      <c r="AX14" s="183">
        <v>0</v>
      </c>
      <c r="AY14" s="183">
        <v>0</v>
      </c>
      <c r="AZ14" s="183">
        <v>0</v>
      </c>
      <c r="BA14" s="183">
        <v>0</v>
      </c>
      <c r="BB14" s="183">
        <v>0</v>
      </c>
      <c r="BC14" s="183">
        <v>0</v>
      </c>
      <c r="BD14" s="183">
        <v>0</v>
      </c>
      <c r="BE14" s="183">
        <v>0</v>
      </c>
      <c r="BF14" s="183">
        <v>0</v>
      </c>
      <c r="BG14" s="183"/>
      <c r="BH14" s="183"/>
      <c r="BI14" s="183"/>
      <c r="BJ14" s="183"/>
      <c r="BK14" s="183"/>
      <c r="BL14" s="312">
        <f t="shared" si="32"/>
        <v>1324</v>
      </c>
      <c r="BM14" s="182"/>
      <c r="BN14" s="356">
        <v>0</v>
      </c>
      <c r="BO14" s="356">
        <v>0</v>
      </c>
      <c r="BP14" s="356">
        <v>0</v>
      </c>
      <c r="BQ14" s="356">
        <v>0</v>
      </c>
      <c r="BR14" s="183">
        <v>0</v>
      </c>
      <c r="BS14" s="183">
        <v>0</v>
      </c>
      <c r="BT14" s="183">
        <v>0</v>
      </c>
      <c r="BU14" s="183">
        <v>0</v>
      </c>
      <c r="BV14" s="183">
        <v>0</v>
      </c>
      <c r="BW14" s="183">
        <v>0</v>
      </c>
      <c r="BX14" s="183">
        <v>0</v>
      </c>
      <c r="BY14" s="183">
        <v>0</v>
      </c>
      <c r="BZ14" s="183">
        <v>0</v>
      </c>
      <c r="CA14" s="183">
        <v>0</v>
      </c>
      <c r="CB14" s="183"/>
      <c r="CC14" s="279">
        <f t="shared" si="33"/>
        <v>1324</v>
      </c>
      <c r="CD14" s="183">
        <f>CC14-BL14</f>
        <v>0</v>
      </c>
    </row>
    <row r="15" spans="1:82" s="178" customFormat="1">
      <c r="A15" s="176">
        <v>3</v>
      </c>
      <c r="B15" s="178" t="s">
        <v>181</v>
      </c>
      <c r="E15" s="307">
        <f>'ROO INPUT 1.00'!F16</f>
        <v>149694</v>
      </c>
      <c r="F15" s="186">
        <v>0</v>
      </c>
      <c r="G15" s="186">
        <v>0</v>
      </c>
      <c r="H15" s="186">
        <v>0</v>
      </c>
      <c r="I15" s="186">
        <v>0</v>
      </c>
      <c r="J15" s="186">
        <v>0</v>
      </c>
      <c r="K15" s="186">
        <v>0</v>
      </c>
      <c r="L15" s="186">
        <v>0</v>
      </c>
      <c r="M15" s="186">
        <v>0</v>
      </c>
      <c r="N15" s="186">
        <v>0</v>
      </c>
      <c r="O15" s="186">
        <v>0</v>
      </c>
      <c r="P15" s="186">
        <v>0</v>
      </c>
      <c r="Q15" s="186">
        <v>0</v>
      </c>
      <c r="R15" s="186">
        <v>0</v>
      </c>
      <c r="S15" s="186">
        <v>0</v>
      </c>
      <c r="T15" s="186">
        <v>0</v>
      </c>
      <c r="U15" s="361">
        <v>0</v>
      </c>
      <c r="V15" s="361">
        <v>0</v>
      </c>
      <c r="W15" s="186">
        <v>0</v>
      </c>
      <c r="X15" s="186">
        <v>0</v>
      </c>
      <c r="Y15" s="186">
        <v>0</v>
      </c>
      <c r="Z15" s="361">
        <v>0</v>
      </c>
      <c r="AA15" s="361">
        <v>0</v>
      </c>
      <c r="AB15" s="361">
        <v>-62356</v>
      </c>
      <c r="AC15" s="361">
        <v>0</v>
      </c>
      <c r="AD15" s="399">
        <f>SUM(E15:AC15)</f>
        <v>87338</v>
      </c>
      <c r="AE15" s="186">
        <v>49123</v>
      </c>
      <c r="AF15" s="186">
        <v>0</v>
      </c>
      <c r="AG15" s="186">
        <v>0</v>
      </c>
      <c r="AH15" s="186">
        <v>0</v>
      </c>
      <c r="AI15" s="186">
        <v>0</v>
      </c>
      <c r="AJ15" s="361">
        <v>0</v>
      </c>
      <c r="AK15" s="361">
        <v>0</v>
      </c>
      <c r="AL15" s="186">
        <v>0</v>
      </c>
      <c r="AM15" s="186">
        <v>0</v>
      </c>
      <c r="AN15" s="186">
        <v>0</v>
      </c>
      <c r="AO15" s="186">
        <v>0</v>
      </c>
      <c r="AP15" s="186">
        <v>0</v>
      </c>
      <c r="AQ15" s="186">
        <v>0</v>
      </c>
      <c r="AR15" s="186">
        <v>0</v>
      </c>
      <c r="AS15" s="186">
        <v>0</v>
      </c>
      <c r="AT15" s="186">
        <v>0</v>
      </c>
      <c r="AU15" s="186">
        <v>0</v>
      </c>
      <c r="AV15" s="186">
        <v>0</v>
      </c>
      <c r="AW15" s="186">
        <v>0</v>
      </c>
      <c r="AX15" s="186">
        <v>0</v>
      </c>
      <c r="AY15" s="186">
        <v>0</v>
      </c>
      <c r="AZ15" s="186">
        <v>0</v>
      </c>
      <c r="BA15" s="186">
        <v>0</v>
      </c>
      <c r="BB15" s="186">
        <v>0</v>
      </c>
      <c r="BC15" s="186">
        <v>0</v>
      </c>
      <c r="BD15" s="186">
        <v>0</v>
      </c>
      <c r="BE15" s="186">
        <v>0</v>
      </c>
      <c r="BF15" s="186">
        <v>0</v>
      </c>
      <c r="BG15" s="186"/>
      <c r="BH15" s="186"/>
      <c r="BI15" s="186"/>
      <c r="BJ15" s="186"/>
      <c r="BK15" s="186"/>
      <c r="BL15" s="314">
        <f t="shared" si="32"/>
        <v>136461</v>
      </c>
      <c r="BM15" s="182"/>
      <c r="BN15" s="361">
        <v>-77626</v>
      </c>
      <c r="BO15" s="361">
        <v>0</v>
      </c>
      <c r="BP15" s="361">
        <v>0</v>
      </c>
      <c r="BQ15" s="361">
        <v>0</v>
      </c>
      <c r="BR15" s="186">
        <v>0</v>
      </c>
      <c r="BS15" s="186">
        <v>0</v>
      </c>
      <c r="BT15" s="186">
        <v>0</v>
      </c>
      <c r="BU15" s="186">
        <v>0</v>
      </c>
      <c r="BV15" s="186">
        <v>0</v>
      </c>
      <c r="BW15" s="186">
        <v>0</v>
      </c>
      <c r="BX15" s="186">
        <v>0</v>
      </c>
      <c r="BY15" s="186">
        <v>0</v>
      </c>
      <c r="BZ15" s="186">
        <v>0</v>
      </c>
      <c r="CA15" s="186">
        <v>0</v>
      </c>
      <c r="CB15" s="186"/>
      <c r="CC15" s="281">
        <f t="shared" si="33"/>
        <v>58835</v>
      </c>
      <c r="CD15" s="430">
        <f>CC15-BL15</f>
        <v>-77626</v>
      </c>
    </row>
    <row r="16" spans="1:82" s="178" customFormat="1">
      <c r="A16" s="176">
        <v>4</v>
      </c>
      <c r="B16" s="178" t="s">
        <v>182</v>
      </c>
      <c r="E16" s="178">
        <f t="shared" ref="E16:AO16" si="34">SUM(E13:E15)</f>
        <v>751167.4</v>
      </c>
      <c r="F16" s="183">
        <f t="shared" si="34"/>
        <v>0</v>
      </c>
      <c r="G16" s="183">
        <f t="shared" si="34"/>
        <v>0</v>
      </c>
      <c r="H16" s="183">
        <f t="shared" si="34"/>
        <v>0</v>
      </c>
      <c r="I16" s="183">
        <f t="shared" ref="I16" si="35">SUM(I13:I15)</f>
        <v>-22988</v>
      </c>
      <c r="J16" s="183">
        <f t="shared" si="34"/>
        <v>-20672</v>
      </c>
      <c r="K16" s="183">
        <f t="shared" ref="K16" si="36">SUM(K13:K15)</f>
        <v>0</v>
      </c>
      <c r="L16" s="183">
        <f t="shared" si="34"/>
        <v>0</v>
      </c>
      <c r="M16" s="183">
        <f t="shared" si="34"/>
        <v>0</v>
      </c>
      <c r="N16" s="183">
        <f t="shared" si="34"/>
        <v>0</v>
      </c>
      <c r="O16" s="183">
        <f t="shared" si="34"/>
        <v>0</v>
      </c>
      <c r="P16" s="183">
        <f t="shared" si="34"/>
        <v>0</v>
      </c>
      <c r="Q16" s="183">
        <f t="shared" si="34"/>
        <v>0</v>
      </c>
      <c r="R16" s="183">
        <f t="shared" si="34"/>
        <v>0</v>
      </c>
      <c r="S16" s="183">
        <f t="shared" si="34"/>
        <v>-10306</v>
      </c>
      <c r="T16" s="183">
        <f t="shared" ref="T16" si="37">SUM(T13:T15)</f>
        <v>8983</v>
      </c>
      <c r="U16" s="356">
        <f>SUM(U13:U15)</f>
        <v>0</v>
      </c>
      <c r="V16" s="356">
        <f t="shared" ref="V16" si="38">SUM(V13:V15)</f>
        <v>0</v>
      </c>
      <c r="W16" s="183">
        <f>SUM(W13:W15)</f>
        <v>0</v>
      </c>
      <c r="X16" s="183">
        <f>SUM(X13:X15)</f>
        <v>0</v>
      </c>
      <c r="Y16" s="183">
        <f>SUM(Y13:Y15)</f>
        <v>3596</v>
      </c>
      <c r="Z16" s="356">
        <f>SUM(Z13:Z15)</f>
        <v>0</v>
      </c>
      <c r="AA16" s="356">
        <f t="shared" ref="AA16" si="39">SUM(AA13:AA15)</f>
        <v>0</v>
      </c>
      <c r="AB16" s="356">
        <f t="shared" ref="AB16" si="40">SUM(AB13:AB15)</f>
        <v>-62356</v>
      </c>
      <c r="AC16" s="356">
        <f>SUM(AC13:AC15)</f>
        <v>0</v>
      </c>
      <c r="AD16" s="397">
        <f t="shared" si="34"/>
        <v>647424.4</v>
      </c>
      <c r="AE16" s="183">
        <f>SUM(AE13:AE15)</f>
        <v>49123</v>
      </c>
      <c r="AF16" s="183">
        <f t="shared" ref="AF16" si="41">SUM(AF13:AF15)</f>
        <v>0</v>
      </c>
      <c r="AG16" s="183">
        <f t="shared" ref="AG16" si="42">SUM(AG13:AG15)</f>
        <v>30477</v>
      </c>
      <c r="AH16" s="183">
        <f t="shared" ref="AH16:AJ16" si="43">SUM(AH13:AH15)</f>
        <v>0</v>
      </c>
      <c r="AI16" s="183">
        <f t="shared" si="43"/>
        <v>0</v>
      </c>
      <c r="AJ16" s="356">
        <f t="shared" si="43"/>
        <v>0</v>
      </c>
      <c r="AK16" s="356">
        <f t="shared" ref="AK16:AL16" si="44">SUM(AK13:AK15)</f>
        <v>0</v>
      </c>
      <c r="AL16" s="183">
        <f t="shared" si="44"/>
        <v>0</v>
      </c>
      <c r="AM16" s="183">
        <f t="shared" ref="AM16:AN16" si="45">SUM(AM13:AM15)</f>
        <v>0</v>
      </c>
      <c r="AN16" s="183">
        <f t="shared" si="45"/>
        <v>0</v>
      </c>
      <c r="AO16" s="183">
        <f t="shared" si="34"/>
        <v>0</v>
      </c>
      <c r="AP16" s="183">
        <f>SUM(AP13:AP15)</f>
        <v>0</v>
      </c>
      <c r="AQ16" s="183">
        <f>SUM(AQ13:AQ15)</f>
        <v>0</v>
      </c>
      <c r="AR16" s="183">
        <f>SUM(AR13:AR15)</f>
        <v>0</v>
      </c>
      <c r="AS16" s="183">
        <f t="shared" ref="AS16" si="46">SUM(AS13:AS15)</f>
        <v>0</v>
      </c>
      <c r="AT16" s="183">
        <f>SUM(AT13:AT15)</f>
        <v>0</v>
      </c>
      <c r="AU16" s="183">
        <f>SUM(AU13:AU15)</f>
        <v>0</v>
      </c>
      <c r="AV16" s="183">
        <f t="shared" ref="AV16:AX16" si="47">SUM(AV13:AV15)</f>
        <v>0</v>
      </c>
      <c r="AW16" s="183">
        <f t="shared" si="47"/>
        <v>0</v>
      </c>
      <c r="AX16" s="183">
        <f t="shared" si="47"/>
        <v>0</v>
      </c>
      <c r="AY16" s="183">
        <f t="shared" ref="AY16:AZ16" si="48">SUM(AY13:AY15)</f>
        <v>0</v>
      </c>
      <c r="AZ16" s="183">
        <f t="shared" si="48"/>
        <v>0</v>
      </c>
      <c r="BA16" s="183">
        <f t="shared" ref="BA16:BD16" si="49">SUM(BA13:BA15)</f>
        <v>0</v>
      </c>
      <c r="BB16" s="183">
        <f t="shared" si="49"/>
        <v>0</v>
      </c>
      <c r="BC16" s="183">
        <f t="shared" si="49"/>
        <v>0</v>
      </c>
      <c r="BD16" s="183">
        <f t="shared" si="49"/>
        <v>0</v>
      </c>
      <c r="BE16" s="183">
        <f>SUM(BE13:BE15)</f>
        <v>0</v>
      </c>
      <c r="BF16" s="183">
        <f>SUM(BF13:BF15)</f>
        <v>0</v>
      </c>
      <c r="BG16" s="183"/>
      <c r="BH16" s="183"/>
      <c r="BI16" s="183"/>
      <c r="BJ16" s="183"/>
      <c r="BK16" s="183"/>
      <c r="BL16" s="312">
        <f t="shared" si="32"/>
        <v>727024.4</v>
      </c>
      <c r="BM16" s="182"/>
      <c r="BN16" s="356">
        <f t="shared" ref="BN16" si="50">SUM(BN13:BN15)</f>
        <v>-77626</v>
      </c>
      <c r="BO16" s="356">
        <f t="shared" ref="BO16:BP16" si="51">SUM(BO13:BO15)</f>
        <v>0</v>
      </c>
      <c r="BP16" s="356">
        <f t="shared" si="51"/>
        <v>0</v>
      </c>
      <c r="BQ16" s="356">
        <f>SUM(BQ13:BQ15)</f>
        <v>0</v>
      </c>
      <c r="BR16" s="183">
        <f t="shared" ref="BR16" si="52">SUM(BR13:BR15)</f>
        <v>0</v>
      </c>
      <c r="BS16" s="183">
        <f t="shared" ref="BS16" si="53">SUM(BS13:BS15)</f>
        <v>0</v>
      </c>
      <c r="BT16" s="183">
        <f>SUM(BT13:BT15)</f>
        <v>0</v>
      </c>
      <c r="BU16" s="183">
        <f t="shared" ref="BU16" si="54">SUM(BU13:BU15)</f>
        <v>0</v>
      </c>
      <c r="BV16" s="183">
        <f>SUM(BV13:BV15)</f>
        <v>0</v>
      </c>
      <c r="BW16" s="183">
        <f>SUM(BW13:BW15)</f>
        <v>0</v>
      </c>
      <c r="BX16" s="183">
        <f>SUM(BX13:BX15)</f>
        <v>0</v>
      </c>
      <c r="BY16" s="183">
        <f t="shared" ref="BY16" si="55">SUM(BY13:BY15)</f>
        <v>0</v>
      </c>
      <c r="BZ16" s="183">
        <f>SUM(BZ13:BZ15)</f>
        <v>0</v>
      </c>
      <c r="CA16" s="183">
        <f>SUM(CA13:CA15)</f>
        <v>0</v>
      </c>
      <c r="CB16" s="183"/>
      <c r="CC16" s="279">
        <f t="shared" si="33"/>
        <v>649398.4</v>
      </c>
      <c r="CD16" s="177">
        <f>SUM(CD13:CD15)</f>
        <v>-77626</v>
      </c>
    </row>
    <row r="17" spans="1:82" s="178" customFormat="1">
      <c r="A17" s="176">
        <v>5</v>
      </c>
      <c r="B17" s="178" t="s">
        <v>183</v>
      </c>
      <c r="E17" s="307">
        <f>'ROO INPUT 1.00'!F18</f>
        <v>24101</v>
      </c>
      <c r="F17" s="186">
        <v>0</v>
      </c>
      <c r="G17" s="186">
        <v>0</v>
      </c>
      <c r="H17" s="186">
        <v>0</v>
      </c>
      <c r="I17" s="186">
        <v>0</v>
      </c>
      <c r="J17" s="186">
        <v>-23</v>
      </c>
      <c r="K17" s="186">
        <v>0</v>
      </c>
      <c r="L17" s="186">
        <v>0</v>
      </c>
      <c r="M17" s="186">
        <v>0</v>
      </c>
      <c r="N17" s="186">
        <v>0</v>
      </c>
      <c r="O17" s="186">
        <v>0</v>
      </c>
      <c r="P17" s="186">
        <v>0</v>
      </c>
      <c r="Q17" s="186">
        <v>0</v>
      </c>
      <c r="R17" s="186">
        <v>0</v>
      </c>
      <c r="S17" s="186">
        <v>8423</v>
      </c>
      <c r="T17" s="186">
        <v>1079</v>
      </c>
      <c r="U17" s="361">
        <v>0</v>
      </c>
      <c r="V17" s="361">
        <v>0</v>
      </c>
      <c r="W17" s="186">
        <v>0</v>
      </c>
      <c r="X17" s="186">
        <v>0</v>
      </c>
      <c r="Y17" s="186">
        <v>0</v>
      </c>
      <c r="Z17" s="361">
        <v>0</v>
      </c>
      <c r="AA17" s="361">
        <v>0</v>
      </c>
      <c r="AB17" s="361">
        <f>-70549-AB15</f>
        <v>-8193</v>
      </c>
      <c r="AC17" s="361">
        <v>0</v>
      </c>
      <c r="AD17" s="399">
        <f>SUM(E17:AC17)</f>
        <v>25387</v>
      </c>
      <c r="AE17" s="361">
        <f>54980-AE15</f>
        <v>5857</v>
      </c>
      <c r="AF17" s="392">
        <v>3245</v>
      </c>
      <c r="AG17" s="186">
        <v>2814</v>
      </c>
      <c r="AH17" s="186">
        <v>0</v>
      </c>
      <c r="AI17" s="186">
        <v>0</v>
      </c>
      <c r="AJ17" s="361">
        <v>0</v>
      </c>
      <c r="AK17" s="361">
        <v>0</v>
      </c>
      <c r="AL17" s="186">
        <v>0</v>
      </c>
      <c r="AM17" s="186">
        <v>0</v>
      </c>
      <c r="AN17" s="186">
        <v>0</v>
      </c>
      <c r="AO17" s="186">
        <v>0</v>
      </c>
      <c r="AP17" s="186">
        <v>0</v>
      </c>
      <c r="AQ17" s="186">
        <v>0</v>
      </c>
      <c r="AR17" s="186">
        <v>0</v>
      </c>
      <c r="AS17" s="186">
        <v>0</v>
      </c>
      <c r="AT17" s="186">
        <v>0</v>
      </c>
      <c r="AU17" s="186">
        <v>0</v>
      </c>
      <c r="AV17" s="186">
        <v>0</v>
      </c>
      <c r="AW17" s="186">
        <v>0</v>
      </c>
      <c r="AX17" s="186">
        <v>0</v>
      </c>
      <c r="AY17" s="186">
        <v>0</v>
      </c>
      <c r="AZ17" s="186">
        <v>0</v>
      </c>
      <c r="BA17" s="186">
        <v>0</v>
      </c>
      <c r="BB17" s="186">
        <v>0</v>
      </c>
      <c r="BC17" s="186">
        <v>0</v>
      </c>
      <c r="BD17" s="186">
        <v>0</v>
      </c>
      <c r="BE17" s="186">
        <v>0</v>
      </c>
      <c r="BF17" s="186">
        <v>6382</v>
      </c>
      <c r="BG17" s="186"/>
      <c r="BH17" s="186"/>
      <c r="BI17" s="186"/>
      <c r="BJ17" s="186"/>
      <c r="BK17" s="186"/>
      <c r="BL17" s="314">
        <f t="shared" si="32"/>
        <v>43685</v>
      </c>
      <c r="BM17" s="182"/>
      <c r="BN17" s="361"/>
      <c r="BO17" s="361">
        <v>0</v>
      </c>
      <c r="BP17" s="361">
        <v>0</v>
      </c>
      <c r="BQ17" s="361">
        <v>0</v>
      </c>
      <c r="BR17" s="186">
        <v>0</v>
      </c>
      <c r="BS17" s="186">
        <v>0</v>
      </c>
      <c r="BT17" s="186">
        <v>0</v>
      </c>
      <c r="BU17" s="186">
        <v>0</v>
      </c>
      <c r="BV17" s="186">
        <v>0</v>
      </c>
      <c r="BW17" s="186">
        <v>3014</v>
      </c>
      <c r="BX17" s="186">
        <v>0</v>
      </c>
      <c r="BY17" s="186"/>
      <c r="BZ17" s="186">
        <v>0</v>
      </c>
      <c r="CA17" s="186">
        <v>0</v>
      </c>
      <c r="CB17" s="186"/>
      <c r="CC17" s="281">
        <f t="shared" si="33"/>
        <v>46699</v>
      </c>
      <c r="CD17" s="430">
        <f>CC17-BL17</f>
        <v>3014</v>
      </c>
    </row>
    <row r="18" spans="1:82" s="178" customFormat="1">
      <c r="A18" s="176">
        <v>6</v>
      </c>
      <c r="B18" s="178" t="s">
        <v>184</v>
      </c>
      <c r="E18" s="178">
        <f t="shared" ref="E18:AO18" si="56">SUM(E16:E17)</f>
        <v>775268.4</v>
      </c>
      <c r="F18" s="183">
        <f t="shared" si="56"/>
        <v>0</v>
      </c>
      <c r="G18" s="183">
        <f t="shared" si="56"/>
        <v>0</v>
      </c>
      <c r="H18" s="183">
        <f t="shared" si="56"/>
        <v>0</v>
      </c>
      <c r="I18" s="183">
        <f t="shared" ref="I18" si="57">SUM(I16:I17)</f>
        <v>-22988</v>
      </c>
      <c r="J18" s="183">
        <f t="shared" si="56"/>
        <v>-20695</v>
      </c>
      <c r="K18" s="183">
        <f t="shared" ref="K18" si="58">SUM(K16:K17)</f>
        <v>0</v>
      </c>
      <c r="L18" s="183">
        <f t="shared" si="56"/>
        <v>0</v>
      </c>
      <c r="M18" s="183">
        <f t="shared" si="56"/>
        <v>0</v>
      </c>
      <c r="N18" s="183">
        <f t="shared" si="56"/>
        <v>0</v>
      </c>
      <c r="O18" s="183">
        <f t="shared" si="56"/>
        <v>0</v>
      </c>
      <c r="P18" s="183">
        <f t="shared" si="56"/>
        <v>0</v>
      </c>
      <c r="Q18" s="183">
        <f t="shared" si="56"/>
        <v>0</v>
      </c>
      <c r="R18" s="183">
        <f t="shared" si="56"/>
        <v>0</v>
      </c>
      <c r="S18" s="183">
        <f t="shared" si="56"/>
        <v>-1883</v>
      </c>
      <c r="T18" s="183">
        <f t="shared" ref="T18" si="59">SUM(T16:T17)</f>
        <v>10062</v>
      </c>
      <c r="U18" s="356">
        <f t="shared" ref="U18:Z18" si="60">SUM(U16:U17)</f>
        <v>0</v>
      </c>
      <c r="V18" s="356">
        <f t="shared" si="60"/>
        <v>0</v>
      </c>
      <c r="W18" s="183">
        <f t="shared" si="60"/>
        <v>0</v>
      </c>
      <c r="X18" s="183">
        <f t="shared" si="60"/>
        <v>0</v>
      </c>
      <c r="Y18" s="183">
        <f t="shared" si="60"/>
        <v>3596</v>
      </c>
      <c r="Z18" s="356">
        <f t="shared" si="60"/>
        <v>0</v>
      </c>
      <c r="AA18" s="356">
        <f t="shared" ref="AA18" si="61">SUM(AA16:AA17)</f>
        <v>0</v>
      </c>
      <c r="AB18" s="356">
        <f t="shared" ref="AB18:AC18" si="62">SUM(AB16:AB17)</f>
        <v>-70549</v>
      </c>
      <c r="AC18" s="356">
        <f t="shared" si="62"/>
        <v>0</v>
      </c>
      <c r="AD18" s="397">
        <f t="shared" si="56"/>
        <v>672811.4</v>
      </c>
      <c r="AE18" s="183">
        <f>SUM(AE16:AE17)</f>
        <v>54980</v>
      </c>
      <c r="AF18" s="183">
        <f t="shared" ref="AF18:AG18" si="63">SUM(AF16:AF17)</f>
        <v>3245</v>
      </c>
      <c r="AG18" s="183">
        <f t="shared" si="63"/>
        <v>33291</v>
      </c>
      <c r="AH18" s="183">
        <f>SUM(AH16:AH17)</f>
        <v>0</v>
      </c>
      <c r="AI18" s="183">
        <f>SUM(AI16:AI17)</f>
        <v>0</v>
      </c>
      <c r="AJ18" s="356">
        <f>SUM(AJ16:AJ17)</f>
        <v>0</v>
      </c>
      <c r="AK18" s="356">
        <f t="shared" ref="AK18:AM18" si="64">SUM(AK16:AK17)</f>
        <v>0</v>
      </c>
      <c r="AL18" s="183">
        <f t="shared" si="64"/>
        <v>0</v>
      </c>
      <c r="AM18" s="183">
        <f t="shared" si="64"/>
        <v>0</v>
      </c>
      <c r="AN18" s="183">
        <f t="shared" ref="AN18" si="65">SUM(AN16:AN17)</f>
        <v>0</v>
      </c>
      <c r="AO18" s="183">
        <f t="shared" si="56"/>
        <v>0</v>
      </c>
      <c r="AP18" s="183">
        <f t="shared" ref="AP18" si="66">SUM(AP16:AP17)</f>
        <v>0</v>
      </c>
      <c r="AQ18" s="183">
        <f t="shared" ref="AQ18:AS18" si="67">SUM(AQ16:AQ17)</f>
        <v>0</v>
      </c>
      <c r="AR18" s="183">
        <f t="shared" si="67"/>
        <v>0</v>
      </c>
      <c r="AS18" s="183">
        <f t="shared" si="67"/>
        <v>0</v>
      </c>
      <c r="AT18" s="183">
        <f>SUM(AT16:AT17)</f>
        <v>0</v>
      </c>
      <c r="AU18" s="183">
        <f>SUM(AU16:AU17)</f>
        <v>0</v>
      </c>
      <c r="AV18" s="183">
        <f t="shared" ref="AV18:AX18" si="68">SUM(AV16:AV17)</f>
        <v>0</v>
      </c>
      <c r="AW18" s="183">
        <f t="shared" si="68"/>
        <v>0</v>
      </c>
      <c r="AX18" s="183">
        <f t="shared" si="68"/>
        <v>0</v>
      </c>
      <c r="AY18" s="183">
        <f t="shared" ref="AY18:AZ18" si="69">SUM(AY16:AY17)</f>
        <v>0</v>
      </c>
      <c r="AZ18" s="183">
        <f t="shared" si="69"/>
        <v>0</v>
      </c>
      <c r="BA18" s="183">
        <f t="shared" ref="BA18:BD18" si="70">SUM(BA16:BA17)</f>
        <v>0</v>
      </c>
      <c r="BB18" s="183">
        <f t="shared" si="70"/>
        <v>0</v>
      </c>
      <c r="BC18" s="183">
        <f t="shared" si="70"/>
        <v>0</v>
      </c>
      <c r="BD18" s="183">
        <f t="shared" si="70"/>
        <v>0</v>
      </c>
      <c r="BE18" s="183">
        <f>SUM(BE16:BE17)</f>
        <v>0</v>
      </c>
      <c r="BF18" s="183">
        <f>SUM(BF16:BF17)</f>
        <v>6382</v>
      </c>
      <c r="BG18" s="183"/>
      <c r="BH18" s="183"/>
      <c r="BI18" s="183"/>
      <c r="BJ18" s="183"/>
      <c r="BK18" s="183"/>
      <c r="BL18" s="312">
        <f t="shared" si="32"/>
        <v>770709.4</v>
      </c>
      <c r="BM18" s="182"/>
      <c r="BN18" s="356">
        <f t="shared" ref="BN18" si="71">SUM(BN16:BN17)</f>
        <v>-77626</v>
      </c>
      <c r="BO18" s="356">
        <f t="shared" ref="BO18:BP18" si="72">SUM(BO16:BO17)</f>
        <v>0</v>
      </c>
      <c r="BP18" s="356">
        <f t="shared" si="72"/>
        <v>0</v>
      </c>
      <c r="BQ18" s="356">
        <f t="shared" ref="BQ18:BR18" si="73">SUM(BQ16:BQ17)</f>
        <v>0</v>
      </c>
      <c r="BR18" s="183">
        <f t="shared" si="73"/>
        <v>0</v>
      </c>
      <c r="BS18" s="183">
        <f>SUM(BS16:BS17)</f>
        <v>0</v>
      </c>
      <c r="BT18" s="183">
        <f t="shared" ref="BT18:BU18" si="74">SUM(BT16:BT17)</f>
        <v>0</v>
      </c>
      <c r="BU18" s="183">
        <f t="shared" si="74"/>
        <v>0</v>
      </c>
      <c r="BV18" s="183">
        <f>SUM(BV16:BV17)</f>
        <v>0</v>
      </c>
      <c r="BW18" s="183">
        <f>SUM(BW16:BW17)</f>
        <v>3014</v>
      </c>
      <c r="BX18" s="183">
        <f>SUM(BX16:BX17)</f>
        <v>0</v>
      </c>
      <c r="BY18" s="183">
        <f t="shared" ref="BY18" si="75">SUM(BY16:BY17)</f>
        <v>0</v>
      </c>
      <c r="BZ18" s="183">
        <f>SUM(BZ16:BZ17)</f>
        <v>0</v>
      </c>
      <c r="CA18" s="183">
        <f>SUM(CA16:CA17)</f>
        <v>0</v>
      </c>
      <c r="CB18" s="183"/>
      <c r="CC18" s="279">
        <f t="shared" si="33"/>
        <v>696097.4</v>
      </c>
      <c r="CD18" s="183">
        <f t="shared" ref="CD18" si="76">SUM(CD16:CD17)</f>
        <v>-74612</v>
      </c>
    </row>
    <row r="19" spans="1:82" s="178" customFormat="1" ht="8.25" customHeight="1">
      <c r="A19" s="176"/>
      <c r="F19" s="183"/>
      <c r="G19" s="183"/>
      <c r="H19" s="183"/>
      <c r="I19" s="183"/>
      <c r="J19" s="183"/>
      <c r="K19" s="183"/>
      <c r="L19" s="183"/>
      <c r="M19" s="183"/>
      <c r="N19" s="183"/>
      <c r="O19" s="183"/>
      <c r="P19" s="183"/>
      <c r="Q19" s="183"/>
      <c r="R19" s="183"/>
      <c r="S19" s="183"/>
      <c r="T19" s="183"/>
      <c r="U19" s="356"/>
      <c r="V19" s="356"/>
      <c r="W19" s="183"/>
      <c r="X19" s="183"/>
      <c r="Y19" s="183"/>
      <c r="Z19" s="356"/>
      <c r="AA19" s="356"/>
      <c r="AB19" s="356"/>
      <c r="AC19" s="356"/>
      <c r="AD19" s="397"/>
      <c r="AE19" s="183"/>
      <c r="AF19" s="183"/>
      <c r="AG19" s="183"/>
      <c r="AH19" s="183"/>
      <c r="AI19" s="183"/>
      <c r="AJ19" s="356"/>
      <c r="AK19" s="356"/>
      <c r="AL19" s="183"/>
      <c r="AM19" s="183"/>
      <c r="AN19" s="183"/>
      <c r="AO19" s="183"/>
      <c r="AP19" s="183"/>
      <c r="AQ19" s="183"/>
      <c r="AR19" s="183"/>
      <c r="AS19" s="183"/>
      <c r="AT19" s="183"/>
      <c r="AU19" s="183"/>
      <c r="AV19" s="183"/>
      <c r="AW19" s="183"/>
      <c r="AX19" s="183"/>
      <c r="AY19" s="183"/>
      <c r="AZ19" s="183"/>
      <c r="BA19" s="183"/>
      <c r="BB19" s="183"/>
      <c r="BC19" s="183"/>
      <c r="BD19" s="183"/>
      <c r="BE19" s="183"/>
      <c r="BF19" s="183"/>
      <c r="BG19" s="183"/>
      <c r="BH19" s="183"/>
      <c r="BI19" s="183"/>
      <c r="BJ19" s="183"/>
      <c r="BK19" s="183"/>
      <c r="BL19" s="312"/>
      <c r="BM19" s="182"/>
      <c r="BN19" s="356"/>
      <c r="BO19" s="356"/>
      <c r="BP19" s="356"/>
      <c r="BQ19" s="356"/>
      <c r="BR19" s="183"/>
      <c r="BS19" s="183"/>
      <c r="BT19" s="183"/>
      <c r="BU19" s="183"/>
      <c r="BV19" s="183"/>
      <c r="BW19" s="183"/>
      <c r="BX19" s="183"/>
      <c r="BY19" s="183"/>
      <c r="BZ19" s="183"/>
      <c r="CA19" s="183"/>
      <c r="CB19" s="183"/>
      <c r="CC19" s="279"/>
      <c r="CD19" s="183"/>
    </row>
    <row r="20" spans="1:82" s="178" customFormat="1">
      <c r="A20" s="176"/>
      <c r="B20" s="178" t="s">
        <v>185</v>
      </c>
      <c r="F20" s="183"/>
      <c r="G20" s="183"/>
      <c r="H20" s="183"/>
      <c r="I20" s="183"/>
      <c r="J20" s="183"/>
      <c r="K20" s="183"/>
      <c r="L20" s="183"/>
      <c r="M20" s="183"/>
      <c r="N20" s="183"/>
      <c r="O20" s="183"/>
      <c r="P20" s="183"/>
      <c r="Q20" s="183"/>
      <c r="R20" s="183"/>
      <c r="S20" s="183"/>
      <c r="T20" s="183"/>
      <c r="U20" s="356"/>
      <c r="V20" s="356"/>
      <c r="W20" s="183"/>
      <c r="X20" s="183"/>
      <c r="Y20" s="183"/>
      <c r="Z20" s="356"/>
      <c r="AA20" s="356"/>
      <c r="AB20" s="356"/>
      <c r="AC20" s="356"/>
      <c r="AD20" s="397"/>
      <c r="AE20" s="183"/>
      <c r="AF20" s="183"/>
      <c r="AG20" s="183"/>
      <c r="AH20" s="183"/>
      <c r="AI20" s="183"/>
      <c r="AJ20" s="356"/>
      <c r="AK20" s="356"/>
      <c r="AL20" s="183"/>
      <c r="AM20" s="183"/>
      <c r="AN20" s="183"/>
      <c r="AO20" s="183"/>
      <c r="AP20" s="183"/>
      <c r="AQ20" s="183"/>
      <c r="AR20" s="183"/>
      <c r="AS20" s="183"/>
      <c r="AT20" s="183"/>
      <c r="AU20" s="183"/>
      <c r="AV20" s="183"/>
      <c r="AW20" s="183"/>
      <c r="AX20" s="183"/>
      <c r="AY20" s="183"/>
      <c r="AZ20" s="183"/>
      <c r="BA20" s="183"/>
      <c r="BB20" s="183"/>
      <c r="BC20" s="183"/>
      <c r="BD20" s="183"/>
      <c r="BE20" s="183"/>
      <c r="BF20" s="183"/>
      <c r="BG20" s="183"/>
      <c r="BH20" s="183"/>
      <c r="BI20" s="183"/>
      <c r="BJ20" s="183"/>
      <c r="BK20" s="183"/>
      <c r="BL20" s="312"/>
      <c r="BM20" s="182"/>
      <c r="BN20" s="356"/>
      <c r="BO20" s="356"/>
      <c r="BP20" s="356"/>
      <c r="BQ20" s="356"/>
      <c r="BR20" s="183"/>
      <c r="BS20" s="183"/>
      <c r="BT20" s="183"/>
      <c r="BU20" s="183"/>
      <c r="BV20" s="183"/>
      <c r="BW20" s="183"/>
      <c r="BX20" s="183"/>
      <c r="BY20" s="183"/>
      <c r="BZ20" s="183"/>
      <c r="CA20" s="183"/>
      <c r="CB20" s="183"/>
      <c r="CC20" s="279"/>
      <c r="CD20" s="183"/>
    </row>
    <row r="21" spans="1:82" s="178" customFormat="1">
      <c r="A21" s="176"/>
      <c r="B21" s="178" t="s">
        <v>186</v>
      </c>
      <c r="F21" s="183"/>
      <c r="G21" s="183"/>
      <c r="H21" s="183"/>
      <c r="I21" s="183"/>
      <c r="J21" s="183"/>
      <c r="K21" s="183"/>
      <c r="L21" s="183"/>
      <c r="M21" s="183"/>
      <c r="N21" s="183"/>
      <c r="O21" s="183"/>
      <c r="P21" s="183"/>
      <c r="Q21" s="183"/>
      <c r="R21" s="183"/>
      <c r="S21" s="183"/>
      <c r="T21" s="183"/>
      <c r="U21" s="356"/>
      <c r="V21" s="356"/>
      <c r="W21" s="183"/>
      <c r="X21" s="183"/>
      <c r="Y21" s="183"/>
      <c r="Z21" s="356"/>
      <c r="AA21" s="356"/>
      <c r="AB21" s="356"/>
      <c r="AC21" s="356"/>
      <c r="AD21" s="397"/>
      <c r="AE21" s="183"/>
      <c r="AF21" s="183"/>
      <c r="AG21" s="183"/>
      <c r="AH21" s="183"/>
      <c r="AI21" s="183"/>
      <c r="AJ21" s="356"/>
      <c r="AK21" s="356"/>
      <c r="AL21" s="183"/>
      <c r="AM21" s="183"/>
      <c r="AN21" s="183"/>
      <c r="AO21" s="183"/>
      <c r="AP21" s="183"/>
      <c r="AQ21" s="183"/>
      <c r="AR21" s="183"/>
      <c r="AS21" s="183"/>
      <c r="AT21" s="183"/>
      <c r="AU21" s="183"/>
      <c r="AV21" s="183"/>
      <c r="AW21" s="183"/>
      <c r="AX21" s="183"/>
      <c r="AY21" s="183"/>
      <c r="AZ21" s="183"/>
      <c r="BA21" s="183"/>
      <c r="BB21" s="183"/>
      <c r="BC21" s="183"/>
      <c r="BD21" s="183"/>
      <c r="BE21" s="183"/>
      <c r="BF21" s="183"/>
      <c r="BG21" s="183"/>
      <c r="BH21" s="183"/>
      <c r="BI21" s="183"/>
      <c r="BJ21" s="183"/>
      <c r="BK21" s="183"/>
      <c r="BL21" s="312">
        <f t="shared" ref="BL21:BL27" si="77">SUM(AD21:BK21)</f>
        <v>0</v>
      </c>
      <c r="BM21" s="182"/>
      <c r="BN21" s="356"/>
      <c r="BO21" s="356"/>
      <c r="BP21" s="356"/>
      <c r="BQ21" s="356"/>
      <c r="BR21" s="183"/>
      <c r="BS21" s="183"/>
      <c r="BT21" s="183"/>
      <c r="BU21" s="183"/>
      <c r="BV21" s="183"/>
      <c r="BW21" s="183"/>
      <c r="BX21" s="183"/>
      <c r="BY21" s="183"/>
      <c r="BZ21" s="183"/>
      <c r="CA21" s="183"/>
      <c r="CB21" s="183"/>
      <c r="CC21" s="279">
        <f t="shared" ref="CC21:CC26" si="78">SUM(BL21:CB21)</f>
        <v>0</v>
      </c>
      <c r="CD21" s="183"/>
    </row>
    <row r="22" spans="1:82" s="178" customFormat="1">
      <c r="A22" s="176">
        <v>7</v>
      </c>
      <c r="C22" s="178" t="s">
        <v>187</v>
      </c>
      <c r="E22" s="178">
        <f>'ROO INPUT 1.00'!F23</f>
        <v>193745.7</v>
      </c>
      <c r="F22" s="183">
        <v>0</v>
      </c>
      <c r="G22" s="183">
        <v>0</v>
      </c>
      <c r="H22" s="183">
        <v>0</v>
      </c>
      <c r="I22" s="183">
        <v>-10542</v>
      </c>
      <c r="J22" s="183">
        <v>0</v>
      </c>
      <c r="K22" s="183">
        <v>0</v>
      </c>
      <c r="L22" s="183">
        <v>0</v>
      </c>
      <c r="M22" s="183">
        <v>0</v>
      </c>
      <c r="N22" s="183">
        <v>0</v>
      </c>
      <c r="O22" s="183">
        <v>0</v>
      </c>
      <c r="P22" s="183">
        <v>0</v>
      </c>
      <c r="Q22" s="183">
        <v>0</v>
      </c>
      <c r="R22" s="183">
        <v>0</v>
      </c>
      <c r="S22" s="183">
        <v>0</v>
      </c>
      <c r="T22" s="183">
        <v>-3085</v>
      </c>
      <c r="U22" s="356">
        <v>-9</v>
      </c>
      <c r="V22" s="356">
        <v>0</v>
      </c>
      <c r="W22" s="183">
        <v>0</v>
      </c>
      <c r="X22" s="183">
        <v>0</v>
      </c>
      <c r="Y22" s="183">
        <v>42843</v>
      </c>
      <c r="Z22" s="356">
        <v>-15</v>
      </c>
      <c r="AA22" s="356">
        <v>334</v>
      </c>
      <c r="AB22" s="356">
        <f>-129513-AB23</f>
        <v>-72830</v>
      </c>
      <c r="AC22" s="356">
        <v>0</v>
      </c>
      <c r="AD22" s="397">
        <f>SUM(E22:AC22)</f>
        <v>150441.70000000001</v>
      </c>
      <c r="AE22" s="356">
        <f>75852-AE23</f>
        <v>36916</v>
      </c>
      <c r="AF22" s="183">
        <v>0</v>
      </c>
      <c r="AG22" s="183">
        <v>0</v>
      </c>
      <c r="AH22" s="183">
        <v>315</v>
      </c>
      <c r="AI22" s="183">
        <v>0</v>
      </c>
      <c r="AJ22" s="356">
        <v>0</v>
      </c>
      <c r="AK22" s="356">
        <v>2196.6</v>
      </c>
      <c r="AL22" s="183">
        <v>0</v>
      </c>
      <c r="AM22" s="183">
        <v>43.5</v>
      </c>
      <c r="AN22" s="183">
        <v>0</v>
      </c>
      <c r="AO22" s="183">
        <v>0</v>
      </c>
      <c r="AP22" s="183">
        <v>0</v>
      </c>
      <c r="AQ22" s="183">
        <v>0</v>
      </c>
      <c r="AR22" s="183">
        <v>0</v>
      </c>
      <c r="AS22" s="183">
        <v>0</v>
      </c>
      <c r="AT22" s="183">
        <f>(3231348+552381)/1000</f>
        <v>3783.7289999999998</v>
      </c>
      <c r="AU22" s="183">
        <v>0</v>
      </c>
      <c r="AV22" s="183">
        <v>0</v>
      </c>
      <c r="AW22" s="183">
        <v>0</v>
      </c>
      <c r="AX22" s="183">
        <v>0</v>
      </c>
      <c r="AY22" s="183">
        <v>0</v>
      </c>
      <c r="AZ22" s="183">
        <v>0</v>
      </c>
      <c r="BA22" s="183">
        <v>0</v>
      </c>
      <c r="BB22" s="183">
        <v>-334</v>
      </c>
      <c r="BC22" s="183">
        <v>0</v>
      </c>
      <c r="BD22" s="183">
        <v>309</v>
      </c>
      <c r="BE22" s="183">
        <v>0</v>
      </c>
      <c r="BF22" s="183">
        <v>-141.31899999999999</v>
      </c>
      <c r="BG22" s="183"/>
      <c r="BH22" s="183"/>
      <c r="BI22" s="183"/>
      <c r="BJ22" s="183"/>
      <c r="BK22" s="183"/>
      <c r="BL22" s="312">
        <f t="shared" si="77"/>
        <v>193530.21000000002</v>
      </c>
      <c r="BM22" s="182"/>
      <c r="BN22" s="356">
        <f>-20941-BN23</f>
        <v>-20941</v>
      </c>
      <c r="BO22" s="356">
        <v>0</v>
      </c>
      <c r="BP22" s="356">
        <v>0</v>
      </c>
      <c r="BQ22" s="356">
        <v>898</v>
      </c>
      <c r="BR22" s="183">
        <v>153</v>
      </c>
      <c r="BS22" s="183">
        <v>0</v>
      </c>
      <c r="BT22" s="183">
        <v>0</v>
      </c>
      <c r="BU22" s="183">
        <f>(1292539+220952)/1000</f>
        <v>1513.491</v>
      </c>
      <c r="BV22" s="356">
        <v>0</v>
      </c>
      <c r="BW22" s="356">
        <v>-108.928</v>
      </c>
      <c r="BX22" s="356">
        <v>0</v>
      </c>
      <c r="BY22" s="183">
        <v>0</v>
      </c>
      <c r="BZ22" s="356">
        <v>0</v>
      </c>
      <c r="CA22" s="356">
        <v>0</v>
      </c>
      <c r="CB22" s="183"/>
      <c r="CC22" s="279">
        <f t="shared" si="78"/>
        <v>175044.77300000002</v>
      </c>
      <c r="CD22" s="183">
        <f>CC22-BL22</f>
        <v>-18485.437000000005</v>
      </c>
    </row>
    <row r="23" spans="1:82" s="178" customFormat="1">
      <c r="A23" s="176">
        <v>8</v>
      </c>
      <c r="C23" s="178" t="s">
        <v>188</v>
      </c>
      <c r="E23" s="178">
        <f>'ROO INPUT 1.00'!F24</f>
        <v>133893</v>
      </c>
      <c r="F23" s="183">
        <v>0</v>
      </c>
      <c r="G23" s="183">
        <v>0</v>
      </c>
      <c r="H23" s="183">
        <v>0</v>
      </c>
      <c r="I23" s="183">
        <v>0</v>
      </c>
      <c r="J23" s="183">
        <v>0</v>
      </c>
      <c r="K23" s="183">
        <v>0</v>
      </c>
      <c r="L23" s="183">
        <v>0</v>
      </c>
      <c r="M23" s="183">
        <v>0</v>
      </c>
      <c r="N23" s="183">
        <v>0</v>
      </c>
      <c r="O23" s="183">
        <v>0</v>
      </c>
      <c r="P23" s="183">
        <v>0</v>
      </c>
      <c r="Q23" s="183">
        <v>0</v>
      </c>
      <c r="R23" s="183">
        <v>0</v>
      </c>
      <c r="S23" s="183">
        <v>0</v>
      </c>
      <c r="T23" s="183">
        <v>0</v>
      </c>
      <c r="U23" s="356">
        <v>0</v>
      </c>
      <c r="V23" s="356">
        <v>0</v>
      </c>
      <c r="W23" s="183">
        <v>0</v>
      </c>
      <c r="X23" s="183">
        <v>0</v>
      </c>
      <c r="Y23" s="183">
        <v>0</v>
      </c>
      <c r="Z23" s="356">
        <v>0</v>
      </c>
      <c r="AA23" s="356">
        <v>0</v>
      </c>
      <c r="AB23" s="356">
        <v>-56683</v>
      </c>
      <c r="AC23" s="356">
        <v>0</v>
      </c>
      <c r="AD23" s="397">
        <f>SUM(E23:AC23)</f>
        <v>77210</v>
      </c>
      <c r="AE23" s="183">
        <v>38936</v>
      </c>
      <c r="AF23" s="183">
        <v>0</v>
      </c>
      <c r="AG23" s="183">
        <v>0</v>
      </c>
      <c r="AH23" s="183">
        <v>0</v>
      </c>
      <c r="AI23" s="183">
        <v>0</v>
      </c>
      <c r="AJ23" s="356">
        <v>0</v>
      </c>
      <c r="AK23" s="356">
        <v>0</v>
      </c>
      <c r="AL23" s="183">
        <v>0</v>
      </c>
      <c r="AM23" s="183">
        <v>0</v>
      </c>
      <c r="AN23" s="183">
        <v>0</v>
      </c>
      <c r="AO23" s="183">
        <v>0</v>
      </c>
      <c r="AP23" s="183">
        <v>0</v>
      </c>
      <c r="AQ23" s="183">
        <v>0</v>
      </c>
      <c r="AR23" s="183">
        <v>0</v>
      </c>
      <c r="AS23" s="183">
        <v>0</v>
      </c>
      <c r="AT23" s="183">
        <v>0</v>
      </c>
      <c r="AU23" s="183">
        <v>0</v>
      </c>
      <c r="AV23" s="183">
        <v>0</v>
      </c>
      <c r="AW23" s="183">
        <v>0</v>
      </c>
      <c r="AX23" s="183">
        <v>0</v>
      </c>
      <c r="AY23" s="183">
        <v>0</v>
      </c>
      <c r="AZ23" s="183">
        <v>0</v>
      </c>
      <c r="BA23" s="183">
        <v>0</v>
      </c>
      <c r="BB23" s="183">
        <v>0</v>
      </c>
      <c r="BC23" s="183">
        <v>0</v>
      </c>
      <c r="BD23" s="183">
        <v>0</v>
      </c>
      <c r="BE23" s="183">
        <v>0</v>
      </c>
      <c r="BF23" s="183">
        <v>0</v>
      </c>
      <c r="BG23" s="183"/>
      <c r="BH23" s="183"/>
      <c r="BI23" s="183"/>
      <c r="BJ23" s="183"/>
      <c r="BK23" s="183"/>
      <c r="BL23" s="312">
        <f t="shared" si="77"/>
        <v>116146</v>
      </c>
      <c r="BM23" s="182"/>
      <c r="BN23" s="356">
        <v>0</v>
      </c>
      <c r="BO23" s="356">
        <v>0</v>
      </c>
      <c r="BP23" s="356">
        <v>0</v>
      </c>
      <c r="BQ23" s="356">
        <v>0</v>
      </c>
      <c r="BR23" s="356">
        <v>0</v>
      </c>
      <c r="BS23" s="183">
        <v>0</v>
      </c>
      <c r="BT23" s="183">
        <v>0</v>
      </c>
      <c r="BU23" s="183">
        <v>0</v>
      </c>
      <c r="BV23" s="183">
        <v>0</v>
      </c>
      <c r="BW23" s="183">
        <v>0</v>
      </c>
      <c r="BX23" s="183">
        <v>0</v>
      </c>
      <c r="BY23" s="183">
        <v>0</v>
      </c>
      <c r="BZ23" s="183">
        <v>0</v>
      </c>
      <c r="CA23" s="183">
        <v>0</v>
      </c>
      <c r="CB23" s="183"/>
      <c r="CC23" s="279">
        <f t="shared" si="78"/>
        <v>116146</v>
      </c>
      <c r="CD23" s="183">
        <f>CC23-BL23</f>
        <v>0</v>
      </c>
    </row>
    <row r="24" spans="1:82" s="178" customFormat="1">
      <c r="A24" s="176">
        <v>9</v>
      </c>
      <c r="C24" s="178" t="s">
        <v>515</v>
      </c>
      <c r="E24" s="178">
        <f>'ROO INPUT 1.00'!F25</f>
        <v>45659.5</v>
      </c>
      <c r="F24" s="183">
        <v>0</v>
      </c>
      <c r="G24" s="183">
        <v>0</v>
      </c>
      <c r="H24" s="183">
        <v>0</v>
      </c>
      <c r="I24" s="183">
        <v>-11503</v>
      </c>
      <c r="J24" s="183">
        <v>0</v>
      </c>
      <c r="K24" s="183">
        <v>0</v>
      </c>
      <c r="L24" s="183">
        <v>0</v>
      </c>
      <c r="M24" s="178">
        <f>'ROO INPUT 1.00'!J25</f>
        <v>0</v>
      </c>
      <c r="N24" s="183">
        <v>0</v>
      </c>
      <c r="O24" s="183">
        <v>0</v>
      </c>
      <c r="P24" s="183">
        <v>0</v>
      </c>
      <c r="Q24" s="183">
        <v>0</v>
      </c>
      <c r="R24" s="183">
        <v>0</v>
      </c>
      <c r="S24" s="183">
        <v>0</v>
      </c>
      <c r="T24" s="183">
        <v>0</v>
      </c>
      <c r="U24" s="356">
        <v>0</v>
      </c>
      <c r="V24" s="356">
        <v>0</v>
      </c>
      <c r="W24" s="183">
        <v>0</v>
      </c>
      <c r="X24" s="183">
        <v>0</v>
      </c>
      <c r="Y24" s="183">
        <v>0</v>
      </c>
      <c r="Z24" s="356">
        <v>0</v>
      </c>
      <c r="AA24" s="356">
        <v>0</v>
      </c>
      <c r="AB24" s="356">
        <v>0</v>
      </c>
      <c r="AC24" s="356">
        <v>0</v>
      </c>
      <c r="AD24" s="397">
        <f>SUM(E24:AC24)</f>
        <v>34156.5</v>
      </c>
      <c r="AE24" s="183">
        <v>0</v>
      </c>
      <c r="AF24" s="183">
        <v>0</v>
      </c>
      <c r="AG24" s="183">
        <v>0</v>
      </c>
      <c r="AH24" s="183">
        <v>0</v>
      </c>
      <c r="AI24" s="183">
        <v>0</v>
      </c>
      <c r="AJ24" s="356">
        <v>0</v>
      </c>
      <c r="AK24" s="356">
        <v>0</v>
      </c>
      <c r="AL24" s="183">
        <v>0</v>
      </c>
      <c r="AM24" s="183">
        <v>0</v>
      </c>
      <c r="AN24" s="183">
        <v>0</v>
      </c>
      <c r="AO24" s="183">
        <v>0</v>
      </c>
      <c r="AP24" s="183">
        <v>0</v>
      </c>
      <c r="AQ24" s="183">
        <v>0</v>
      </c>
      <c r="AR24" s="183">
        <v>0</v>
      </c>
      <c r="AS24" s="183">
        <v>0</v>
      </c>
      <c r="AT24" s="183">
        <v>0</v>
      </c>
      <c r="AU24" s="183">
        <f>267.5+396.7</f>
        <v>664.2</v>
      </c>
      <c r="AV24" s="183">
        <f>-876.7+1646</f>
        <v>769.3</v>
      </c>
      <c r="AW24" s="183">
        <f>435+688</f>
        <v>1123</v>
      </c>
      <c r="AX24" s="183">
        <v>0</v>
      </c>
      <c r="AY24" s="183">
        <v>0</v>
      </c>
      <c r="AZ24" s="183">
        <v>0</v>
      </c>
      <c r="BA24" s="183">
        <v>0</v>
      </c>
      <c r="BB24" s="183">
        <v>0</v>
      </c>
      <c r="BC24" s="183">
        <v>0</v>
      </c>
      <c r="BD24" s="183">
        <v>0</v>
      </c>
      <c r="BE24" s="183">
        <f>475+642</f>
        <v>1117</v>
      </c>
      <c r="BF24" s="183">
        <v>0</v>
      </c>
      <c r="BG24" s="183"/>
      <c r="BH24" s="183"/>
      <c r="BI24" s="183"/>
      <c r="BJ24" s="183"/>
      <c r="BK24" s="183"/>
      <c r="BL24" s="312">
        <f t="shared" si="77"/>
        <v>37830</v>
      </c>
      <c r="BM24" s="182"/>
      <c r="BN24" s="356">
        <v>0</v>
      </c>
      <c r="BO24" s="356">
        <v>0</v>
      </c>
      <c r="BP24" s="356">
        <v>0</v>
      </c>
      <c r="BQ24" s="356">
        <v>0</v>
      </c>
      <c r="BR24" s="183">
        <v>0</v>
      </c>
      <c r="BS24" s="183">
        <v>0</v>
      </c>
      <c r="BT24" s="183">
        <v>0</v>
      </c>
      <c r="BU24" s="356">
        <v>0</v>
      </c>
      <c r="BV24" s="183">
        <f>915+564</f>
        <v>1479</v>
      </c>
      <c r="BW24" s="183">
        <v>0</v>
      </c>
      <c r="BX24" s="183">
        <v>0</v>
      </c>
      <c r="BY24" s="183">
        <v>0</v>
      </c>
      <c r="BZ24" s="183">
        <v>1661</v>
      </c>
      <c r="CA24" s="183">
        <v>0</v>
      </c>
      <c r="CB24" s="183"/>
      <c r="CC24" s="279">
        <f t="shared" si="78"/>
        <v>40970</v>
      </c>
      <c r="CD24" s="183">
        <f>CC24-BL24</f>
        <v>3140</v>
      </c>
    </row>
    <row r="25" spans="1:82" s="178" customFormat="1">
      <c r="A25" s="176">
        <v>10</v>
      </c>
      <c r="C25" s="178" t="s">
        <v>512</v>
      </c>
      <c r="E25" s="178">
        <f>'ROO INPUT 1.00'!F26</f>
        <v>-12767</v>
      </c>
      <c r="F25" s="183">
        <v>0</v>
      </c>
      <c r="G25" s="183">
        <v>0</v>
      </c>
      <c r="H25" s="183">
        <v>0</v>
      </c>
      <c r="I25" s="183">
        <f>2485-375</f>
        <v>2110</v>
      </c>
      <c r="J25" s="183">
        <v>0</v>
      </c>
      <c r="K25" s="183">
        <v>0</v>
      </c>
      <c r="L25" s="183">
        <v>0</v>
      </c>
      <c r="M25" s="183">
        <v>0</v>
      </c>
      <c r="N25" s="183">
        <v>0</v>
      </c>
      <c r="O25" s="183">
        <v>0</v>
      </c>
      <c r="P25" s="183">
        <v>0</v>
      </c>
      <c r="Q25" s="183">
        <v>0</v>
      </c>
      <c r="R25" s="183">
        <v>0</v>
      </c>
      <c r="S25" s="183">
        <v>0</v>
      </c>
      <c r="T25" s="183">
        <v>10955</v>
      </c>
      <c r="U25" s="356">
        <v>0</v>
      </c>
      <c r="V25" s="356">
        <v>0</v>
      </c>
      <c r="W25" s="183">
        <v>0</v>
      </c>
      <c r="X25" s="183"/>
      <c r="Y25" s="183">
        <v>0</v>
      </c>
      <c r="Z25" s="356">
        <v>0</v>
      </c>
      <c r="AA25" s="356">
        <v>0</v>
      </c>
      <c r="AB25" s="356"/>
      <c r="AC25" s="356">
        <v>0</v>
      </c>
      <c r="AD25" s="397">
        <f>SUM(E25:AC25)</f>
        <v>298</v>
      </c>
      <c r="AE25" s="183">
        <v>0</v>
      </c>
      <c r="AF25" s="183">
        <v>0</v>
      </c>
      <c r="AG25" s="183">
        <v>0</v>
      </c>
      <c r="AH25" s="183">
        <v>40.5</v>
      </c>
      <c r="AI25" s="183">
        <v>0</v>
      </c>
      <c r="AJ25" s="356">
        <v>0</v>
      </c>
      <c r="AK25" s="356">
        <v>0</v>
      </c>
      <c r="AL25" s="183">
        <v>0</v>
      </c>
      <c r="AM25" s="183">
        <v>0</v>
      </c>
      <c r="AN25" s="183">
        <v>0</v>
      </c>
      <c r="AO25" s="183">
        <v>0</v>
      </c>
      <c r="AP25" s="183">
        <v>0</v>
      </c>
      <c r="AQ25" s="183">
        <v>0</v>
      </c>
      <c r="AR25" s="183">
        <v>0</v>
      </c>
      <c r="AS25" s="183">
        <v>0</v>
      </c>
      <c r="AT25" s="183">
        <v>0</v>
      </c>
      <c r="AU25" s="183">
        <v>0</v>
      </c>
      <c r="AV25" s="183">
        <v>0</v>
      </c>
      <c r="AW25" s="183">
        <v>0</v>
      </c>
      <c r="AX25" s="183">
        <v>-164.6</v>
      </c>
      <c r="AY25" s="183">
        <v>0</v>
      </c>
      <c r="AZ25" s="183">
        <v>0</v>
      </c>
      <c r="BA25" s="183">
        <v>0</v>
      </c>
      <c r="BB25" s="183">
        <v>0</v>
      </c>
      <c r="BC25" s="183">
        <v>2159</v>
      </c>
      <c r="BD25" s="183">
        <v>0</v>
      </c>
      <c r="BE25" s="183">
        <v>0</v>
      </c>
      <c r="BF25" s="183">
        <v>0</v>
      </c>
      <c r="BG25" s="183"/>
      <c r="BH25" s="183"/>
      <c r="BI25" s="183"/>
      <c r="BJ25" s="183"/>
      <c r="BK25" s="183"/>
      <c r="BL25" s="312">
        <f t="shared" si="77"/>
        <v>2332.9</v>
      </c>
      <c r="BM25" s="182"/>
      <c r="BN25" s="356">
        <v>0</v>
      </c>
      <c r="BO25" s="356">
        <v>0</v>
      </c>
      <c r="BP25" s="356">
        <v>0</v>
      </c>
      <c r="BQ25" s="356">
        <v>0</v>
      </c>
      <c r="BR25" s="356">
        <v>0</v>
      </c>
      <c r="BS25" s="183">
        <v>0</v>
      </c>
      <c r="BT25" s="183">
        <v>0</v>
      </c>
      <c r="BU25" s="183">
        <v>0</v>
      </c>
      <c r="BV25" s="183">
        <v>0</v>
      </c>
      <c r="BW25" s="183">
        <v>0</v>
      </c>
      <c r="BX25" s="183">
        <v>0</v>
      </c>
      <c r="BY25" s="183">
        <v>0</v>
      </c>
      <c r="BZ25" s="183">
        <v>0</v>
      </c>
      <c r="CA25" s="183">
        <v>176</v>
      </c>
      <c r="CB25" s="183"/>
      <c r="CC25" s="279">
        <f t="shared" si="78"/>
        <v>2508.9</v>
      </c>
      <c r="CD25" s="183">
        <f>CC25-BL25</f>
        <v>176</v>
      </c>
    </row>
    <row r="26" spans="1:82" s="178" customFormat="1">
      <c r="A26" s="176">
        <v>11</v>
      </c>
      <c r="C26" s="178" t="s">
        <v>189</v>
      </c>
      <c r="E26" s="307">
        <f>'ROO INPUT 1.00'!F27</f>
        <v>12505</v>
      </c>
      <c r="F26" s="186">
        <v>0</v>
      </c>
      <c r="G26" s="186">
        <v>0</v>
      </c>
      <c r="H26" s="186">
        <v>0</v>
      </c>
      <c r="I26" s="186">
        <v>0</v>
      </c>
      <c r="J26" s="186">
        <v>0</v>
      </c>
      <c r="K26" s="186">
        <v>707</v>
      </c>
      <c r="L26" s="186">
        <v>0</v>
      </c>
      <c r="M26" s="186">
        <v>0</v>
      </c>
      <c r="N26" s="186">
        <v>0</v>
      </c>
      <c r="O26" s="186">
        <v>0</v>
      </c>
      <c r="P26" s="186">
        <v>0</v>
      </c>
      <c r="Q26" s="186">
        <v>0</v>
      </c>
      <c r="R26" s="186">
        <v>0</v>
      </c>
      <c r="S26" s="186">
        <v>0</v>
      </c>
      <c r="T26" s="186">
        <v>0</v>
      </c>
      <c r="U26" s="361">
        <v>0</v>
      </c>
      <c r="V26" s="361">
        <v>0</v>
      </c>
      <c r="W26" s="186">
        <v>0</v>
      </c>
      <c r="X26" s="186">
        <v>0</v>
      </c>
      <c r="Y26" s="186">
        <v>0</v>
      </c>
      <c r="Z26" s="361">
        <v>0</v>
      </c>
      <c r="AA26" s="361">
        <v>0</v>
      </c>
      <c r="AB26" s="361">
        <v>0</v>
      </c>
      <c r="AC26" s="361">
        <v>0</v>
      </c>
      <c r="AD26" s="399">
        <f>SUM(E26:AC26)</f>
        <v>13212</v>
      </c>
      <c r="AE26" s="186">
        <v>0</v>
      </c>
      <c r="AF26" s="186">
        <v>0</v>
      </c>
      <c r="AG26" s="186">
        <v>0</v>
      </c>
      <c r="AH26" s="186">
        <v>0</v>
      </c>
      <c r="AI26" s="186">
        <v>0</v>
      </c>
      <c r="AJ26" s="361">
        <v>0</v>
      </c>
      <c r="AK26" s="361">
        <v>0</v>
      </c>
      <c r="AL26" s="186">
        <v>0</v>
      </c>
      <c r="AM26" s="186">
        <v>0</v>
      </c>
      <c r="AN26" s="186">
        <v>0</v>
      </c>
      <c r="AO26" s="186">
        <v>0</v>
      </c>
      <c r="AP26" s="186">
        <v>0</v>
      </c>
      <c r="AQ26" s="186">
        <v>-784</v>
      </c>
      <c r="AR26" s="186">
        <v>0</v>
      </c>
      <c r="AS26" s="186">
        <v>0</v>
      </c>
      <c r="AT26" s="186">
        <v>0</v>
      </c>
      <c r="AU26" s="186">
        <v>0</v>
      </c>
      <c r="AV26" s="186">
        <v>0</v>
      </c>
      <c r="AW26" s="186">
        <v>0</v>
      </c>
      <c r="AX26" s="186">
        <v>0</v>
      </c>
      <c r="AY26" s="186">
        <v>0</v>
      </c>
      <c r="AZ26" s="186">
        <v>0</v>
      </c>
      <c r="BA26" s="186">
        <v>0</v>
      </c>
      <c r="BB26" s="186">
        <v>0</v>
      </c>
      <c r="BC26" s="186">
        <v>0</v>
      </c>
      <c r="BD26" s="186">
        <v>0</v>
      </c>
      <c r="BE26" s="186">
        <v>0</v>
      </c>
      <c r="BF26" s="186">
        <v>0</v>
      </c>
      <c r="BG26" s="186"/>
      <c r="BH26" s="186"/>
      <c r="BI26" s="186"/>
      <c r="BJ26" s="186"/>
      <c r="BK26" s="186"/>
      <c r="BL26" s="314">
        <f t="shared" si="77"/>
        <v>12428</v>
      </c>
      <c r="BM26" s="182"/>
      <c r="BN26" s="361">
        <v>0</v>
      </c>
      <c r="BO26" s="361">
        <v>0</v>
      </c>
      <c r="BP26" s="361">
        <v>0</v>
      </c>
      <c r="BQ26" s="361">
        <v>0</v>
      </c>
      <c r="BR26" s="186">
        <v>0</v>
      </c>
      <c r="BS26" s="186">
        <v>190</v>
      </c>
      <c r="BT26" s="186">
        <v>0</v>
      </c>
      <c r="BU26" s="186">
        <v>0</v>
      </c>
      <c r="BV26" s="186">
        <v>0</v>
      </c>
      <c r="BW26" s="186">
        <v>0</v>
      </c>
      <c r="BX26" s="186">
        <v>0</v>
      </c>
      <c r="BY26" s="186">
        <v>0</v>
      </c>
      <c r="BZ26" s="186">
        <v>0</v>
      </c>
      <c r="CA26" s="186">
        <v>0</v>
      </c>
      <c r="CB26" s="186"/>
      <c r="CC26" s="281">
        <f t="shared" si="78"/>
        <v>12618</v>
      </c>
      <c r="CD26" s="430">
        <f>CC26-BL26</f>
        <v>190</v>
      </c>
    </row>
    <row r="27" spans="1:82" s="178" customFormat="1">
      <c r="A27" s="176">
        <v>12</v>
      </c>
      <c r="B27" s="178" t="s">
        <v>190</v>
      </c>
      <c r="E27" s="178">
        <f t="shared" ref="E27:AO27" si="79">SUM(E22:E26)</f>
        <v>373036.2</v>
      </c>
      <c r="F27" s="183">
        <f t="shared" si="79"/>
        <v>0</v>
      </c>
      <c r="G27" s="183">
        <f t="shared" si="79"/>
        <v>0</v>
      </c>
      <c r="H27" s="183">
        <f t="shared" si="79"/>
        <v>0</v>
      </c>
      <c r="I27" s="183">
        <f t="shared" ref="I27" si="80">SUM(I22:I26)</f>
        <v>-19935</v>
      </c>
      <c r="J27" s="183">
        <f t="shared" si="79"/>
        <v>0</v>
      </c>
      <c r="K27" s="183">
        <f t="shared" ref="K27" si="81">SUM(K22:K26)</f>
        <v>707</v>
      </c>
      <c r="L27" s="183">
        <f t="shared" si="79"/>
        <v>0</v>
      </c>
      <c r="M27" s="183">
        <f t="shared" si="79"/>
        <v>0</v>
      </c>
      <c r="N27" s="183">
        <f t="shared" si="79"/>
        <v>0</v>
      </c>
      <c r="O27" s="183">
        <f t="shared" si="79"/>
        <v>0</v>
      </c>
      <c r="P27" s="183">
        <f t="shared" si="79"/>
        <v>0</v>
      </c>
      <c r="Q27" s="183">
        <f t="shared" si="79"/>
        <v>0</v>
      </c>
      <c r="R27" s="183">
        <f t="shared" si="79"/>
        <v>0</v>
      </c>
      <c r="S27" s="183">
        <f t="shared" si="79"/>
        <v>0</v>
      </c>
      <c r="T27" s="183">
        <f t="shared" ref="T27" si="82">SUM(T22:T26)</f>
        <v>7870</v>
      </c>
      <c r="U27" s="356">
        <f>SUM(U22:U26)</f>
        <v>-9</v>
      </c>
      <c r="V27" s="356">
        <f t="shared" ref="V27" si="83">SUM(V22:V26)</f>
        <v>0</v>
      </c>
      <c r="W27" s="183">
        <f>SUM(W22:W26)</f>
        <v>0</v>
      </c>
      <c r="X27" s="183">
        <f>SUM(X22:X26)</f>
        <v>0</v>
      </c>
      <c r="Y27" s="183">
        <f>SUM(Y22:Y26)</f>
        <v>42843</v>
      </c>
      <c r="Z27" s="356">
        <f>SUM(Z22:Z26)</f>
        <v>-15</v>
      </c>
      <c r="AA27" s="356">
        <f t="shared" ref="AA27" si="84">SUM(AA22:AA26)</f>
        <v>334</v>
      </c>
      <c r="AB27" s="356">
        <f>SUM(AB22:AB26)</f>
        <v>-129513</v>
      </c>
      <c r="AC27" s="356">
        <f>SUM(AC22:AC26)</f>
        <v>0</v>
      </c>
      <c r="AD27" s="397">
        <f t="shared" si="79"/>
        <v>275318.2</v>
      </c>
      <c r="AE27" s="183">
        <f>SUM(AE22:AE26)</f>
        <v>75852</v>
      </c>
      <c r="AF27" s="183">
        <f t="shared" ref="AF27" si="85">SUM(AF22:AF26)</f>
        <v>0</v>
      </c>
      <c r="AG27" s="183">
        <f t="shared" ref="AG27" si="86">SUM(AG22:AG26)</f>
        <v>0</v>
      </c>
      <c r="AH27" s="183">
        <f>SUM(AH22:AH26)</f>
        <v>355.5</v>
      </c>
      <c r="AI27" s="183">
        <f>SUM(AI22:AI26)</f>
        <v>0</v>
      </c>
      <c r="AJ27" s="356">
        <f>SUM(AJ22:AJ26)</f>
        <v>0</v>
      </c>
      <c r="AK27" s="356">
        <f t="shared" ref="AK27:AL27" si="87">SUM(AK22:AK26)</f>
        <v>2196.6</v>
      </c>
      <c r="AL27" s="183">
        <f t="shared" si="87"/>
        <v>0</v>
      </c>
      <c r="AM27" s="183">
        <f t="shared" ref="AM27:AN27" si="88">SUM(AM22:AM26)</f>
        <v>43.5</v>
      </c>
      <c r="AN27" s="183">
        <f t="shared" si="88"/>
        <v>0</v>
      </c>
      <c r="AO27" s="183">
        <f t="shared" si="79"/>
        <v>0</v>
      </c>
      <c r="AP27" s="183">
        <f>SUM(AP22:AP26)</f>
        <v>0</v>
      </c>
      <c r="AQ27" s="183">
        <f>SUM(AQ22:AQ26)</f>
        <v>-784</v>
      </c>
      <c r="AR27" s="183">
        <f>SUM(AR22:AR26)</f>
        <v>0</v>
      </c>
      <c r="AS27" s="183">
        <f t="shared" ref="AS27" si="89">SUM(AS22:AS26)</f>
        <v>0</v>
      </c>
      <c r="AT27" s="183">
        <f>SUM(AT22:AT26)</f>
        <v>3783.7289999999998</v>
      </c>
      <c r="AU27" s="183">
        <f>SUM(AU22:AU26)</f>
        <v>664.2</v>
      </c>
      <c r="AV27" s="183">
        <f t="shared" ref="AV27:AX27" si="90">SUM(AV22:AV26)</f>
        <v>769.3</v>
      </c>
      <c r="AW27" s="183">
        <f t="shared" si="90"/>
        <v>1123</v>
      </c>
      <c r="AX27" s="183">
        <f t="shared" si="90"/>
        <v>-164.6</v>
      </c>
      <c r="AY27" s="183">
        <f t="shared" ref="AY27:AZ27" si="91">SUM(AY22:AY26)</f>
        <v>0</v>
      </c>
      <c r="AZ27" s="183">
        <f t="shared" si="91"/>
        <v>0</v>
      </c>
      <c r="BA27" s="183">
        <f t="shared" ref="BA27:BD27" si="92">SUM(BA22:BA26)</f>
        <v>0</v>
      </c>
      <c r="BB27" s="183">
        <f t="shared" si="92"/>
        <v>-334</v>
      </c>
      <c r="BC27" s="183">
        <f t="shared" si="92"/>
        <v>2159</v>
      </c>
      <c r="BD27" s="183">
        <f t="shared" si="92"/>
        <v>309</v>
      </c>
      <c r="BE27" s="183">
        <f>SUM(BE22:BE26)</f>
        <v>1117</v>
      </c>
      <c r="BF27" s="183">
        <f>SUM(BF22:BF26)</f>
        <v>-141.31899999999999</v>
      </c>
      <c r="BG27" s="183"/>
      <c r="BH27" s="183"/>
      <c r="BI27" s="183"/>
      <c r="BJ27" s="183"/>
      <c r="BK27" s="183"/>
      <c r="BL27" s="312">
        <f t="shared" si="77"/>
        <v>362267.11</v>
      </c>
      <c r="BM27" s="182"/>
      <c r="BN27" s="356">
        <f t="shared" ref="BN27" si="93">SUM(BN22:BN26)</f>
        <v>-20941</v>
      </c>
      <c r="BO27" s="356">
        <f t="shared" ref="BO27:BP27" si="94">SUM(BO22:BO26)</f>
        <v>0</v>
      </c>
      <c r="BP27" s="356">
        <f t="shared" si="94"/>
        <v>0</v>
      </c>
      <c r="BQ27" s="356">
        <f t="shared" ref="BQ27:BR27" si="95">SUM(BQ22:BQ26)</f>
        <v>898</v>
      </c>
      <c r="BR27" s="183">
        <f t="shared" si="95"/>
        <v>153</v>
      </c>
      <c r="BS27" s="183">
        <f t="shared" ref="BS27" si="96">SUM(BS22:BS26)</f>
        <v>190</v>
      </c>
      <c r="BT27" s="183">
        <f>SUM(BT22:BT26)</f>
        <v>0</v>
      </c>
      <c r="BU27" s="183">
        <f t="shared" ref="BU27" si="97">SUM(BU22:BU26)</f>
        <v>1513.491</v>
      </c>
      <c r="BV27" s="183">
        <f>SUM(BV22:BV26)</f>
        <v>1479</v>
      </c>
      <c r="BW27" s="183">
        <f>SUM(BW22:BW26)</f>
        <v>-108.928</v>
      </c>
      <c r="BX27" s="183">
        <f>SUM(BX22:BX26)</f>
        <v>0</v>
      </c>
      <c r="BY27" s="183">
        <f t="shared" ref="BY27" si="98">SUM(BY22:BY26)</f>
        <v>0</v>
      </c>
      <c r="BZ27" s="183">
        <f>SUM(BZ22:BZ26)</f>
        <v>1661</v>
      </c>
      <c r="CA27" s="183">
        <f>SUM(CA22:CA26)</f>
        <v>176</v>
      </c>
      <c r="CB27" s="183"/>
      <c r="CC27" s="279">
        <f>SUM(BL27:CB27)</f>
        <v>347287.67299999995</v>
      </c>
      <c r="CD27" s="183">
        <f t="shared" ref="CD27" si="99">SUM(CD22:CD26)</f>
        <v>-14979.437000000005</v>
      </c>
    </row>
    <row r="28" spans="1:82" s="178" customFormat="1" ht="8.25" customHeight="1">
      <c r="A28" s="176"/>
      <c r="F28" s="183"/>
      <c r="G28" s="183"/>
      <c r="H28" s="183"/>
      <c r="I28" s="183"/>
      <c r="J28" s="183"/>
      <c r="K28" s="183"/>
      <c r="L28" s="183"/>
      <c r="M28" s="183"/>
      <c r="N28" s="183"/>
      <c r="O28" s="183"/>
      <c r="P28" s="183"/>
      <c r="Q28" s="183"/>
      <c r="R28" s="183"/>
      <c r="S28" s="183"/>
      <c r="T28" s="183"/>
      <c r="U28" s="356"/>
      <c r="V28" s="356"/>
      <c r="W28" s="183"/>
      <c r="X28" s="183"/>
      <c r="Y28" s="183"/>
      <c r="Z28" s="356"/>
      <c r="AA28" s="356"/>
      <c r="AB28" s="356"/>
      <c r="AC28" s="356"/>
      <c r="AD28" s="397"/>
      <c r="AE28" s="183"/>
      <c r="AF28" s="183"/>
      <c r="AG28" s="183"/>
      <c r="AH28" s="183"/>
      <c r="AI28" s="183"/>
      <c r="AJ28" s="356"/>
      <c r="AK28" s="356"/>
      <c r="AL28" s="183"/>
      <c r="AM28" s="183"/>
      <c r="AN28" s="183"/>
      <c r="AO28" s="183"/>
      <c r="AP28" s="183"/>
      <c r="AQ28" s="183"/>
      <c r="AR28" s="183"/>
      <c r="AS28" s="183"/>
      <c r="AT28" s="183"/>
      <c r="AU28" s="183"/>
      <c r="AV28" s="183"/>
      <c r="AW28" s="183"/>
      <c r="AX28" s="183"/>
      <c r="AY28" s="183"/>
      <c r="AZ28" s="183"/>
      <c r="BA28" s="183"/>
      <c r="BB28" s="183"/>
      <c r="BC28" s="183"/>
      <c r="BD28" s="183"/>
      <c r="BE28" s="183"/>
      <c r="BF28" s="183"/>
      <c r="BG28" s="183"/>
      <c r="BH28" s="183"/>
      <c r="BI28" s="183"/>
      <c r="BJ28" s="183"/>
      <c r="BK28" s="183"/>
      <c r="BL28" s="312"/>
      <c r="BM28" s="182"/>
      <c r="BN28" s="356"/>
      <c r="BO28" s="356"/>
      <c r="BP28" s="356"/>
      <c r="BQ28" s="356"/>
      <c r="BR28" s="183"/>
      <c r="BS28" s="183"/>
      <c r="BT28" s="183"/>
      <c r="BU28" s="183"/>
      <c r="BV28" s="183"/>
      <c r="BW28" s="183"/>
      <c r="BX28" s="183"/>
      <c r="BY28" s="183"/>
      <c r="BZ28" s="183"/>
      <c r="CA28" s="183"/>
      <c r="CB28" s="183"/>
      <c r="CC28" s="279"/>
      <c r="CD28" s="183"/>
    </row>
    <row r="29" spans="1:82" s="178" customFormat="1">
      <c r="A29" s="176"/>
      <c r="B29" s="178" t="s">
        <v>191</v>
      </c>
      <c r="F29" s="183"/>
      <c r="G29" s="183"/>
      <c r="H29" s="183"/>
      <c r="I29" s="183"/>
      <c r="J29" s="183"/>
      <c r="K29" s="183"/>
      <c r="L29" s="183"/>
      <c r="M29" s="183"/>
      <c r="N29" s="183"/>
      <c r="O29" s="183"/>
      <c r="P29" s="183"/>
      <c r="Q29" s="183"/>
      <c r="R29" s="183"/>
      <c r="S29" s="183"/>
      <c r="T29" s="183"/>
      <c r="U29" s="356"/>
      <c r="V29" s="356"/>
      <c r="W29" s="183"/>
      <c r="X29" s="183"/>
      <c r="Y29" s="183"/>
      <c r="Z29" s="356"/>
      <c r="AA29" s="356"/>
      <c r="AB29" s="356"/>
      <c r="AC29" s="356"/>
      <c r="AD29" s="397"/>
      <c r="AE29" s="183"/>
      <c r="AF29" s="183"/>
      <c r="AG29" s="183"/>
      <c r="AH29" s="183"/>
      <c r="AI29" s="183"/>
      <c r="AJ29" s="356"/>
      <c r="AK29" s="356"/>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c r="BI29" s="183"/>
      <c r="BJ29" s="183"/>
      <c r="BK29" s="183"/>
      <c r="BL29" s="312"/>
      <c r="BM29" s="182"/>
      <c r="BN29" s="356"/>
      <c r="BO29" s="356"/>
      <c r="BP29" s="356"/>
      <c r="BQ29" s="356"/>
      <c r="BR29" s="183"/>
      <c r="BS29" s="183"/>
      <c r="BT29" s="183"/>
      <c r="BU29" s="183"/>
      <c r="BV29" s="183"/>
      <c r="BW29" s="183"/>
      <c r="BX29" s="183"/>
      <c r="BY29" s="183"/>
      <c r="BZ29" s="183"/>
      <c r="CA29" s="183"/>
      <c r="CB29" s="183"/>
      <c r="CC29" s="279"/>
      <c r="CD29" s="183"/>
    </row>
    <row r="30" spans="1:82" s="178" customFormat="1">
      <c r="A30" s="176">
        <v>13</v>
      </c>
      <c r="C30" s="178" t="s">
        <v>187</v>
      </c>
      <c r="E30" s="178">
        <f>'ROO INPUT 1.00'!F31</f>
        <v>35176</v>
      </c>
      <c r="F30" s="183">
        <v>0</v>
      </c>
      <c r="G30" s="183">
        <v>0</v>
      </c>
      <c r="H30" s="183">
        <v>0</v>
      </c>
      <c r="I30" s="183">
        <v>0</v>
      </c>
      <c r="J30" s="183">
        <v>0</v>
      </c>
      <c r="K30" s="183">
        <v>0</v>
      </c>
      <c r="L30" s="183">
        <v>0</v>
      </c>
      <c r="M30" s="183">
        <v>0</v>
      </c>
      <c r="N30" s="183">
        <v>0</v>
      </c>
      <c r="O30" s="183">
        <v>0</v>
      </c>
      <c r="P30" s="183">
        <v>0</v>
      </c>
      <c r="Q30" s="183">
        <v>0</v>
      </c>
      <c r="R30" s="183">
        <v>0</v>
      </c>
      <c r="S30" s="183">
        <v>0</v>
      </c>
      <c r="T30" s="183">
        <v>0</v>
      </c>
      <c r="U30" s="356">
        <v>-4</v>
      </c>
      <c r="V30" s="356">
        <v>0</v>
      </c>
      <c r="W30" s="183">
        <v>0</v>
      </c>
      <c r="X30" s="183">
        <v>0</v>
      </c>
      <c r="Y30" s="183">
        <v>0</v>
      </c>
      <c r="Z30" s="356">
        <v>0</v>
      </c>
      <c r="AA30" s="356">
        <v>0</v>
      </c>
      <c r="AB30" s="356">
        <v>0</v>
      </c>
      <c r="AC30" s="356">
        <v>0</v>
      </c>
      <c r="AD30" s="397">
        <f>SUM(E30:AC30)</f>
        <v>35172</v>
      </c>
      <c r="AE30" s="183">
        <v>0</v>
      </c>
      <c r="AF30" s="183">
        <v>0</v>
      </c>
      <c r="AG30" s="183">
        <v>0</v>
      </c>
      <c r="AH30" s="183">
        <v>0</v>
      </c>
      <c r="AI30" s="183">
        <v>0</v>
      </c>
      <c r="AJ30" s="356">
        <v>0</v>
      </c>
      <c r="AK30" s="356">
        <v>1506.5</v>
      </c>
      <c r="AL30" s="183">
        <v>0</v>
      </c>
      <c r="AM30" s="183">
        <v>30.3</v>
      </c>
      <c r="AN30" s="183">
        <v>0</v>
      </c>
      <c r="AO30" s="183">
        <v>0</v>
      </c>
      <c r="AP30" s="183">
        <v>0</v>
      </c>
      <c r="AQ30" s="183">
        <v>0</v>
      </c>
      <c r="AR30" s="183">
        <v>0</v>
      </c>
      <c r="AS30" s="183">
        <v>0</v>
      </c>
      <c r="AT30" s="183">
        <f>1828077/1000</f>
        <v>1828.077</v>
      </c>
      <c r="AU30" s="183">
        <v>0</v>
      </c>
      <c r="AV30" s="183">
        <v>0</v>
      </c>
      <c r="AW30" s="183">
        <v>0</v>
      </c>
      <c r="AX30" s="183">
        <v>0</v>
      </c>
      <c r="AY30" s="183">
        <v>0</v>
      </c>
      <c r="AZ30" s="183">
        <v>0</v>
      </c>
      <c r="BA30" s="183">
        <v>0</v>
      </c>
      <c r="BB30" s="183">
        <v>0</v>
      </c>
      <c r="BC30" s="183">
        <v>0</v>
      </c>
      <c r="BD30" s="183">
        <v>-2678</v>
      </c>
      <c r="BE30" s="183">
        <v>0</v>
      </c>
      <c r="BF30" s="183">
        <v>-496.21</v>
      </c>
      <c r="BG30" s="183"/>
      <c r="BH30" s="183"/>
      <c r="BI30" s="183"/>
      <c r="BJ30" s="183"/>
      <c r="BK30" s="183"/>
      <c r="BL30" s="312">
        <f t="shared" ref="BL30:BL34" si="100">SUM(AD30:BK30)</f>
        <v>35362.667000000001</v>
      </c>
      <c r="BM30" s="182"/>
      <c r="BN30" s="356">
        <v>0</v>
      </c>
      <c r="BO30" s="356">
        <v>0</v>
      </c>
      <c r="BP30" s="356">
        <v>0</v>
      </c>
      <c r="BQ30" s="356">
        <v>631</v>
      </c>
      <c r="BR30" s="183">
        <v>106.7</v>
      </c>
      <c r="BS30" s="183">
        <v>0</v>
      </c>
      <c r="BT30" s="183">
        <v>0</v>
      </c>
      <c r="BU30" s="183">
        <f>731231/1000</f>
        <v>731.23099999999999</v>
      </c>
      <c r="BV30" s="183">
        <v>0</v>
      </c>
      <c r="BW30" s="183">
        <v>-241.239</v>
      </c>
      <c r="BX30" s="183">
        <v>0</v>
      </c>
      <c r="BY30" s="183">
        <v>0</v>
      </c>
      <c r="BZ30" s="183">
        <v>0</v>
      </c>
      <c r="CA30" s="183">
        <v>0</v>
      </c>
      <c r="CB30" s="183"/>
      <c r="CC30" s="279">
        <f t="shared" ref="CC30:CC34" si="101">SUM(BL30:CB30)</f>
        <v>36590.358999999997</v>
      </c>
      <c r="CD30" s="183">
        <f>CC30-BL30</f>
        <v>1227.6919999999955</v>
      </c>
    </row>
    <row r="31" spans="1:82" s="178" customFormat="1">
      <c r="A31" s="176">
        <v>14</v>
      </c>
      <c r="C31" s="178" t="s">
        <v>514</v>
      </c>
      <c r="E31" s="178">
        <f>'ROO INPUT 1.00'!F32</f>
        <v>38618.5</v>
      </c>
      <c r="F31" s="183">
        <v>0</v>
      </c>
      <c r="G31" s="183">
        <v>0</v>
      </c>
      <c r="H31" s="183">
        <v>0</v>
      </c>
      <c r="I31" s="183">
        <v>0</v>
      </c>
      <c r="J31" s="183">
        <v>0</v>
      </c>
      <c r="K31" s="183">
        <v>0</v>
      </c>
      <c r="L31" s="183">
        <v>0</v>
      </c>
      <c r="M31" s="183">
        <v>0</v>
      </c>
      <c r="N31" s="183">
        <v>0</v>
      </c>
      <c r="O31" s="183">
        <v>0</v>
      </c>
      <c r="P31" s="183">
        <v>0</v>
      </c>
      <c r="Q31" s="183">
        <v>0</v>
      </c>
      <c r="R31" s="183">
        <v>-68</v>
      </c>
      <c r="S31" s="183">
        <v>0</v>
      </c>
      <c r="T31" s="183">
        <v>0</v>
      </c>
      <c r="U31" s="356">
        <v>0</v>
      </c>
      <c r="V31" s="356">
        <v>0</v>
      </c>
      <c r="W31" s="183">
        <v>0</v>
      </c>
      <c r="X31" s="183">
        <v>0</v>
      </c>
      <c r="Y31" s="183">
        <v>0</v>
      </c>
      <c r="Z31" s="356">
        <v>0</v>
      </c>
      <c r="AA31" s="356">
        <v>0</v>
      </c>
      <c r="AB31" s="356">
        <v>0</v>
      </c>
      <c r="AC31" s="356">
        <v>0</v>
      </c>
      <c r="AD31" s="397">
        <f>SUM(E31:AC31)</f>
        <v>38550.5</v>
      </c>
      <c r="AE31" s="183">
        <v>0</v>
      </c>
      <c r="AF31" s="183">
        <v>0</v>
      </c>
      <c r="AG31" s="183">
        <v>0</v>
      </c>
      <c r="AH31" s="183">
        <v>0</v>
      </c>
      <c r="AI31" s="183">
        <v>0</v>
      </c>
      <c r="AJ31" s="356">
        <v>0</v>
      </c>
      <c r="AK31" s="356">
        <v>0</v>
      </c>
      <c r="AL31" s="183">
        <v>0</v>
      </c>
      <c r="AM31" s="183">
        <v>0</v>
      </c>
      <c r="AN31" s="183">
        <v>0</v>
      </c>
      <c r="AO31" s="183">
        <v>0</v>
      </c>
      <c r="AP31" s="183">
        <v>0</v>
      </c>
      <c r="AQ31" s="183">
        <v>0</v>
      </c>
      <c r="AR31" s="183">
        <v>0</v>
      </c>
      <c r="AS31" s="183">
        <v>0</v>
      </c>
      <c r="AT31" s="183">
        <v>0</v>
      </c>
      <c r="AU31" s="183">
        <v>1582.6</v>
      </c>
      <c r="AV31" s="183">
        <v>-634.9</v>
      </c>
      <c r="AW31" s="183">
        <f>3131</f>
        <v>3131</v>
      </c>
      <c r="AX31" s="183">
        <v>0</v>
      </c>
      <c r="AY31" s="183">
        <v>0</v>
      </c>
      <c r="AZ31" s="183">
        <v>0</v>
      </c>
      <c r="BA31" s="183">
        <v>0</v>
      </c>
      <c r="BB31" s="183">
        <v>0</v>
      </c>
      <c r="BC31" s="183">
        <v>0</v>
      </c>
      <c r="BD31" s="183">
        <v>0</v>
      </c>
      <c r="BE31" s="183">
        <v>2488</v>
      </c>
      <c r="BF31" s="183">
        <v>0</v>
      </c>
      <c r="BG31" s="183"/>
      <c r="BH31" s="183"/>
      <c r="BI31" s="183"/>
      <c r="BJ31" s="183"/>
      <c r="BK31" s="183"/>
      <c r="BL31" s="312">
        <f t="shared" si="100"/>
        <v>45117.2</v>
      </c>
      <c r="BM31" s="182"/>
      <c r="BN31" s="356">
        <v>0</v>
      </c>
      <c r="BO31" s="356">
        <v>0</v>
      </c>
      <c r="BP31" s="356">
        <v>0</v>
      </c>
      <c r="BQ31" s="183">
        <v>0</v>
      </c>
      <c r="BR31" s="183">
        <v>0</v>
      </c>
      <c r="BS31" s="183">
        <v>0</v>
      </c>
      <c r="BT31" s="183">
        <v>0</v>
      </c>
      <c r="BU31" s="183">
        <v>0</v>
      </c>
      <c r="BV31" s="183">
        <v>2519</v>
      </c>
      <c r="BW31" s="183">
        <v>0</v>
      </c>
      <c r="BX31" s="183">
        <v>0</v>
      </c>
      <c r="BY31" s="183">
        <v>0</v>
      </c>
      <c r="BZ31" s="183">
        <v>0</v>
      </c>
      <c r="CA31" s="183">
        <v>0</v>
      </c>
      <c r="CB31" s="183"/>
      <c r="CC31" s="279">
        <f t="shared" si="101"/>
        <v>47636.2</v>
      </c>
      <c r="CD31" s="183">
        <f>CC31-BL31</f>
        <v>2519</v>
      </c>
    </row>
    <row r="32" spans="1:82" s="178" customFormat="1">
      <c r="A32" s="176" t="s">
        <v>759</v>
      </c>
      <c r="C32" s="178" t="s">
        <v>512</v>
      </c>
      <c r="E32" s="178">
        <f>'ROO INPUT 1.00'!F33</f>
        <v>0</v>
      </c>
      <c r="F32" s="183">
        <v>0</v>
      </c>
      <c r="G32" s="183">
        <v>0</v>
      </c>
      <c r="H32" s="183">
        <v>0</v>
      </c>
      <c r="I32" s="183">
        <v>0</v>
      </c>
      <c r="J32" s="183">
        <v>0</v>
      </c>
      <c r="K32" s="183">
        <v>0</v>
      </c>
      <c r="L32" s="183">
        <v>0</v>
      </c>
      <c r="M32" s="183">
        <v>0</v>
      </c>
      <c r="N32" s="183">
        <v>0</v>
      </c>
      <c r="O32" s="183">
        <v>0</v>
      </c>
      <c r="P32" s="183">
        <v>0</v>
      </c>
      <c r="Q32" s="183">
        <v>0</v>
      </c>
      <c r="R32" s="183">
        <v>0</v>
      </c>
      <c r="S32" s="183">
        <v>0</v>
      </c>
      <c r="T32" s="183">
        <v>0</v>
      </c>
      <c r="U32" s="183">
        <v>0</v>
      </c>
      <c r="V32" s="183">
        <v>0</v>
      </c>
      <c r="W32" s="183">
        <v>0</v>
      </c>
      <c r="X32" s="183">
        <v>0</v>
      </c>
      <c r="Y32" s="183">
        <v>0</v>
      </c>
      <c r="Z32" s="183">
        <v>0</v>
      </c>
      <c r="AA32" s="183">
        <v>0</v>
      </c>
      <c r="AB32" s="183">
        <v>0</v>
      </c>
      <c r="AC32" s="183">
        <v>0</v>
      </c>
      <c r="AD32" s="397">
        <f>SUM(E32:AC32)</f>
        <v>0</v>
      </c>
      <c r="AE32" s="183">
        <v>0</v>
      </c>
      <c r="AF32" s="183">
        <v>0</v>
      </c>
      <c r="AG32" s="183">
        <v>0</v>
      </c>
      <c r="AH32" s="183">
        <v>0</v>
      </c>
      <c r="AI32" s="183">
        <v>0</v>
      </c>
      <c r="AJ32" s="183">
        <v>0</v>
      </c>
      <c r="AK32" s="183">
        <v>0</v>
      </c>
      <c r="AL32" s="183">
        <v>0</v>
      </c>
      <c r="AM32" s="183">
        <v>0</v>
      </c>
      <c r="AN32" s="183">
        <v>0</v>
      </c>
      <c r="AO32" s="183">
        <v>0</v>
      </c>
      <c r="AP32" s="183">
        <v>0</v>
      </c>
      <c r="AQ32" s="183">
        <v>0</v>
      </c>
      <c r="AR32" s="183">
        <v>0</v>
      </c>
      <c r="AS32" s="183">
        <v>0</v>
      </c>
      <c r="AT32" s="183">
        <v>0</v>
      </c>
      <c r="AU32" s="183">
        <v>0</v>
      </c>
      <c r="AV32" s="183">
        <v>0</v>
      </c>
      <c r="AW32" s="183">
        <v>0</v>
      </c>
      <c r="AX32" s="183">
        <v>0</v>
      </c>
      <c r="AY32" s="183">
        <v>0</v>
      </c>
      <c r="AZ32" s="183">
        <v>0</v>
      </c>
      <c r="BA32" s="183">
        <v>132</v>
      </c>
      <c r="BB32" s="183">
        <v>0</v>
      </c>
      <c r="BC32" s="183">
        <v>0</v>
      </c>
      <c r="BD32" s="183">
        <v>0</v>
      </c>
      <c r="BE32" s="183">
        <v>0</v>
      </c>
      <c r="BF32" s="183">
        <v>0</v>
      </c>
      <c r="BG32" s="183"/>
      <c r="BH32" s="183"/>
      <c r="BI32" s="183"/>
      <c r="BJ32" s="183"/>
      <c r="BK32" s="183"/>
      <c r="BL32" s="312">
        <f t="shared" si="100"/>
        <v>132</v>
      </c>
      <c r="BM32" s="182"/>
      <c r="BN32" s="183">
        <v>0</v>
      </c>
      <c r="BO32" s="183">
        <v>0</v>
      </c>
      <c r="BP32" s="183">
        <v>0</v>
      </c>
      <c r="BQ32" s="183">
        <v>0</v>
      </c>
      <c r="BR32" s="183">
        <v>0</v>
      </c>
      <c r="BS32" s="183">
        <v>0</v>
      </c>
      <c r="BT32" s="183">
        <v>0</v>
      </c>
      <c r="BU32" s="183">
        <v>0</v>
      </c>
      <c r="BV32" s="183">
        <v>0</v>
      </c>
      <c r="BW32" s="183">
        <v>0</v>
      </c>
      <c r="BX32" s="183">
        <v>0</v>
      </c>
      <c r="BY32" s="183">
        <v>36</v>
      </c>
      <c r="BZ32" s="183">
        <v>0</v>
      </c>
      <c r="CA32" s="183">
        <v>0</v>
      </c>
      <c r="CB32" s="183"/>
      <c r="CC32" s="279">
        <f t="shared" si="101"/>
        <v>168</v>
      </c>
      <c r="CD32" s="183">
        <f>CC32-BL32</f>
        <v>36</v>
      </c>
    </row>
    <row r="33" spans="1:82" s="178" customFormat="1">
      <c r="A33" s="176">
        <v>15</v>
      </c>
      <c r="C33" s="178" t="s">
        <v>189</v>
      </c>
      <c r="E33" s="307">
        <f>'ROO INPUT 1.00'!F34</f>
        <v>50732</v>
      </c>
      <c r="F33" s="186">
        <v>0</v>
      </c>
      <c r="G33" s="186">
        <v>0</v>
      </c>
      <c r="H33" s="186">
        <v>0</v>
      </c>
      <c r="I33" s="186">
        <f>ROUND(I$13*'CF '!$E$16,0)</f>
        <v>-886</v>
      </c>
      <c r="J33" s="186">
        <v>-20759</v>
      </c>
      <c r="K33" s="186">
        <v>651</v>
      </c>
      <c r="L33" s="186">
        <v>0</v>
      </c>
      <c r="M33" s="186">
        <v>0</v>
      </c>
      <c r="N33" s="186">
        <v>0</v>
      </c>
      <c r="O33" s="186">
        <v>0</v>
      </c>
      <c r="P33" s="186">
        <v>0</v>
      </c>
      <c r="Q33" s="186">
        <v>-58</v>
      </c>
      <c r="R33" s="186">
        <v>0</v>
      </c>
      <c r="S33" s="186">
        <f>ROUND(S$13*'CF '!$E$16,0)</f>
        <v>-397</v>
      </c>
      <c r="T33" s="186">
        <f>ROUND(T$13*'CF '!$E$16,0)</f>
        <v>346</v>
      </c>
      <c r="U33" s="361">
        <v>0</v>
      </c>
      <c r="V33" s="361">
        <v>0</v>
      </c>
      <c r="W33" s="186">
        <v>0</v>
      </c>
      <c r="X33" s="186">
        <v>0</v>
      </c>
      <c r="Y33" s="186">
        <f>ROUND(Y$13*'CF '!$E$16,0)</f>
        <v>139</v>
      </c>
      <c r="Z33" s="361">
        <v>0</v>
      </c>
      <c r="AA33" s="361">
        <v>0</v>
      </c>
      <c r="AB33" s="361">
        <v>0</v>
      </c>
      <c r="AC33" s="361">
        <v>0</v>
      </c>
      <c r="AD33" s="399">
        <f>SUM(E33:AC33)</f>
        <v>29768</v>
      </c>
      <c r="AE33" s="186">
        <f>ROUND(AE$13*'CF '!$E$16,0)</f>
        <v>0</v>
      </c>
      <c r="AF33" s="186">
        <v>0</v>
      </c>
      <c r="AG33" s="186">
        <f>ROUND(AG$13*'CF '!$E$16,0)</f>
        <v>1175</v>
      </c>
      <c r="AH33" s="186">
        <v>0</v>
      </c>
      <c r="AI33" s="186">
        <v>0</v>
      </c>
      <c r="AJ33" s="361">
        <v>0</v>
      </c>
      <c r="AK33" s="361">
        <v>0</v>
      </c>
      <c r="AL33" s="186">
        <v>0</v>
      </c>
      <c r="AM33" s="186">
        <v>0</v>
      </c>
      <c r="AN33" s="186">
        <v>0</v>
      </c>
      <c r="AO33" s="186">
        <v>0</v>
      </c>
      <c r="AP33" s="186">
        <v>0</v>
      </c>
      <c r="AQ33" s="186">
        <v>599</v>
      </c>
      <c r="AR33" s="186">
        <v>0</v>
      </c>
      <c r="AS33" s="186">
        <v>0</v>
      </c>
      <c r="AT33" s="186">
        <v>0</v>
      </c>
      <c r="AU33" s="186">
        <v>0</v>
      </c>
      <c r="AV33" s="186">
        <v>0</v>
      </c>
      <c r="AW33" s="186">
        <v>0</v>
      </c>
      <c r="AX33" s="186">
        <v>0</v>
      </c>
      <c r="AY33" s="186">
        <v>0</v>
      </c>
      <c r="AZ33" s="186">
        <v>0</v>
      </c>
      <c r="BA33" s="186">
        <v>0</v>
      </c>
      <c r="BB33" s="186">
        <v>0</v>
      </c>
      <c r="BC33" s="186">
        <v>0</v>
      </c>
      <c r="BD33" s="186">
        <v>0</v>
      </c>
      <c r="BE33" s="186">
        <v>0</v>
      </c>
      <c r="BF33" s="186">
        <v>0</v>
      </c>
      <c r="BG33" s="186"/>
      <c r="BH33" s="186"/>
      <c r="BI33" s="186"/>
      <c r="BJ33" s="186"/>
      <c r="BK33" s="186"/>
      <c r="BL33" s="314">
        <f t="shared" si="100"/>
        <v>31542</v>
      </c>
      <c r="BM33" s="182"/>
      <c r="BN33" s="361">
        <v>0</v>
      </c>
      <c r="BO33" s="361">
        <v>0</v>
      </c>
      <c r="BP33" s="361">
        <v>0</v>
      </c>
      <c r="BQ33" s="361">
        <v>0</v>
      </c>
      <c r="BR33" s="186">
        <v>0</v>
      </c>
      <c r="BS33" s="186">
        <v>557</v>
      </c>
      <c r="BT33" s="186">
        <v>0</v>
      </c>
      <c r="BU33" s="186">
        <v>0</v>
      </c>
      <c r="BV33" s="186">
        <v>0</v>
      </c>
      <c r="BW33" s="186">
        <v>0</v>
      </c>
      <c r="BX33" s="186">
        <v>0</v>
      </c>
      <c r="BY33" s="186">
        <v>0</v>
      </c>
      <c r="BZ33" s="186">
        <v>0</v>
      </c>
      <c r="CA33" s="186">
        <v>0</v>
      </c>
      <c r="CB33" s="186"/>
      <c r="CC33" s="281">
        <f t="shared" si="101"/>
        <v>32099</v>
      </c>
      <c r="CD33" s="430">
        <f>CC33-BL33</f>
        <v>557</v>
      </c>
    </row>
    <row r="34" spans="1:82" s="178" customFormat="1">
      <c r="A34" s="176">
        <v>16</v>
      </c>
      <c r="B34" s="178" t="s">
        <v>192</v>
      </c>
      <c r="E34" s="178">
        <f t="shared" ref="E34:AA34" si="102">SUM(E30:E33)</f>
        <v>124526.5</v>
      </c>
      <c r="F34" s="183">
        <f t="shared" si="102"/>
        <v>0</v>
      </c>
      <c r="G34" s="183">
        <f t="shared" si="102"/>
        <v>0</v>
      </c>
      <c r="H34" s="183">
        <f t="shared" si="102"/>
        <v>0</v>
      </c>
      <c r="I34" s="183">
        <f t="shared" si="102"/>
        <v>-886</v>
      </c>
      <c r="J34" s="183">
        <f t="shared" si="102"/>
        <v>-20759</v>
      </c>
      <c r="K34" s="183">
        <f t="shared" si="102"/>
        <v>651</v>
      </c>
      <c r="L34" s="183">
        <f t="shared" si="102"/>
        <v>0</v>
      </c>
      <c r="M34" s="183">
        <f t="shared" si="102"/>
        <v>0</v>
      </c>
      <c r="N34" s="183">
        <f t="shared" si="102"/>
        <v>0</v>
      </c>
      <c r="O34" s="183">
        <f t="shared" si="102"/>
        <v>0</v>
      </c>
      <c r="P34" s="183">
        <f t="shared" si="102"/>
        <v>0</v>
      </c>
      <c r="Q34" s="183">
        <f t="shared" si="102"/>
        <v>-58</v>
      </c>
      <c r="R34" s="183">
        <f t="shared" si="102"/>
        <v>-68</v>
      </c>
      <c r="S34" s="183">
        <f t="shared" si="102"/>
        <v>-397</v>
      </c>
      <c r="T34" s="183">
        <f t="shared" si="102"/>
        <v>346</v>
      </c>
      <c r="U34" s="356">
        <f t="shared" si="102"/>
        <v>-4</v>
      </c>
      <c r="V34" s="356">
        <f>SUM(V30:V33)</f>
        <v>0</v>
      </c>
      <c r="W34" s="183">
        <f>SUM(W30:W33)</f>
        <v>0</v>
      </c>
      <c r="X34" s="183">
        <f>SUM(X30:X33)</f>
        <v>0</v>
      </c>
      <c r="Y34" s="183">
        <f t="shared" si="102"/>
        <v>139</v>
      </c>
      <c r="Z34" s="356">
        <f t="shared" si="102"/>
        <v>0</v>
      </c>
      <c r="AA34" s="356">
        <f t="shared" si="102"/>
        <v>0</v>
      </c>
      <c r="AB34" s="356">
        <f>SUM(AB30:AB33)</f>
        <v>0</v>
      </c>
      <c r="AC34" s="356">
        <f t="shared" ref="AC34" si="103">SUM(AC30:AC33)</f>
        <v>0</v>
      </c>
      <c r="AD34" s="397">
        <f>SUM(AD30:AD33)</f>
        <v>103490.5</v>
      </c>
      <c r="AE34" s="183">
        <f>SUM(AE30:AE33)</f>
        <v>0</v>
      </c>
      <c r="AF34" s="183">
        <f t="shared" ref="AF34" si="104">SUM(AF30:AF33)</f>
        <v>0</v>
      </c>
      <c r="AG34" s="183">
        <f t="shared" ref="AG34" si="105">SUM(AG30:AG33)</f>
        <v>1175</v>
      </c>
      <c r="AH34" s="183">
        <f>SUM(AH30:AH33)</f>
        <v>0</v>
      </c>
      <c r="AI34" s="183">
        <f t="shared" ref="AI34" si="106">SUM(AI30:AI33)</f>
        <v>0</v>
      </c>
      <c r="AJ34" s="356">
        <f>SUM(AJ30:AJ33)</f>
        <v>0</v>
      </c>
      <c r="AK34" s="356">
        <f t="shared" ref="AK34:AO34" si="107">SUM(AK30:AK33)</f>
        <v>1506.5</v>
      </c>
      <c r="AL34" s="183">
        <f t="shared" si="107"/>
        <v>0</v>
      </c>
      <c r="AM34" s="183">
        <f t="shared" si="107"/>
        <v>30.3</v>
      </c>
      <c r="AN34" s="183">
        <f t="shared" ref="AN34" si="108">SUM(AN30:AN33)</f>
        <v>0</v>
      </c>
      <c r="AO34" s="183">
        <f t="shared" si="107"/>
        <v>0</v>
      </c>
      <c r="AP34" s="183">
        <f>SUM(AP30:AP33)</f>
        <v>0</v>
      </c>
      <c r="AQ34" s="183">
        <f>SUM(AQ30:AQ33)</f>
        <v>599</v>
      </c>
      <c r="AR34" s="183">
        <f>SUM(AR30:AR33)</f>
        <v>0</v>
      </c>
      <c r="AS34" s="183">
        <f t="shared" ref="AS34" si="109">SUM(AS30:AS33)</f>
        <v>0</v>
      </c>
      <c r="AT34" s="183">
        <f>SUM(AT30:AT33)</f>
        <v>1828.077</v>
      </c>
      <c r="AU34" s="183">
        <f>SUM(AU30:AU33)</f>
        <v>1582.6</v>
      </c>
      <c r="AV34" s="183">
        <f t="shared" ref="AV34:AX34" si="110">SUM(AV30:AV33)</f>
        <v>-634.9</v>
      </c>
      <c r="AW34" s="183">
        <f t="shared" si="110"/>
        <v>3131</v>
      </c>
      <c r="AX34" s="183">
        <f t="shared" si="110"/>
        <v>0</v>
      </c>
      <c r="AY34" s="183">
        <f t="shared" ref="AY34:AZ34" si="111">SUM(AY30:AY33)</f>
        <v>0</v>
      </c>
      <c r="AZ34" s="183">
        <f t="shared" si="111"/>
        <v>0</v>
      </c>
      <c r="BA34" s="183">
        <f t="shared" ref="BA34:BD34" si="112">SUM(BA30:BA33)</f>
        <v>132</v>
      </c>
      <c r="BB34" s="183">
        <f t="shared" si="112"/>
        <v>0</v>
      </c>
      <c r="BC34" s="183">
        <f t="shared" si="112"/>
        <v>0</v>
      </c>
      <c r="BD34" s="183">
        <f t="shared" si="112"/>
        <v>-2678</v>
      </c>
      <c r="BE34" s="183">
        <f>SUM(BE30:BE33)</f>
        <v>2488</v>
      </c>
      <c r="BF34" s="183">
        <f>SUM(BF30:BF33)</f>
        <v>-496.21</v>
      </c>
      <c r="BG34" s="183"/>
      <c r="BH34" s="183"/>
      <c r="BI34" s="183"/>
      <c r="BJ34" s="183"/>
      <c r="BK34" s="183"/>
      <c r="BL34" s="312">
        <f t="shared" si="100"/>
        <v>112153.86700000001</v>
      </c>
      <c r="BM34" s="182"/>
      <c r="BN34" s="356">
        <f t="shared" ref="BN34" si="113">SUM(BN30:BN33)</f>
        <v>0</v>
      </c>
      <c r="BO34" s="356">
        <f t="shared" ref="BO34:BP34" si="114">SUM(BO30:BO33)</f>
        <v>0</v>
      </c>
      <c r="BP34" s="356">
        <f t="shared" si="114"/>
        <v>0</v>
      </c>
      <c r="BQ34" s="356">
        <f t="shared" ref="BQ34:BR34" si="115">SUM(BQ30:BQ33)</f>
        <v>631</v>
      </c>
      <c r="BR34" s="183">
        <f t="shared" si="115"/>
        <v>106.7</v>
      </c>
      <c r="BS34" s="183">
        <f>SUM(BS30:BS33)</f>
        <v>557</v>
      </c>
      <c r="BT34" s="183">
        <f>SUM(BT30:BT33)</f>
        <v>0</v>
      </c>
      <c r="BU34" s="183">
        <f t="shared" ref="BU34" si="116">SUM(BU30:BU33)</f>
        <v>731.23099999999999</v>
      </c>
      <c r="BV34" s="183">
        <f>SUM(BV30:BV33)</f>
        <v>2519</v>
      </c>
      <c r="BW34" s="183">
        <f>SUM(BW30:BW33)</f>
        <v>-241.239</v>
      </c>
      <c r="BX34" s="183">
        <f>SUM(BX30:BX33)</f>
        <v>0</v>
      </c>
      <c r="BY34" s="183">
        <f t="shared" ref="BY34" si="117">SUM(BY30:BY33)</f>
        <v>36</v>
      </c>
      <c r="BZ34" s="183">
        <f>SUM(BZ30:BZ33)</f>
        <v>0</v>
      </c>
      <c r="CA34" s="183">
        <f>SUM(CA30:CA33)</f>
        <v>0</v>
      </c>
      <c r="CB34" s="183"/>
      <c r="CC34" s="279">
        <f t="shared" si="101"/>
        <v>116493.55900000001</v>
      </c>
      <c r="CD34" s="183">
        <f t="shared" ref="CD34" si="118">SUM(CD30:CD33)</f>
        <v>4339.6919999999955</v>
      </c>
    </row>
    <row r="35" spans="1:82" s="178" customFormat="1" ht="6" customHeight="1">
      <c r="F35" s="183"/>
      <c r="G35" s="183"/>
      <c r="H35" s="183"/>
      <c r="I35" s="183"/>
      <c r="J35" s="183"/>
      <c r="K35" s="183"/>
      <c r="L35" s="183"/>
      <c r="M35" s="183"/>
      <c r="N35" s="183"/>
      <c r="O35" s="183"/>
      <c r="P35" s="183"/>
      <c r="Q35" s="183"/>
      <c r="R35" s="183"/>
      <c r="S35" s="183"/>
      <c r="T35" s="183"/>
      <c r="U35" s="356"/>
      <c r="V35" s="356"/>
      <c r="W35" s="183"/>
      <c r="X35" s="183"/>
      <c r="Y35" s="183"/>
      <c r="Z35" s="356"/>
      <c r="AA35" s="356"/>
      <c r="AB35" s="356"/>
      <c r="AC35" s="356"/>
      <c r="AD35" s="397"/>
      <c r="AE35" s="183"/>
      <c r="AF35" s="183"/>
      <c r="AG35" s="183"/>
      <c r="AH35" s="183"/>
      <c r="AI35" s="183"/>
      <c r="AJ35" s="356"/>
      <c r="AK35" s="356"/>
      <c r="AL35" s="183"/>
      <c r="AM35" s="183"/>
      <c r="AN35" s="183"/>
      <c r="AO35" s="183"/>
      <c r="AP35" s="183"/>
      <c r="AQ35" s="183"/>
      <c r="AR35" s="183"/>
      <c r="AS35" s="183"/>
      <c r="AT35" s="183"/>
      <c r="AU35" s="183"/>
      <c r="AV35" s="183"/>
      <c r="AW35" s="183"/>
      <c r="AX35" s="183"/>
      <c r="AY35" s="183"/>
      <c r="AZ35" s="183"/>
      <c r="BA35" s="183"/>
      <c r="BB35" s="183"/>
      <c r="BC35" s="183"/>
      <c r="BD35" s="183"/>
      <c r="BE35" s="183"/>
      <c r="BF35" s="183"/>
      <c r="BG35" s="183"/>
      <c r="BH35" s="183"/>
      <c r="BI35" s="183"/>
      <c r="BJ35" s="183"/>
      <c r="BK35" s="183"/>
      <c r="BL35" s="312"/>
      <c r="BM35" s="182"/>
      <c r="BN35" s="356"/>
      <c r="BO35" s="356"/>
      <c r="BP35" s="356"/>
      <c r="BQ35" s="356"/>
      <c r="BR35" s="183"/>
      <c r="BS35" s="183"/>
      <c r="BT35" s="183"/>
      <c r="BU35" s="183"/>
      <c r="BV35" s="183"/>
      <c r="BW35" s="183"/>
      <c r="BX35" s="183"/>
      <c r="BY35" s="183"/>
      <c r="BZ35" s="183"/>
      <c r="CA35" s="183"/>
      <c r="CB35" s="183"/>
      <c r="CC35" s="279"/>
      <c r="CD35" s="183"/>
    </row>
    <row r="36" spans="1:82" s="178" customFormat="1">
      <c r="A36" s="176">
        <v>17</v>
      </c>
      <c r="B36" s="178" t="s">
        <v>193</v>
      </c>
      <c r="E36" s="178">
        <f>'ROO INPUT 1.00'!F37</f>
        <v>5749</v>
      </c>
      <c r="F36" s="183">
        <v>0</v>
      </c>
      <c r="G36" s="183">
        <v>0</v>
      </c>
      <c r="H36" s="183">
        <v>0</v>
      </c>
      <c r="I36" s="183">
        <f>ROUND(I$13*'CF '!$E$12,0)</f>
        <v>-114</v>
      </c>
      <c r="J36" s="183">
        <v>0</v>
      </c>
      <c r="K36" s="183">
        <v>0</v>
      </c>
      <c r="L36" s="183">
        <v>912</v>
      </c>
      <c r="M36" s="183">
        <v>0</v>
      </c>
      <c r="N36" s="183">
        <v>0</v>
      </c>
      <c r="O36" s="183">
        <v>0</v>
      </c>
      <c r="P36" s="183">
        <v>0</v>
      </c>
      <c r="Q36" s="183">
        <v>0</v>
      </c>
      <c r="R36" s="183">
        <v>0</v>
      </c>
      <c r="S36" s="183">
        <f>ROUND(S$13*'CF '!$E$12,0)</f>
        <v>-51</v>
      </c>
      <c r="T36" s="183">
        <f>ROUND(T$13*'CF '!$E$12,0)</f>
        <v>44</v>
      </c>
      <c r="U36" s="356">
        <v>0</v>
      </c>
      <c r="V36" s="356">
        <v>0</v>
      </c>
      <c r="W36" s="183">
        <v>0</v>
      </c>
      <c r="X36" s="183">
        <v>0</v>
      </c>
      <c r="Y36" s="183">
        <f>ROUND(Y$13*'CF '!$E$12,0)</f>
        <v>18</v>
      </c>
      <c r="Z36" s="356">
        <v>0</v>
      </c>
      <c r="AA36" s="356">
        <v>0</v>
      </c>
      <c r="AB36" s="356">
        <v>0</v>
      </c>
      <c r="AC36" s="356">
        <v>0</v>
      </c>
      <c r="AD36" s="397">
        <f>SUM(E36:AC36)</f>
        <v>6558</v>
      </c>
      <c r="AE36" s="183">
        <f>ROUND(AE$13*'CF '!$E$12,0)</f>
        <v>0</v>
      </c>
      <c r="AF36" s="183">
        <v>0</v>
      </c>
      <c r="AG36" s="183">
        <f>ROUND(AG$13*'CF '!$E$12,0)</f>
        <v>151</v>
      </c>
      <c r="AH36" s="183">
        <v>0</v>
      </c>
      <c r="AI36" s="183">
        <v>0</v>
      </c>
      <c r="AJ36" s="356">
        <v>-1682</v>
      </c>
      <c r="AK36" s="356">
        <v>412.9</v>
      </c>
      <c r="AL36" s="183">
        <v>0</v>
      </c>
      <c r="AM36" s="183">
        <v>7.9</v>
      </c>
      <c r="AN36" s="183">
        <v>0</v>
      </c>
      <c r="AO36" s="183">
        <v>0</v>
      </c>
      <c r="AP36" s="183">
        <v>0</v>
      </c>
      <c r="AQ36" s="183">
        <v>0</v>
      </c>
      <c r="AR36" s="183">
        <v>0</v>
      </c>
      <c r="AS36" s="183">
        <v>0</v>
      </c>
      <c r="AT36" s="183">
        <f>383823/1000</f>
        <v>383.82299999999998</v>
      </c>
      <c r="AU36" s="183">
        <v>0</v>
      </c>
      <c r="AV36" s="183">
        <v>0</v>
      </c>
      <c r="AW36" s="183">
        <v>0</v>
      </c>
      <c r="AX36" s="183">
        <v>0</v>
      </c>
      <c r="AY36" s="183">
        <v>0</v>
      </c>
      <c r="AZ36" s="183">
        <v>0</v>
      </c>
      <c r="BA36" s="183">
        <v>0</v>
      </c>
      <c r="BB36" s="183">
        <v>0</v>
      </c>
      <c r="BC36" s="183">
        <v>0</v>
      </c>
      <c r="BD36" s="183">
        <v>0</v>
      </c>
      <c r="BE36" s="183">
        <v>0</v>
      </c>
      <c r="BF36" s="183">
        <v>0</v>
      </c>
      <c r="BG36" s="183"/>
      <c r="BH36" s="183"/>
      <c r="BI36" s="183"/>
      <c r="BJ36" s="183"/>
      <c r="BK36" s="183"/>
      <c r="BL36" s="312">
        <f>SUM(AD36:BK36)</f>
        <v>5831.6229999999996</v>
      </c>
      <c r="BM36" s="182"/>
      <c r="BN36" s="356">
        <v>0</v>
      </c>
      <c r="BO36" s="356">
        <v>0</v>
      </c>
      <c r="BP36" s="356">
        <v>0</v>
      </c>
      <c r="BQ36" s="356">
        <v>160</v>
      </c>
      <c r="BR36" s="183">
        <v>27.8</v>
      </c>
      <c r="BS36" s="183">
        <v>0</v>
      </c>
      <c r="BT36" s="183">
        <v>0</v>
      </c>
      <c r="BU36" s="183">
        <f>153529/1000</f>
        <v>153.529</v>
      </c>
      <c r="BV36" s="183">
        <v>0</v>
      </c>
      <c r="BW36" s="183">
        <v>0</v>
      </c>
      <c r="BX36" s="183">
        <v>0</v>
      </c>
      <c r="BY36" s="183">
        <v>0</v>
      </c>
      <c r="BZ36" s="183">
        <v>0</v>
      </c>
      <c r="CA36" s="183">
        <v>0</v>
      </c>
      <c r="CB36" s="183"/>
      <c r="CC36" s="279">
        <f>SUM(BL36:CB36)</f>
        <v>6172.9519999999993</v>
      </c>
      <c r="CD36" s="183">
        <f>CC36-BL36</f>
        <v>341.32899999999972</v>
      </c>
    </row>
    <row r="37" spans="1:82" s="178" customFormat="1" ht="12.75" customHeight="1">
      <c r="A37" s="176">
        <v>18</v>
      </c>
      <c r="B37" s="178" t="s">
        <v>194</v>
      </c>
      <c r="E37" s="178">
        <f>'ROO INPUT 1.00'!F38</f>
        <v>24545</v>
      </c>
      <c r="F37" s="183">
        <v>0</v>
      </c>
      <c r="G37" s="183">
        <v>0</v>
      </c>
      <c r="H37" s="183">
        <v>0</v>
      </c>
      <c r="I37" s="183">
        <v>0</v>
      </c>
      <c r="J37" s="183">
        <v>0</v>
      </c>
      <c r="K37" s="183">
        <v>0</v>
      </c>
      <c r="L37" s="183">
        <v>0</v>
      </c>
      <c r="M37" s="183">
        <v>0</v>
      </c>
      <c r="N37" s="183">
        <v>0</v>
      </c>
      <c r="O37" s="183">
        <v>0</v>
      </c>
      <c r="P37" s="183">
        <v>0</v>
      </c>
      <c r="Q37" s="183">
        <v>0</v>
      </c>
      <c r="R37" s="183">
        <v>0</v>
      </c>
      <c r="S37" s="183">
        <v>0</v>
      </c>
      <c r="T37" s="183">
        <v>-23128</v>
      </c>
      <c r="U37" s="356">
        <v>1</v>
      </c>
      <c r="V37" s="356">
        <v>0</v>
      </c>
      <c r="W37" s="183">
        <v>0</v>
      </c>
      <c r="X37" s="183">
        <v>0</v>
      </c>
      <c r="Y37" s="183">
        <v>0</v>
      </c>
      <c r="Z37" s="356">
        <v>0</v>
      </c>
      <c r="AA37" s="356">
        <v>0</v>
      </c>
      <c r="AB37" s="356">
        <v>0</v>
      </c>
      <c r="AC37" s="356">
        <v>0</v>
      </c>
      <c r="AD37" s="397">
        <f>SUM(E37:AC37)</f>
        <v>1418</v>
      </c>
      <c r="AE37" s="183">
        <v>0</v>
      </c>
      <c r="AF37" s="183">
        <v>0</v>
      </c>
      <c r="AG37" s="183">
        <v>0</v>
      </c>
      <c r="AH37" s="183">
        <v>0</v>
      </c>
      <c r="AI37" s="183">
        <v>0</v>
      </c>
      <c r="AJ37" s="356">
        <v>0</v>
      </c>
      <c r="AK37" s="356">
        <v>29</v>
      </c>
      <c r="AL37" s="183">
        <v>0</v>
      </c>
      <c r="AM37" s="183">
        <v>1.3</v>
      </c>
      <c r="AN37" s="183">
        <v>0</v>
      </c>
      <c r="AO37" s="183">
        <v>262</v>
      </c>
      <c r="AP37" s="183">
        <v>0</v>
      </c>
      <c r="AQ37" s="183">
        <v>0</v>
      </c>
      <c r="AR37" s="183">
        <v>0</v>
      </c>
      <c r="AS37" s="183">
        <v>0</v>
      </c>
      <c r="AT37" s="183">
        <f>184653/1000</f>
        <v>184.65299999999999</v>
      </c>
      <c r="AU37" s="183">
        <v>0</v>
      </c>
      <c r="AV37" s="183">
        <v>0</v>
      </c>
      <c r="AW37" s="183">
        <v>0</v>
      </c>
      <c r="AX37" s="183">
        <v>0</v>
      </c>
      <c r="AY37" s="183">
        <v>0</v>
      </c>
      <c r="AZ37" s="183">
        <v>0</v>
      </c>
      <c r="BA37" s="183">
        <v>0</v>
      </c>
      <c r="BB37" s="183">
        <v>0</v>
      </c>
      <c r="BC37" s="183">
        <v>0</v>
      </c>
      <c r="BD37" s="183">
        <v>0</v>
      </c>
      <c r="BE37" s="183">
        <v>0</v>
      </c>
      <c r="BF37" s="183">
        <v>0</v>
      </c>
      <c r="BG37" s="183"/>
      <c r="BH37" s="183"/>
      <c r="BI37" s="183"/>
      <c r="BJ37" s="183"/>
      <c r="BK37" s="183"/>
      <c r="BL37" s="312">
        <f>SUM(AD37:BK37)</f>
        <v>1894.953</v>
      </c>
      <c r="BM37" s="182"/>
      <c r="BN37" s="356">
        <v>0</v>
      </c>
      <c r="BO37" s="356">
        <v>0</v>
      </c>
      <c r="BP37" s="356">
        <v>0</v>
      </c>
      <c r="BQ37" s="356">
        <v>11</v>
      </c>
      <c r="BR37" s="183">
        <v>4.5999999999999996</v>
      </c>
      <c r="BS37" s="183">
        <v>0</v>
      </c>
      <c r="BT37" s="183">
        <v>0</v>
      </c>
      <c r="BU37" s="183">
        <f>73861/1000</f>
        <v>73.861000000000004</v>
      </c>
      <c r="BV37" s="183">
        <v>0</v>
      </c>
      <c r="BW37" s="183">
        <v>0</v>
      </c>
      <c r="BX37" s="183">
        <v>0</v>
      </c>
      <c r="BY37" s="183">
        <v>0</v>
      </c>
      <c r="BZ37" s="183">
        <v>0</v>
      </c>
      <c r="CA37" s="183">
        <v>0</v>
      </c>
      <c r="CB37" s="183"/>
      <c r="CC37" s="279">
        <f>SUM(BL37:CB37)</f>
        <v>1984.414</v>
      </c>
      <c r="CD37" s="183">
        <f>CC37-BL37</f>
        <v>89.461000000000013</v>
      </c>
    </row>
    <row r="38" spans="1:82" s="178" customFormat="1" ht="12" customHeight="1">
      <c r="A38" s="176">
        <v>19</v>
      </c>
      <c r="B38" s="178" t="s">
        <v>195</v>
      </c>
      <c r="E38" s="178">
        <f>'ROO INPUT 1.00'!F39</f>
        <v>73</v>
      </c>
      <c r="F38" s="183">
        <v>0</v>
      </c>
      <c r="G38" s="183">
        <v>0</v>
      </c>
      <c r="H38" s="183">
        <v>0</v>
      </c>
      <c r="I38" s="183">
        <v>0</v>
      </c>
      <c r="J38" s="183">
        <v>0</v>
      </c>
      <c r="K38" s="183">
        <v>0</v>
      </c>
      <c r="L38" s="183">
        <v>0</v>
      </c>
      <c r="M38" s="183">
        <v>0</v>
      </c>
      <c r="N38" s="183">
        <v>0</v>
      </c>
      <c r="O38" s="183">
        <v>0</v>
      </c>
      <c r="P38" s="183">
        <v>0</v>
      </c>
      <c r="Q38" s="183">
        <v>0</v>
      </c>
      <c r="R38" s="183">
        <v>0</v>
      </c>
      <c r="S38" s="183">
        <v>0</v>
      </c>
      <c r="T38" s="183">
        <v>0</v>
      </c>
      <c r="U38" s="356">
        <v>0</v>
      </c>
      <c r="V38" s="356">
        <v>0</v>
      </c>
      <c r="W38" s="183">
        <v>0</v>
      </c>
      <c r="X38" s="183">
        <v>0</v>
      </c>
      <c r="Y38" s="183">
        <v>0</v>
      </c>
      <c r="Z38" s="356">
        <v>0</v>
      </c>
      <c r="AA38" s="356">
        <v>0</v>
      </c>
      <c r="AB38" s="356">
        <v>0</v>
      </c>
      <c r="AC38" s="356">
        <v>0</v>
      </c>
      <c r="AD38" s="397">
        <f>SUM(E38:AC38)</f>
        <v>73</v>
      </c>
      <c r="AE38" s="183">
        <v>0</v>
      </c>
      <c r="AF38" s="183">
        <v>0</v>
      </c>
      <c r="AG38" s="183">
        <v>0</v>
      </c>
      <c r="AH38" s="183">
        <v>0</v>
      </c>
      <c r="AI38" s="183">
        <v>0</v>
      </c>
      <c r="AJ38" s="356">
        <v>0</v>
      </c>
      <c r="AK38" s="183">
        <v>0</v>
      </c>
      <c r="AL38" s="183">
        <v>0</v>
      </c>
      <c r="AM38" s="183">
        <v>0</v>
      </c>
      <c r="AN38" s="183">
        <v>0</v>
      </c>
      <c r="AO38" s="183">
        <v>0</v>
      </c>
      <c r="AP38" s="183">
        <v>0</v>
      </c>
      <c r="AQ38" s="183">
        <v>0</v>
      </c>
      <c r="AR38" s="183">
        <v>0</v>
      </c>
      <c r="AS38" s="183">
        <v>0</v>
      </c>
      <c r="AT38" s="183">
        <f>11579/1000</f>
        <v>11.579000000000001</v>
      </c>
      <c r="AU38" s="183">
        <v>0</v>
      </c>
      <c r="AV38" s="183">
        <v>0</v>
      </c>
      <c r="AW38" s="183">
        <v>0</v>
      </c>
      <c r="AX38" s="183">
        <v>0</v>
      </c>
      <c r="AY38" s="183">
        <v>0</v>
      </c>
      <c r="AZ38" s="183">
        <v>0</v>
      </c>
      <c r="BA38" s="183">
        <v>0</v>
      </c>
      <c r="BB38" s="183">
        <v>0</v>
      </c>
      <c r="BC38" s="183">
        <v>0</v>
      </c>
      <c r="BD38" s="183">
        <v>0</v>
      </c>
      <c r="BE38" s="183">
        <v>0</v>
      </c>
      <c r="BF38" s="183">
        <v>0</v>
      </c>
      <c r="BG38" s="183"/>
      <c r="BH38" s="183"/>
      <c r="BI38" s="183"/>
      <c r="BJ38" s="183"/>
      <c r="BK38" s="183"/>
      <c r="BL38" s="312">
        <f>SUM(AD38:BK38)</f>
        <v>84.579000000000008</v>
      </c>
      <c r="BM38" s="182"/>
      <c r="BN38" s="356">
        <v>0</v>
      </c>
      <c r="BO38" s="356">
        <v>0</v>
      </c>
      <c r="BP38" s="356">
        <v>0</v>
      </c>
      <c r="BQ38" s="356">
        <v>0</v>
      </c>
      <c r="BR38" s="183">
        <v>0</v>
      </c>
      <c r="BS38" s="183">
        <v>0</v>
      </c>
      <c r="BT38" s="183">
        <v>0</v>
      </c>
      <c r="BU38" s="183">
        <f>4632/1000</f>
        <v>4.6319999999999997</v>
      </c>
      <c r="BV38" s="183">
        <v>0</v>
      </c>
      <c r="BW38" s="183">
        <v>0</v>
      </c>
      <c r="BX38" s="183">
        <v>0</v>
      </c>
      <c r="BY38" s="183">
        <v>0</v>
      </c>
      <c r="BZ38" s="183">
        <v>0</v>
      </c>
      <c r="CA38" s="183">
        <v>0</v>
      </c>
      <c r="CB38" s="183"/>
      <c r="CC38" s="279">
        <f>SUM(BL38:CB38)</f>
        <v>89.211000000000013</v>
      </c>
      <c r="CD38" s="183">
        <f>CC38-BL38</f>
        <v>4.632000000000005</v>
      </c>
    </row>
    <row r="39" spans="1:82" s="178" customFormat="1" ht="11.25" customHeight="1">
      <c r="A39" s="176"/>
      <c r="F39" s="183"/>
      <c r="G39" s="183"/>
      <c r="H39" s="183"/>
      <c r="I39" s="183"/>
      <c r="J39" s="183"/>
      <c r="K39" s="183"/>
      <c r="L39" s="183"/>
      <c r="M39" s="183"/>
      <c r="N39" s="183"/>
      <c r="O39" s="183"/>
      <c r="P39" s="183"/>
      <c r="Q39" s="183"/>
      <c r="R39" s="183"/>
      <c r="S39" s="183"/>
      <c r="T39" s="183"/>
      <c r="U39" s="356"/>
      <c r="V39" s="356"/>
      <c r="W39" s="183"/>
      <c r="X39" s="183"/>
      <c r="Y39" s="183"/>
      <c r="Z39" s="356"/>
      <c r="AA39" s="356"/>
      <c r="AB39" s="356"/>
      <c r="AC39" s="356"/>
      <c r="AD39" s="397"/>
      <c r="AE39" s="183"/>
      <c r="AF39" s="183"/>
      <c r="AG39" s="183"/>
      <c r="AH39" s="183"/>
      <c r="AI39" s="183"/>
      <c r="AJ39" s="356"/>
      <c r="AK39" s="356"/>
      <c r="AL39" s="183"/>
      <c r="AM39" s="183"/>
      <c r="AN39" s="183"/>
      <c r="AO39" s="183"/>
      <c r="AP39" s="183"/>
      <c r="AQ39" s="183"/>
      <c r="AR39" s="183"/>
      <c r="AS39" s="183"/>
      <c r="AT39" s="183"/>
      <c r="AU39" s="183"/>
      <c r="AV39" s="183"/>
      <c r="AW39" s="183"/>
      <c r="AX39" s="183"/>
      <c r="AY39" s="183"/>
      <c r="AZ39" s="183"/>
      <c r="BA39" s="183"/>
      <c r="BB39" s="183"/>
      <c r="BC39" s="183"/>
      <c r="BD39" s="183"/>
      <c r="BE39" s="183"/>
      <c r="BF39" s="183"/>
      <c r="BG39" s="183"/>
      <c r="BH39" s="183"/>
      <c r="BI39" s="183"/>
      <c r="BJ39" s="183"/>
      <c r="BK39" s="183"/>
      <c r="BL39" s="312"/>
      <c r="BM39" s="182"/>
      <c r="BN39" s="356"/>
      <c r="BO39" s="356"/>
      <c r="BP39" s="356"/>
      <c r="BQ39" s="356"/>
      <c r="BR39" s="183"/>
      <c r="BS39" s="183"/>
      <c r="BT39" s="183"/>
      <c r="BU39" s="183"/>
      <c r="BV39" s="183"/>
      <c r="BW39" s="183"/>
      <c r="BX39" s="183"/>
      <c r="BY39" s="183"/>
      <c r="BZ39" s="183"/>
      <c r="CA39" s="183"/>
      <c r="CB39" s="183"/>
      <c r="CC39" s="279"/>
      <c r="CD39" s="183"/>
    </row>
    <row r="40" spans="1:82" s="178" customFormat="1">
      <c r="B40" s="178" t="s">
        <v>196</v>
      </c>
      <c r="F40" s="183"/>
      <c r="G40" s="183"/>
      <c r="H40" s="183"/>
      <c r="I40" s="183"/>
      <c r="J40" s="183"/>
      <c r="K40" s="183"/>
      <c r="L40" s="183"/>
      <c r="M40" s="183"/>
      <c r="N40" s="183"/>
      <c r="O40" s="183"/>
      <c r="P40" s="183"/>
      <c r="Q40" s="183"/>
      <c r="R40" s="183"/>
      <c r="S40" s="183"/>
      <c r="T40" s="183"/>
      <c r="U40" s="356"/>
      <c r="V40" s="356"/>
      <c r="W40" s="183"/>
      <c r="X40" s="183"/>
      <c r="Y40" s="183"/>
      <c r="Z40" s="356"/>
      <c r="AA40" s="356"/>
      <c r="AB40" s="356"/>
      <c r="AC40" s="356"/>
      <c r="AD40" s="397"/>
      <c r="AE40" s="183"/>
      <c r="AF40" s="183"/>
      <c r="AG40" s="183"/>
      <c r="AH40" s="183"/>
      <c r="AI40" s="183"/>
      <c r="AJ40" s="356"/>
      <c r="AK40" s="356"/>
      <c r="AL40" s="183"/>
      <c r="AM40" s="183"/>
      <c r="AN40" s="183"/>
      <c r="AO40" s="183"/>
      <c r="AP40" s="183"/>
      <c r="AQ40" s="183"/>
      <c r="AR40" s="183"/>
      <c r="AS40" s="183"/>
      <c r="AT40" s="183"/>
      <c r="AU40" s="183"/>
      <c r="AV40" s="183"/>
      <c r="AW40" s="183"/>
      <c r="AX40" s="183"/>
      <c r="AY40" s="183"/>
      <c r="AZ40" s="183"/>
      <c r="BA40" s="183"/>
      <c r="BB40" s="183"/>
      <c r="BC40" s="183"/>
      <c r="BD40" s="183"/>
      <c r="BE40" s="183"/>
      <c r="BF40" s="183"/>
      <c r="BG40" s="183"/>
      <c r="BH40" s="183"/>
      <c r="BI40" s="183"/>
      <c r="BJ40" s="183"/>
      <c r="BK40" s="183"/>
      <c r="BL40" s="312"/>
      <c r="BM40" s="182"/>
      <c r="BN40" s="356"/>
      <c r="BO40" s="356"/>
      <c r="BP40" s="356"/>
      <c r="BQ40" s="356"/>
      <c r="BR40" s="183"/>
      <c r="BS40" s="183"/>
      <c r="BT40" s="183"/>
      <c r="BU40" s="183"/>
      <c r="BV40" s="183"/>
      <c r="BW40" s="183"/>
      <c r="BX40" s="183"/>
      <c r="BY40" s="183"/>
      <c r="BZ40" s="183"/>
      <c r="CA40" s="183"/>
      <c r="CB40" s="183"/>
      <c r="CC40" s="279"/>
      <c r="CD40" s="183"/>
    </row>
    <row r="41" spans="1:82" s="178" customFormat="1">
      <c r="A41" s="176">
        <v>20</v>
      </c>
      <c r="C41" s="178" t="s">
        <v>187</v>
      </c>
      <c r="E41" s="178">
        <f>'ROO INPUT 1.00'!F42</f>
        <v>87937</v>
      </c>
      <c r="F41" s="183">
        <v>0</v>
      </c>
      <c r="G41" s="183">
        <v>0</v>
      </c>
      <c r="H41" s="183">
        <v>0</v>
      </c>
      <c r="I41" s="183">
        <f>ROUND(I$13*'CF '!$E$14,0)</f>
        <v>-92</v>
      </c>
      <c r="J41" s="183">
        <v>0</v>
      </c>
      <c r="K41" s="183">
        <v>0</v>
      </c>
      <c r="L41" s="183">
        <v>0</v>
      </c>
      <c r="M41" s="183">
        <v>834</v>
      </c>
      <c r="N41" s="183">
        <v>-315</v>
      </c>
      <c r="O41" s="183">
        <v>0</v>
      </c>
      <c r="P41" s="183">
        <v>-33</v>
      </c>
      <c r="Q41" s="183">
        <v>0</v>
      </c>
      <c r="R41" s="183">
        <v>0</v>
      </c>
      <c r="S41" s="183">
        <f>ROUND(S$13*'CF '!$E$14,0)</f>
        <v>-41</v>
      </c>
      <c r="T41" s="183">
        <f>ROUND(T$13*'CF '!$E$14,0)</f>
        <v>36</v>
      </c>
      <c r="U41" s="356">
        <v>-1285</v>
      </c>
      <c r="V41" s="356">
        <v>790.66499999999996</v>
      </c>
      <c r="W41" s="183">
        <v>0</v>
      </c>
      <c r="X41" s="183">
        <v>0</v>
      </c>
      <c r="Y41" s="183">
        <f>ROUND(Y$13*'CF '!$E$14,0)</f>
        <v>14</v>
      </c>
      <c r="Z41" s="356">
        <v>0</v>
      </c>
      <c r="AA41" s="356">
        <v>0</v>
      </c>
      <c r="AB41" s="356">
        <v>0</v>
      </c>
      <c r="AC41" s="356">
        <v>0</v>
      </c>
      <c r="AD41" s="397">
        <f>SUM(E41:AC41)</f>
        <v>87845.664999999994</v>
      </c>
      <c r="AE41" s="183">
        <f>ROUND(AE$13*'CF '!$E$14,0)</f>
        <v>0</v>
      </c>
      <c r="AF41" s="183">
        <f>ROUND(AF$13*'CF '!$E$14,0)</f>
        <v>0</v>
      </c>
      <c r="AG41" s="183">
        <f>ROUND(AG$13*'CF '!$E$14,0)</f>
        <v>122</v>
      </c>
      <c r="AH41" s="183">
        <v>0</v>
      </c>
      <c r="AI41" s="183">
        <v>0</v>
      </c>
      <c r="AJ41" s="356">
        <f>-2071-AJ36</f>
        <v>-389</v>
      </c>
      <c r="AK41" s="356">
        <v>2449.6999999999998</v>
      </c>
      <c r="AL41" s="183">
        <v>60.036999999999999</v>
      </c>
      <c r="AM41" s="183">
        <v>48.9</v>
      </c>
      <c r="AN41" s="183">
        <v>1163.7</v>
      </c>
      <c r="AO41" s="183">
        <v>0</v>
      </c>
      <c r="AP41" s="183">
        <v>381</v>
      </c>
      <c r="AQ41" s="183">
        <v>0</v>
      </c>
      <c r="AR41" s="183">
        <v>5260</v>
      </c>
      <c r="AS41" s="183">
        <v>101.5</v>
      </c>
      <c r="AT41" s="183">
        <f>2684089/1000</f>
        <v>2684.0889999999999</v>
      </c>
      <c r="AU41" s="183">
        <v>0</v>
      </c>
      <c r="AV41" s="183">
        <v>0</v>
      </c>
      <c r="AW41" s="183">
        <v>0</v>
      </c>
      <c r="AX41" s="183">
        <v>0</v>
      </c>
      <c r="AY41" s="183">
        <v>563</v>
      </c>
      <c r="AZ41" s="183">
        <v>473.9</v>
      </c>
      <c r="BA41" s="183">
        <v>0</v>
      </c>
      <c r="BB41" s="183">
        <v>0</v>
      </c>
      <c r="BC41" s="183">
        <v>0</v>
      </c>
      <c r="BD41" s="183">
        <v>0</v>
      </c>
      <c r="BE41" s="183">
        <v>0</v>
      </c>
      <c r="BF41" s="183">
        <v>-279.28100000000001</v>
      </c>
      <c r="BG41" s="183"/>
      <c r="BH41" s="183"/>
      <c r="BI41" s="183"/>
      <c r="BJ41" s="183"/>
      <c r="BK41" s="183"/>
      <c r="BL41" s="312">
        <f t="shared" ref="BL41:BL44" si="119">SUM(AD41:BK41)</f>
        <v>100485.20999999998</v>
      </c>
      <c r="BM41" s="182"/>
      <c r="BN41" s="356">
        <v>0</v>
      </c>
      <c r="BO41" s="356">
        <v>0</v>
      </c>
      <c r="BP41" s="356">
        <v>-314</v>
      </c>
      <c r="BQ41" s="356">
        <v>942</v>
      </c>
      <c r="BR41" s="183">
        <v>171.6</v>
      </c>
      <c r="BS41" s="183">
        <v>0</v>
      </c>
      <c r="BT41" s="183">
        <v>-207</v>
      </c>
      <c r="BU41" s="183">
        <f>1073636/1000</f>
        <v>1073.636</v>
      </c>
      <c r="BV41" s="183">
        <v>0</v>
      </c>
      <c r="BW41" s="183">
        <v>-480.166</v>
      </c>
      <c r="BX41" s="183">
        <v>0</v>
      </c>
      <c r="BY41" s="183"/>
      <c r="BZ41" s="183">
        <v>0</v>
      </c>
      <c r="CA41" s="183">
        <v>0</v>
      </c>
      <c r="CB41" s="183"/>
      <c r="CC41" s="279">
        <f t="shared" ref="CC41:CC46" si="120">SUM(BL41:CB41)</f>
        <v>101671.27999999998</v>
      </c>
      <c r="CD41" s="183">
        <f>CC41-BL41</f>
        <v>1186.070000000007</v>
      </c>
    </row>
    <row r="42" spans="1:82" s="178" customFormat="1">
      <c r="A42" s="176">
        <v>21</v>
      </c>
      <c r="C42" s="178" t="s">
        <v>514</v>
      </c>
      <c r="E42" s="178">
        <f>'ROO INPUT 1.00'!F43</f>
        <v>45673</v>
      </c>
      <c r="F42" s="183">
        <v>0</v>
      </c>
      <c r="G42" s="183">
        <v>0</v>
      </c>
      <c r="H42" s="183">
        <v>0</v>
      </c>
      <c r="I42" s="183">
        <v>0</v>
      </c>
      <c r="J42" s="183">
        <v>0</v>
      </c>
      <c r="K42" s="183">
        <v>0</v>
      </c>
      <c r="L42" s="183">
        <v>0</v>
      </c>
      <c r="M42" s="183">
        <v>0</v>
      </c>
      <c r="N42" s="183">
        <v>0</v>
      </c>
      <c r="O42" s="183">
        <v>0</v>
      </c>
      <c r="P42" s="183">
        <v>0</v>
      </c>
      <c r="Q42" s="183">
        <v>0</v>
      </c>
      <c r="R42" s="183">
        <v>0</v>
      </c>
      <c r="S42" s="183">
        <v>0</v>
      </c>
      <c r="T42" s="183">
        <v>0</v>
      </c>
      <c r="U42" s="356">
        <v>0</v>
      </c>
      <c r="V42" s="356">
        <v>0</v>
      </c>
      <c r="W42" s="183">
        <v>0</v>
      </c>
      <c r="X42" s="183">
        <v>0</v>
      </c>
      <c r="Y42" s="183">
        <v>0</v>
      </c>
      <c r="Z42" s="356">
        <v>0</v>
      </c>
      <c r="AA42" s="356">
        <v>0</v>
      </c>
      <c r="AB42" s="356">
        <v>0</v>
      </c>
      <c r="AC42" s="356">
        <v>0</v>
      </c>
      <c r="AD42" s="397">
        <f>SUM(E42:AC42)</f>
        <v>45673</v>
      </c>
      <c r="AE42" s="183">
        <v>0</v>
      </c>
      <c r="AF42" s="183">
        <v>0</v>
      </c>
      <c r="AG42" s="183">
        <v>0</v>
      </c>
      <c r="AH42" s="183">
        <v>0</v>
      </c>
      <c r="AI42" s="183">
        <v>0</v>
      </c>
      <c r="AJ42" s="356">
        <v>0</v>
      </c>
      <c r="AK42" s="356">
        <v>0</v>
      </c>
      <c r="AL42" s="183">
        <v>0</v>
      </c>
      <c r="AM42" s="183">
        <v>0</v>
      </c>
      <c r="AN42" s="183">
        <v>0</v>
      </c>
      <c r="AO42" s="183">
        <v>0</v>
      </c>
      <c r="AP42" s="183">
        <v>0</v>
      </c>
      <c r="AQ42" s="183">
        <v>0</v>
      </c>
      <c r="AR42" s="183">
        <v>0</v>
      </c>
      <c r="AS42" s="183">
        <v>0</v>
      </c>
      <c r="AT42" s="183">
        <v>0</v>
      </c>
      <c r="AU42" s="183">
        <f>1616.6+327.8</f>
        <v>1944.3999999999999</v>
      </c>
      <c r="AV42" s="183">
        <f>-884.7</f>
        <v>-884.7</v>
      </c>
      <c r="AW42" s="183">
        <f>1004-611</f>
        <v>393</v>
      </c>
      <c r="AX42" s="183">
        <v>0</v>
      </c>
      <c r="AY42" s="183">
        <v>0</v>
      </c>
      <c r="AZ42" s="183">
        <v>0</v>
      </c>
      <c r="BA42" s="183">
        <v>0</v>
      </c>
      <c r="BB42" s="183">
        <v>0</v>
      </c>
      <c r="BC42" s="183">
        <v>0</v>
      </c>
      <c r="BD42" s="183">
        <v>0</v>
      </c>
      <c r="BE42" s="183">
        <f>445+1208</f>
        <v>1653</v>
      </c>
      <c r="BF42" s="183">
        <v>0</v>
      </c>
      <c r="BG42" s="183"/>
      <c r="BH42" s="183"/>
      <c r="BI42" s="183"/>
      <c r="BJ42" s="183"/>
      <c r="BK42" s="183"/>
      <c r="BL42" s="312">
        <f t="shared" si="119"/>
        <v>48778.700000000004</v>
      </c>
      <c r="BM42" s="182"/>
      <c r="BN42" s="356">
        <v>0</v>
      </c>
      <c r="BO42" s="356">
        <v>0</v>
      </c>
      <c r="BP42" s="356">
        <v>0</v>
      </c>
      <c r="BQ42" s="356">
        <v>0</v>
      </c>
      <c r="BR42" s="183">
        <v>0</v>
      </c>
      <c r="BS42" s="183">
        <v>0</v>
      </c>
      <c r="BT42" s="183">
        <v>0</v>
      </c>
      <c r="BU42" s="183"/>
      <c r="BV42" s="183">
        <f>-762+539</f>
        <v>-223</v>
      </c>
      <c r="BW42" s="183">
        <v>0</v>
      </c>
      <c r="BX42" s="183">
        <v>0</v>
      </c>
      <c r="BY42" s="183">
        <v>0</v>
      </c>
      <c r="BZ42" s="183">
        <v>0</v>
      </c>
      <c r="CA42" s="183">
        <v>0</v>
      </c>
      <c r="CB42" s="183"/>
      <c r="CC42" s="279">
        <f t="shared" si="120"/>
        <v>48555.700000000004</v>
      </c>
      <c r="CD42" s="183">
        <f>CC42-BL42</f>
        <v>-223</v>
      </c>
    </row>
    <row r="43" spans="1:82" s="178" customFormat="1">
      <c r="A43" s="176">
        <v>22</v>
      </c>
      <c r="C43" s="178" t="s">
        <v>631</v>
      </c>
      <c r="E43" s="178">
        <f>'ROO INPUT 1.00'!F44</f>
        <v>-2229</v>
      </c>
      <c r="F43" s="183">
        <v>0</v>
      </c>
      <c r="G43" s="183">
        <v>0</v>
      </c>
      <c r="H43" s="183">
        <v>0</v>
      </c>
      <c r="I43" s="183">
        <v>0</v>
      </c>
      <c r="J43" s="183">
        <v>0</v>
      </c>
      <c r="K43" s="183">
        <v>0</v>
      </c>
      <c r="L43" s="183">
        <v>0</v>
      </c>
      <c r="M43" s="183">
        <v>0</v>
      </c>
      <c r="N43" s="183">
        <v>0</v>
      </c>
      <c r="O43" s="183">
        <v>0</v>
      </c>
      <c r="P43" s="183">
        <v>0</v>
      </c>
      <c r="Q43" s="183">
        <v>0</v>
      </c>
      <c r="R43" s="183">
        <v>0</v>
      </c>
      <c r="S43" s="183">
        <v>0</v>
      </c>
      <c r="T43" s="183">
        <v>591</v>
      </c>
      <c r="U43" s="356">
        <v>0</v>
      </c>
      <c r="V43" s="356">
        <v>0</v>
      </c>
      <c r="W43" s="183">
        <v>0</v>
      </c>
      <c r="X43" s="183">
        <v>0</v>
      </c>
      <c r="Y43" s="183">
        <v>0</v>
      </c>
      <c r="Z43" s="356">
        <v>0</v>
      </c>
      <c r="AA43" s="356">
        <v>0</v>
      </c>
      <c r="AB43" s="356">
        <v>0</v>
      </c>
      <c r="AC43" s="356">
        <v>0</v>
      </c>
      <c r="AD43" s="397">
        <f>SUM(E43:AC43)</f>
        <v>-1638</v>
      </c>
      <c r="AE43" s="183">
        <v>0</v>
      </c>
      <c r="AF43" s="183">
        <v>0</v>
      </c>
      <c r="AG43" s="183">
        <v>0</v>
      </c>
      <c r="AH43" s="183">
        <v>5863</v>
      </c>
      <c r="AI43" s="183">
        <v>0</v>
      </c>
      <c r="AJ43" s="356">
        <v>-250</v>
      </c>
      <c r="AK43" s="356">
        <v>0</v>
      </c>
      <c r="AL43" s="183">
        <v>0</v>
      </c>
      <c r="AM43" s="183">
        <v>-5560.5</v>
      </c>
      <c r="AN43" s="183">
        <v>0</v>
      </c>
      <c r="AO43" s="183">
        <v>0</v>
      </c>
      <c r="AP43" s="183">
        <v>0</v>
      </c>
      <c r="AQ43" s="183">
        <v>0</v>
      </c>
      <c r="AR43" s="183">
        <v>0</v>
      </c>
      <c r="AS43" s="183">
        <v>0</v>
      </c>
      <c r="AT43" s="183">
        <v>0</v>
      </c>
      <c r="AU43" s="183">
        <v>0</v>
      </c>
      <c r="AV43" s="183">
        <v>0</v>
      </c>
      <c r="AW43" s="183">
        <v>0</v>
      </c>
      <c r="AX43" s="183">
        <v>4742.3999999999996</v>
      </c>
      <c r="AY43" s="183">
        <v>0</v>
      </c>
      <c r="AZ43" s="183">
        <v>0</v>
      </c>
      <c r="BA43" s="183">
        <v>0</v>
      </c>
      <c r="BB43" s="183">
        <v>0</v>
      </c>
      <c r="BC43" s="183">
        <v>0</v>
      </c>
      <c r="BD43" s="183">
        <v>6425</v>
      </c>
      <c r="BE43" s="183">
        <v>0</v>
      </c>
      <c r="BF43" s="183"/>
      <c r="BG43" s="183"/>
      <c r="BH43" s="183"/>
      <c r="BI43" s="183"/>
      <c r="BJ43" s="183"/>
      <c r="BK43" s="183"/>
      <c r="BL43" s="312">
        <f t="shared" si="119"/>
        <v>9581.9</v>
      </c>
      <c r="BM43" s="182"/>
      <c r="BN43" s="356">
        <v>0</v>
      </c>
      <c r="BO43" s="356">
        <v>0</v>
      </c>
      <c r="BP43" s="356">
        <v>0</v>
      </c>
      <c r="BQ43" s="356">
        <v>0</v>
      </c>
      <c r="BR43" s="183">
        <v>0</v>
      </c>
      <c r="BS43" s="183">
        <v>0</v>
      </c>
      <c r="BT43" s="183">
        <v>0</v>
      </c>
      <c r="BU43" s="183">
        <v>0</v>
      </c>
      <c r="BV43" s="183">
        <v>0</v>
      </c>
      <c r="BW43" s="183">
        <v>0</v>
      </c>
      <c r="BX43" s="183">
        <v>0</v>
      </c>
      <c r="BY43" s="183"/>
      <c r="BZ43" s="183">
        <v>0</v>
      </c>
      <c r="CA43" s="183">
        <v>0</v>
      </c>
      <c r="CB43" s="183"/>
      <c r="CC43" s="279">
        <f t="shared" si="120"/>
        <v>9581.9</v>
      </c>
      <c r="CD43" s="183">
        <f>CC43-BL43</f>
        <v>0</v>
      </c>
    </row>
    <row r="44" spans="1:82" s="178" customFormat="1">
      <c r="A44" s="176">
        <v>23</v>
      </c>
      <c r="C44" s="178" t="s">
        <v>189</v>
      </c>
      <c r="E44" s="307">
        <f>'ROO INPUT 1.00'!F45</f>
        <v>4307</v>
      </c>
      <c r="F44" s="186">
        <v>0</v>
      </c>
      <c r="G44" s="186">
        <v>0</v>
      </c>
      <c r="H44" s="186">
        <v>0</v>
      </c>
      <c r="I44" s="186">
        <v>0</v>
      </c>
      <c r="J44" s="186">
        <v>0</v>
      </c>
      <c r="K44" s="186">
        <v>0</v>
      </c>
      <c r="L44" s="186">
        <v>0</v>
      </c>
      <c r="M44" s="186">
        <v>0</v>
      </c>
      <c r="N44" s="186">
        <v>0</v>
      </c>
      <c r="O44" s="186">
        <v>0</v>
      </c>
      <c r="P44" s="186">
        <v>0</v>
      </c>
      <c r="Q44" s="186">
        <v>0</v>
      </c>
      <c r="R44" s="186">
        <v>0</v>
      </c>
      <c r="S44" s="186">
        <v>0</v>
      </c>
      <c r="T44" s="186">
        <v>0</v>
      </c>
      <c r="U44" s="361">
        <v>0</v>
      </c>
      <c r="V44" s="361">
        <v>0</v>
      </c>
      <c r="W44" s="186">
        <v>0</v>
      </c>
      <c r="X44" s="186">
        <v>0</v>
      </c>
      <c r="Y44" s="186">
        <v>0</v>
      </c>
      <c r="Z44" s="361">
        <v>0</v>
      </c>
      <c r="AA44" s="361">
        <v>0</v>
      </c>
      <c r="AB44" s="361">
        <v>0</v>
      </c>
      <c r="AC44" s="361">
        <v>0</v>
      </c>
      <c r="AD44" s="399">
        <f>SUM(E44:AC44)</f>
        <v>4307</v>
      </c>
      <c r="AE44" s="186">
        <v>0</v>
      </c>
      <c r="AF44" s="186">
        <v>0</v>
      </c>
      <c r="AG44" s="186">
        <v>0</v>
      </c>
      <c r="AH44" s="186">
        <v>0</v>
      </c>
      <c r="AI44" s="186">
        <v>0</v>
      </c>
      <c r="AJ44" s="361">
        <v>0</v>
      </c>
      <c r="AK44" s="361">
        <v>0</v>
      </c>
      <c r="AL44" s="186">
        <v>0</v>
      </c>
      <c r="AM44" s="186">
        <v>0</v>
      </c>
      <c r="AN44" s="186">
        <v>0</v>
      </c>
      <c r="AO44" s="186">
        <v>0</v>
      </c>
      <c r="AP44" s="186">
        <v>0</v>
      </c>
      <c r="AQ44" s="186">
        <v>0</v>
      </c>
      <c r="AR44" s="186">
        <v>0</v>
      </c>
      <c r="AS44" s="186">
        <v>0</v>
      </c>
      <c r="AT44" s="186">
        <v>0</v>
      </c>
      <c r="AU44" s="186">
        <v>0</v>
      </c>
      <c r="AV44" s="186">
        <v>0</v>
      </c>
      <c r="AW44" s="186">
        <v>0</v>
      </c>
      <c r="AX44" s="186">
        <v>0</v>
      </c>
      <c r="AY44" s="186">
        <v>0</v>
      </c>
      <c r="AZ44" s="186">
        <v>0</v>
      </c>
      <c r="BA44" s="186">
        <v>0</v>
      </c>
      <c r="BB44" s="186">
        <v>0</v>
      </c>
      <c r="BC44" s="186">
        <v>0</v>
      </c>
      <c r="BD44" s="186">
        <v>0</v>
      </c>
      <c r="BE44" s="186">
        <v>0</v>
      </c>
      <c r="BF44" s="186">
        <v>0</v>
      </c>
      <c r="BG44" s="186"/>
      <c r="BH44" s="186"/>
      <c r="BI44" s="186"/>
      <c r="BJ44" s="186"/>
      <c r="BK44" s="186"/>
      <c r="BL44" s="314">
        <f t="shared" si="119"/>
        <v>4307</v>
      </c>
      <c r="BM44" s="182"/>
      <c r="BN44" s="361">
        <v>0</v>
      </c>
      <c r="BO44" s="361">
        <v>0</v>
      </c>
      <c r="BP44" s="361">
        <v>0</v>
      </c>
      <c r="BQ44" s="361">
        <v>0</v>
      </c>
      <c r="BR44" s="186">
        <v>0</v>
      </c>
      <c r="BS44" s="186">
        <v>0</v>
      </c>
      <c r="BT44" s="186">
        <v>0</v>
      </c>
      <c r="BU44" s="186">
        <v>0</v>
      </c>
      <c r="BV44" s="186">
        <v>0</v>
      </c>
      <c r="BW44" s="186">
        <v>0</v>
      </c>
      <c r="BX44" s="186">
        <v>0</v>
      </c>
      <c r="BY44" s="186">
        <v>0</v>
      </c>
      <c r="BZ44" s="186">
        <v>0</v>
      </c>
      <c r="CA44" s="186">
        <v>0</v>
      </c>
      <c r="CB44" s="186"/>
      <c r="CC44" s="281">
        <f t="shared" si="120"/>
        <v>4307</v>
      </c>
      <c r="CD44" s="430">
        <f>CC44-BL44</f>
        <v>0</v>
      </c>
    </row>
    <row r="45" spans="1:82" s="178" customFormat="1">
      <c r="A45" s="176">
        <v>24</v>
      </c>
      <c r="B45" s="178" t="s">
        <v>197</v>
      </c>
      <c r="E45" s="307">
        <f t="shared" ref="E45:AO45" si="121">SUM(E41:E44)</f>
        <v>135688</v>
      </c>
      <c r="F45" s="186">
        <f t="shared" si="121"/>
        <v>0</v>
      </c>
      <c r="G45" s="186">
        <f t="shared" si="121"/>
        <v>0</v>
      </c>
      <c r="H45" s="186">
        <f t="shared" si="121"/>
        <v>0</v>
      </c>
      <c r="I45" s="186">
        <f t="shared" ref="I45" si="122">SUM(I41:I44)</f>
        <v>-92</v>
      </c>
      <c r="J45" s="186">
        <f t="shared" si="121"/>
        <v>0</v>
      </c>
      <c r="K45" s="186">
        <f t="shared" ref="K45" si="123">SUM(K41:K44)</f>
        <v>0</v>
      </c>
      <c r="L45" s="186">
        <f t="shared" si="121"/>
        <v>0</v>
      </c>
      <c r="M45" s="186">
        <f t="shared" si="121"/>
        <v>834</v>
      </c>
      <c r="N45" s="186">
        <f t="shared" si="121"/>
        <v>-315</v>
      </c>
      <c r="O45" s="186">
        <f t="shared" si="121"/>
        <v>0</v>
      </c>
      <c r="P45" s="186">
        <f t="shared" si="121"/>
        <v>-33</v>
      </c>
      <c r="Q45" s="186">
        <f t="shared" si="121"/>
        <v>0</v>
      </c>
      <c r="R45" s="186">
        <f t="shared" si="121"/>
        <v>0</v>
      </c>
      <c r="S45" s="186">
        <f t="shared" si="121"/>
        <v>-41</v>
      </c>
      <c r="T45" s="186">
        <f t="shared" ref="T45" si="124">SUM(T41:T44)</f>
        <v>627</v>
      </c>
      <c r="U45" s="361">
        <f>SUM(U41:U44)</f>
        <v>-1285</v>
      </c>
      <c r="V45" s="361">
        <f t="shared" ref="V45" si="125">SUM(V41:V44)</f>
        <v>790.66499999999996</v>
      </c>
      <c r="W45" s="186">
        <f>SUM(W41:W44)</f>
        <v>0</v>
      </c>
      <c r="X45" s="186">
        <f>SUM(X41:X44)</f>
        <v>0</v>
      </c>
      <c r="Y45" s="186">
        <f>SUM(Y41:Y44)</f>
        <v>14</v>
      </c>
      <c r="Z45" s="361">
        <f>SUM(Z41:Z44)</f>
        <v>0</v>
      </c>
      <c r="AA45" s="361">
        <f t="shared" ref="AA45" si="126">SUM(AA41:AA44)</f>
        <v>0</v>
      </c>
      <c r="AB45" s="361">
        <f t="shared" ref="AB45" si="127">SUM(AB41:AB44)</f>
        <v>0</v>
      </c>
      <c r="AC45" s="361">
        <f>SUM(AC41:AC44)</f>
        <v>0</v>
      </c>
      <c r="AD45" s="399">
        <f t="shared" si="121"/>
        <v>136187.66499999998</v>
      </c>
      <c r="AE45" s="186">
        <f>SUM(AE41:AE44)</f>
        <v>0</v>
      </c>
      <c r="AF45" s="186">
        <f t="shared" ref="AF45" si="128">SUM(AF41:AF44)</f>
        <v>0</v>
      </c>
      <c r="AG45" s="186">
        <f t="shared" ref="AG45" si="129">SUM(AG41:AG44)</f>
        <v>122</v>
      </c>
      <c r="AH45" s="186">
        <f t="shared" ref="AH45:AJ45" si="130">SUM(AH41:AH44)</f>
        <v>5863</v>
      </c>
      <c r="AI45" s="186">
        <f t="shared" si="130"/>
        <v>0</v>
      </c>
      <c r="AJ45" s="361">
        <f t="shared" si="130"/>
        <v>-639</v>
      </c>
      <c r="AK45" s="361">
        <f t="shared" ref="AK45:AM45" si="131">SUM(AK41:AK44)</f>
        <v>2449.6999999999998</v>
      </c>
      <c r="AL45" s="186">
        <f t="shared" si="131"/>
        <v>60.036999999999999</v>
      </c>
      <c r="AM45" s="186">
        <f t="shared" si="131"/>
        <v>-5511.6</v>
      </c>
      <c r="AN45" s="186">
        <f t="shared" ref="AN45" si="132">SUM(AN41:AN44)</f>
        <v>1163.7</v>
      </c>
      <c r="AO45" s="186">
        <f t="shared" si="121"/>
        <v>0</v>
      </c>
      <c r="AP45" s="186">
        <f>SUM(AP41:AP44)</f>
        <v>381</v>
      </c>
      <c r="AQ45" s="186">
        <f>SUM(AQ41:AQ44)</f>
        <v>0</v>
      </c>
      <c r="AR45" s="186">
        <f>SUM(AR41:AR44)</f>
        <v>5260</v>
      </c>
      <c r="AS45" s="186">
        <f t="shared" ref="AS45" si="133">SUM(AS41:AS44)</f>
        <v>101.5</v>
      </c>
      <c r="AT45" s="186">
        <f t="shared" ref="AT45:AU45" si="134">SUM(AT41:AT44)</f>
        <v>2684.0889999999999</v>
      </c>
      <c r="AU45" s="186">
        <f t="shared" si="134"/>
        <v>1944.3999999999999</v>
      </c>
      <c r="AV45" s="186">
        <f t="shared" ref="AV45:AX45" si="135">SUM(AV41:AV44)</f>
        <v>-884.7</v>
      </c>
      <c r="AW45" s="186">
        <f t="shared" si="135"/>
        <v>393</v>
      </c>
      <c r="AX45" s="186">
        <f t="shared" si="135"/>
        <v>4742.3999999999996</v>
      </c>
      <c r="AY45" s="186">
        <f t="shared" ref="AY45:AZ45" si="136">SUM(AY41:AY44)</f>
        <v>563</v>
      </c>
      <c r="AZ45" s="186">
        <f t="shared" si="136"/>
        <v>473.9</v>
      </c>
      <c r="BA45" s="186">
        <f t="shared" ref="BA45:BD45" si="137">SUM(BA41:BA44)</f>
        <v>0</v>
      </c>
      <c r="BB45" s="186">
        <f t="shared" si="137"/>
        <v>0</v>
      </c>
      <c r="BC45" s="186">
        <f t="shared" si="137"/>
        <v>0</v>
      </c>
      <c r="BD45" s="186">
        <f t="shared" si="137"/>
        <v>6425</v>
      </c>
      <c r="BE45" s="186">
        <f>SUM(BE41:BE44)</f>
        <v>1653</v>
      </c>
      <c r="BF45" s="186">
        <f>SUM(BF41:BF44)</f>
        <v>-279.28100000000001</v>
      </c>
      <c r="BG45" s="186"/>
      <c r="BH45" s="186"/>
      <c r="BI45" s="186"/>
      <c r="BJ45" s="186"/>
      <c r="BK45" s="186"/>
      <c r="BL45" s="314">
        <f>SUM(AD45:BK45)</f>
        <v>163152.81</v>
      </c>
      <c r="BM45" s="182"/>
      <c r="BN45" s="361">
        <f t="shared" ref="BN45" si="138">SUM(BN41:BN44)</f>
        <v>0</v>
      </c>
      <c r="BO45" s="361">
        <f t="shared" ref="BO45:BP45" si="139">SUM(BO41:BO44)</f>
        <v>0</v>
      </c>
      <c r="BP45" s="361">
        <f t="shared" si="139"/>
        <v>-314</v>
      </c>
      <c r="BQ45" s="361">
        <f>SUM(BQ41:BQ44)</f>
        <v>942</v>
      </c>
      <c r="BR45" s="186">
        <f t="shared" ref="BR45" si="140">SUM(BR41:BR44)</f>
        <v>171.6</v>
      </c>
      <c r="BS45" s="186">
        <f t="shared" ref="BS45" si="141">SUM(BS41:BS44)</f>
        <v>0</v>
      </c>
      <c r="BT45" s="186">
        <f>SUM(BT41:BT44)</f>
        <v>-207</v>
      </c>
      <c r="BU45" s="186">
        <f t="shared" ref="BU45" si="142">SUM(BU41:BU44)</f>
        <v>1073.636</v>
      </c>
      <c r="BV45" s="186">
        <f>SUM(BV41:BV44)</f>
        <v>-223</v>
      </c>
      <c r="BW45" s="186">
        <f>SUM(BW41:BW44)</f>
        <v>-480.166</v>
      </c>
      <c r="BX45" s="186">
        <f>SUM(BX41:BX44)</f>
        <v>0</v>
      </c>
      <c r="BY45" s="186">
        <f t="shared" ref="BY45" si="143">SUM(BY41:BY44)</f>
        <v>0</v>
      </c>
      <c r="BZ45" s="186">
        <f>SUM(BZ41:BZ44)</f>
        <v>0</v>
      </c>
      <c r="CA45" s="186">
        <f>SUM(CA41:CA44)</f>
        <v>0</v>
      </c>
      <c r="CB45" s="186"/>
      <c r="CC45" s="281">
        <f t="shared" si="120"/>
        <v>164115.88</v>
      </c>
      <c r="CD45" s="186">
        <f t="shared" ref="CD45" si="144">SUM(CD41:CD44)</f>
        <v>963.07000000000698</v>
      </c>
    </row>
    <row r="46" spans="1:82" s="178" customFormat="1">
      <c r="A46" s="176">
        <v>25</v>
      </c>
      <c r="B46" s="178" t="s">
        <v>198</v>
      </c>
      <c r="E46" s="307">
        <f t="shared" ref="E46:AO46" si="145">E45+E38+E37+E36+E34+E27</f>
        <v>663617.69999999995</v>
      </c>
      <c r="F46" s="186">
        <f t="shared" si="145"/>
        <v>0</v>
      </c>
      <c r="G46" s="186">
        <f t="shared" si="145"/>
        <v>0</v>
      </c>
      <c r="H46" s="186">
        <f t="shared" si="145"/>
        <v>0</v>
      </c>
      <c r="I46" s="186">
        <f t="shared" ref="I46" si="146">I45+I38+I37+I36+I34+I27</f>
        <v>-21027</v>
      </c>
      <c r="J46" s="186">
        <f t="shared" si="145"/>
        <v>-20759</v>
      </c>
      <c r="K46" s="186">
        <f t="shared" si="145"/>
        <v>1358</v>
      </c>
      <c r="L46" s="186">
        <f t="shared" si="145"/>
        <v>912</v>
      </c>
      <c r="M46" s="186">
        <f t="shared" si="145"/>
        <v>834</v>
      </c>
      <c r="N46" s="186">
        <f t="shared" si="145"/>
        <v>-315</v>
      </c>
      <c r="O46" s="186">
        <f t="shared" si="145"/>
        <v>0</v>
      </c>
      <c r="P46" s="186">
        <f t="shared" si="145"/>
        <v>-33</v>
      </c>
      <c r="Q46" s="186">
        <f t="shared" si="145"/>
        <v>-58</v>
      </c>
      <c r="R46" s="186">
        <f t="shared" si="145"/>
        <v>-68</v>
      </c>
      <c r="S46" s="186">
        <f>S45+S38+S37+S36+S34+S27</f>
        <v>-489</v>
      </c>
      <c r="T46" s="186">
        <f t="shared" si="145"/>
        <v>-14241</v>
      </c>
      <c r="U46" s="361">
        <f t="shared" si="145"/>
        <v>-1297</v>
      </c>
      <c r="V46" s="361">
        <f>V45+V38+V37+V36+V34+V27</f>
        <v>790.66499999999996</v>
      </c>
      <c r="W46" s="186">
        <f>W45+W38+W37+W36+W34+W27</f>
        <v>0</v>
      </c>
      <c r="X46" s="186">
        <f>X45+X38+X37+X36+X34+X27</f>
        <v>0</v>
      </c>
      <c r="Y46" s="186">
        <f t="shared" si="145"/>
        <v>43014</v>
      </c>
      <c r="Z46" s="361">
        <f t="shared" si="145"/>
        <v>-15</v>
      </c>
      <c r="AA46" s="361">
        <f t="shared" si="145"/>
        <v>334</v>
      </c>
      <c r="AB46" s="361">
        <f>AB45+AB38+AB37+AB36+AB34+AB27</f>
        <v>-129513</v>
      </c>
      <c r="AC46" s="361">
        <f t="shared" ref="AC46" si="147">AC45+AC38+AC37+AC36+AC34+AC27</f>
        <v>0</v>
      </c>
      <c r="AD46" s="399">
        <f t="shared" si="145"/>
        <v>523045.36499999999</v>
      </c>
      <c r="AE46" s="186">
        <f>AE45+AE38+AE37+AE36+AE34+AE27</f>
        <v>75852</v>
      </c>
      <c r="AF46" s="186">
        <f t="shared" ref="AF46" si="148">AF45+AF38+AF37+AF36+AF34+AF27</f>
        <v>0</v>
      </c>
      <c r="AG46" s="186">
        <f t="shared" ref="AG46" si="149">AG45+AG38+AG37+AG36+AG34+AG27</f>
        <v>1448</v>
      </c>
      <c r="AH46" s="186">
        <f>AH45+AH38+AH37+AH36+AH34+AH27</f>
        <v>6218.5</v>
      </c>
      <c r="AI46" s="186">
        <f t="shared" ref="AI46" si="150">AI45+AI38+AI37+AI36+AI34+AI27</f>
        <v>0</v>
      </c>
      <c r="AJ46" s="361">
        <f>AJ45+AJ38+AJ37+AJ36+AJ34+AJ27</f>
        <v>-2321</v>
      </c>
      <c r="AK46" s="361">
        <f t="shared" ref="AK46:AM46" si="151">AK45+AK38+AK37+AK36+AK34+AK27</f>
        <v>6594.7000000000007</v>
      </c>
      <c r="AL46" s="186">
        <f t="shared" si="151"/>
        <v>60.036999999999999</v>
      </c>
      <c r="AM46" s="186">
        <f t="shared" si="151"/>
        <v>-5428.6</v>
      </c>
      <c r="AN46" s="186">
        <f t="shared" ref="AN46" si="152">AN45+AN38+AN37+AN36+AN34+AN27</f>
        <v>1163.7</v>
      </c>
      <c r="AO46" s="186">
        <f t="shared" si="145"/>
        <v>262</v>
      </c>
      <c r="AP46" s="186">
        <f>AP45+AP38+AP37+AP36+AP34+AP27</f>
        <v>381</v>
      </c>
      <c r="AQ46" s="186">
        <f>AQ45+AQ38+AQ37+AQ36+AQ34+AQ27</f>
        <v>-185</v>
      </c>
      <c r="AR46" s="186">
        <f>AR45+AR38+AR37+AR36+AR34+AR27</f>
        <v>5260</v>
      </c>
      <c r="AS46" s="186">
        <f t="shared" ref="AS46" si="153">AS45+AS38+AS37+AS36+AS34+AS27</f>
        <v>101.5</v>
      </c>
      <c r="AT46" s="186">
        <f>AT45+AT38+AT37+AT36+AT34+AT27</f>
        <v>8875.9499999999989</v>
      </c>
      <c r="AU46" s="186">
        <f>AU45+AU38+AU37+AU36+AU34+AU27</f>
        <v>4191.2</v>
      </c>
      <c r="AV46" s="186">
        <f t="shared" ref="AV46:AX46" si="154">AV45+AV38+AV37+AV36+AV34+AV27</f>
        <v>-750.3</v>
      </c>
      <c r="AW46" s="186">
        <f t="shared" si="154"/>
        <v>4647</v>
      </c>
      <c r="AX46" s="186">
        <f t="shared" si="154"/>
        <v>4577.7999999999993</v>
      </c>
      <c r="AY46" s="186">
        <f t="shared" ref="AY46:AZ46" si="155">AY45+AY38+AY37+AY36+AY34+AY27</f>
        <v>563</v>
      </c>
      <c r="AZ46" s="186">
        <f t="shared" si="155"/>
        <v>473.9</v>
      </c>
      <c r="BA46" s="186">
        <f t="shared" ref="BA46:BD46" si="156">BA45+BA38+BA37+BA36+BA34+BA27</f>
        <v>132</v>
      </c>
      <c r="BB46" s="186">
        <f t="shared" si="156"/>
        <v>-334</v>
      </c>
      <c r="BC46" s="186">
        <f t="shared" si="156"/>
        <v>2159</v>
      </c>
      <c r="BD46" s="186">
        <f t="shared" si="156"/>
        <v>4056</v>
      </c>
      <c r="BE46" s="186">
        <f>BE45+BE38+BE37+BE36+BE34+BE27</f>
        <v>5258</v>
      </c>
      <c r="BF46" s="186">
        <f>BF45+BF38+BF37+BF36+BF34+BF27</f>
        <v>-916.81</v>
      </c>
      <c r="BG46" s="186"/>
      <c r="BH46" s="186"/>
      <c r="BI46" s="186"/>
      <c r="BJ46" s="186"/>
      <c r="BK46" s="186"/>
      <c r="BL46" s="314">
        <f>SUM(AD46:BK46)</f>
        <v>645384.94199999981</v>
      </c>
      <c r="BM46" s="182"/>
      <c r="BN46" s="361">
        <f t="shared" ref="BN46" si="157">BN45+BN38+BN37+BN36+BN34+BN27</f>
        <v>-20941</v>
      </c>
      <c r="BO46" s="361">
        <f t="shared" ref="BO46:BP46" si="158">BO45+BO38+BO37+BO36+BO34+BO27</f>
        <v>0</v>
      </c>
      <c r="BP46" s="361">
        <f t="shared" si="158"/>
        <v>-314</v>
      </c>
      <c r="BQ46" s="361">
        <f t="shared" ref="BQ46:BR46" si="159">BQ45+BQ38+BQ37+BQ36+BQ34+BQ27</f>
        <v>2642</v>
      </c>
      <c r="BR46" s="186">
        <f t="shared" si="159"/>
        <v>463.7</v>
      </c>
      <c r="BS46" s="186">
        <f>BS45+BS38+BS37+BS36+BS34+BS27</f>
        <v>747</v>
      </c>
      <c r="BT46" s="186">
        <f>BT45+BT38+BT37+BT36+BT34+BT27</f>
        <v>-207</v>
      </c>
      <c r="BU46" s="186">
        <f t="shared" ref="BU46" si="160">BU45+BU38+BU37+BU36+BU34+BU27</f>
        <v>3550.38</v>
      </c>
      <c r="BV46" s="186">
        <f>BV45+BV38+BV37+BV36+BV34+BV27</f>
        <v>3775</v>
      </c>
      <c r="BW46" s="186">
        <f>BW45+BW38+BW37+BW36+BW34+BW27</f>
        <v>-830.33299999999997</v>
      </c>
      <c r="BX46" s="186">
        <f>BX45+BX38+BX37+BX36+BX34+BX27</f>
        <v>0</v>
      </c>
      <c r="BY46" s="186">
        <f t="shared" ref="BY46" si="161">BY45+BY38+BY37+BY36+BY34+BY27</f>
        <v>36</v>
      </c>
      <c r="BZ46" s="186">
        <f>BZ45+BZ38+BZ37+BZ36+BZ34+BZ27</f>
        <v>1661</v>
      </c>
      <c r="CA46" s="186">
        <f>CA45+CA38+CA37+CA36+CA34+CA27</f>
        <v>176</v>
      </c>
      <c r="CB46" s="186"/>
      <c r="CC46" s="281">
        <f t="shared" si="120"/>
        <v>636143.68899999978</v>
      </c>
      <c r="CD46" s="186">
        <f t="shared" ref="CD46" si="162">CD45+CD38+CD37+CD36+CD34+CD27</f>
        <v>-9241.2530000000042</v>
      </c>
    </row>
    <row r="47" spans="1:82" s="178" customFormat="1" ht="8.25" customHeight="1">
      <c r="F47" s="183"/>
      <c r="G47" s="183"/>
      <c r="H47" s="183"/>
      <c r="I47" s="183"/>
      <c r="J47" s="183"/>
      <c r="K47" s="183"/>
      <c r="L47" s="183"/>
      <c r="M47" s="183"/>
      <c r="N47" s="183"/>
      <c r="O47" s="183"/>
      <c r="P47" s="183"/>
      <c r="Q47" s="183"/>
      <c r="R47" s="183"/>
      <c r="S47" s="183"/>
      <c r="T47" s="183"/>
      <c r="U47" s="356"/>
      <c r="V47" s="356"/>
      <c r="W47" s="183"/>
      <c r="X47" s="183"/>
      <c r="Y47" s="183"/>
      <c r="Z47" s="356"/>
      <c r="AA47" s="356"/>
      <c r="AB47" s="356"/>
      <c r="AC47" s="356"/>
      <c r="AD47" s="397"/>
      <c r="AE47" s="183"/>
      <c r="AF47" s="183"/>
      <c r="AG47" s="183"/>
      <c r="AH47" s="183"/>
      <c r="AI47" s="183"/>
      <c r="AJ47" s="356"/>
      <c r="AK47" s="356"/>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312"/>
      <c r="BM47" s="182"/>
      <c r="BN47" s="356"/>
      <c r="BO47" s="356"/>
      <c r="BP47" s="356"/>
      <c r="BQ47" s="356"/>
      <c r="BR47" s="183"/>
      <c r="BS47" s="183"/>
      <c r="BT47" s="183"/>
      <c r="BU47" s="183"/>
      <c r="BV47" s="183"/>
      <c r="BW47" s="183"/>
      <c r="BX47" s="183"/>
      <c r="BY47" s="183"/>
      <c r="BZ47" s="183"/>
      <c r="CA47" s="183"/>
      <c r="CB47" s="183"/>
      <c r="CC47" s="279"/>
      <c r="CD47" s="183"/>
    </row>
    <row r="48" spans="1:82" s="178" customFormat="1">
      <c r="A48" s="176">
        <v>26</v>
      </c>
      <c r="B48" s="178" t="s">
        <v>199</v>
      </c>
      <c r="E48" s="178">
        <f t="shared" ref="E48:AO48" si="163">E18-E46</f>
        <v>111650.70000000007</v>
      </c>
      <c r="F48" s="183">
        <f t="shared" si="163"/>
        <v>0</v>
      </c>
      <c r="G48" s="183">
        <f t="shared" si="163"/>
        <v>0</v>
      </c>
      <c r="H48" s="183">
        <f t="shared" si="163"/>
        <v>0</v>
      </c>
      <c r="I48" s="183">
        <f t="shared" ref="I48" si="164">I18-I46</f>
        <v>-1961</v>
      </c>
      <c r="J48" s="183">
        <f t="shared" si="163"/>
        <v>64</v>
      </c>
      <c r="K48" s="183">
        <f t="shared" si="163"/>
        <v>-1358</v>
      </c>
      <c r="L48" s="183">
        <f t="shared" si="163"/>
        <v>-912</v>
      </c>
      <c r="M48" s="183">
        <f t="shared" si="163"/>
        <v>-834</v>
      </c>
      <c r="N48" s="183">
        <f t="shared" si="163"/>
        <v>315</v>
      </c>
      <c r="O48" s="183">
        <f t="shared" si="163"/>
        <v>0</v>
      </c>
      <c r="P48" s="183">
        <f t="shared" si="163"/>
        <v>33</v>
      </c>
      <c r="Q48" s="183">
        <f t="shared" si="163"/>
        <v>58</v>
      </c>
      <c r="R48" s="183">
        <f t="shared" si="163"/>
        <v>68</v>
      </c>
      <c r="S48" s="183">
        <f>S18-S46</f>
        <v>-1394</v>
      </c>
      <c r="T48" s="183">
        <f t="shared" si="163"/>
        <v>24303</v>
      </c>
      <c r="U48" s="356">
        <f t="shared" si="163"/>
        <v>1297</v>
      </c>
      <c r="V48" s="356">
        <f>V18-V46</f>
        <v>-790.66499999999996</v>
      </c>
      <c r="W48" s="183">
        <f>W18-W46</f>
        <v>0</v>
      </c>
      <c r="X48" s="183">
        <f>X18-X46</f>
        <v>0</v>
      </c>
      <c r="Y48" s="183">
        <f>Y18-Y46</f>
        <v>-39418</v>
      </c>
      <c r="Z48" s="356">
        <f t="shared" si="163"/>
        <v>15</v>
      </c>
      <c r="AA48" s="356">
        <f t="shared" si="163"/>
        <v>-334</v>
      </c>
      <c r="AB48" s="356">
        <f>AB18-AB46</f>
        <v>58964</v>
      </c>
      <c r="AC48" s="356">
        <f t="shared" ref="AC48" si="165">AC18-AC46</f>
        <v>0</v>
      </c>
      <c r="AD48" s="397">
        <f t="shared" si="163"/>
        <v>149766.03500000003</v>
      </c>
      <c r="AE48" s="183">
        <f>AE18-AE46</f>
        <v>-20872</v>
      </c>
      <c r="AF48" s="183">
        <f t="shared" ref="AF48" si="166">AF18-AF46</f>
        <v>3245</v>
      </c>
      <c r="AG48" s="183">
        <f t="shared" ref="AG48" si="167">AG18-AG46</f>
        <v>31843</v>
      </c>
      <c r="AH48" s="183">
        <f>AH18-AH46</f>
        <v>-6218.5</v>
      </c>
      <c r="AI48" s="183">
        <f t="shared" ref="AI48" si="168">AI18-AI46</f>
        <v>0</v>
      </c>
      <c r="AJ48" s="356">
        <f>AJ18-AJ46</f>
        <v>2321</v>
      </c>
      <c r="AK48" s="356">
        <f t="shared" ref="AK48:AM48" si="169">AK18-AK46</f>
        <v>-6594.7000000000007</v>
      </c>
      <c r="AL48" s="183">
        <f t="shared" si="169"/>
        <v>-60.036999999999999</v>
      </c>
      <c r="AM48" s="183">
        <f t="shared" si="169"/>
        <v>5428.6</v>
      </c>
      <c r="AN48" s="183">
        <f t="shared" ref="AN48" si="170">AN18-AN46</f>
        <v>-1163.7</v>
      </c>
      <c r="AO48" s="183">
        <f t="shared" si="163"/>
        <v>-262</v>
      </c>
      <c r="AP48" s="183">
        <f>AP18-AP46</f>
        <v>-381</v>
      </c>
      <c r="AQ48" s="183">
        <f>AQ18-AQ46</f>
        <v>185</v>
      </c>
      <c r="AR48" s="183">
        <f>AR18-AR46</f>
        <v>-5260</v>
      </c>
      <c r="AS48" s="183">
        <f t="shared" ref="AS48" si="171">AS18-AS46</f>
        <v>-101.5</v>
      </c>
      <c r="AT48" s="183">
        <f>AT18-AT46</f>
        <v>-8875.9499999999989</v>
      </c>
      <c r="AU48" s="183">
        <f>AU18-AU46</f>
        <v>-4191.2</v>
      </c>
      <c r="AV48" s="183">
        <f t="shared" ref="AV48:AX48" si="172">AV18-AV46</f>
        <v>750.3</v>
      </c>
      <c r="AW48" s="183">
        <f t="shared" si="172"/>
        <v>-4647</v>
      </c>
      <c r="AX48" s="183">
        <f t="shared" si="172"/>
        <v>-4577.7999999999993</v>
      </c>
      <c r="AY48" s="183">
        <f t="shared" ref="AY48:AZ48" si="173">AY18-AY46</f>
        <v>-563</v>
      </c>
      <c r="AZ48" s="183">
        <f t="shared" si="173"/>
        <v>-473.9</v>
      </c>
      <c r="BA48" s="183">
        <f t="shared" ref="BA48:BE48" si="174">BA18-BA46</f>
        <v>-132</v>
      </c>
      <c r="BB48" s="183">
        <f t="shared" si="174"/>
        <v>334</v>
      </c>
      <c r="BC48" s="183">
        <f t="shared" si="174"/>
        <v>-2159</v>
      </c>
      <c r="BD48" s="183">
        <f t="shared" si="174"/>
        <v>-4056</v>
      </c>
      <c r="BE48" s="183">
        <f t="shared" si="174"/>
        <v>-5258</v>
      </c>
      <c r="BF48" s="183">
        <f t="shared" ref="BF48" si="175">BF18-BF46</f>
        <v>7298.8099999999995</v>
      </c>
      <c r="BG48" s="183"/>
      <c r="BH48" s="183"/>
      <c r="BI48" s="183"/>
      <c r="BJ48" s="183"/>
      <c r="BK48" s="183"/>
      <c r="BL48" s="312">
        <f>SUM(AD48:BK48)</f>
        <v>125324.45799999997</v>
      </c>
      <c r="BM48" s="182"/>
      <c r="BN48" s="356">
        <f t="shared" ref="BN48" si="176">BN18-BN46</f>
        <v>-56685</v>
      </c>
      <c r="BO48" s="356">
        <f t="shared" ref="BO48:BP48" si="177">BO18-BO46</f>
        <v>0</v>
      </c>
      <c r="BP48" s="356">
        <f t="shared" si="177"/>
        <v>314</v>
      </c>
      <c r="BQ48" s="356">
        <f t="shared" ref="BQ48:BR48" si="178">BQ18-BQ46</f>
        <v>-2642</v>
      </c>
      <c r="BR48" s="183">
        <f t="shared" si="178"/>
        <v>-463.7</v>
      </c>
      <c r="BS48" s="183">
        <f>BS18-BS46</f>
        <v>-747</v>
      </c>
      <c r="BT48" s="183">
        <f>BT18-BT46</f>
        <v>207</v>
      </c>
      <c r="BU48" s="183">
        <f t="shared" ref="BU48:BW48" si="179">BU18-BU46</f>
        <v>-3550.38</v>
      </c>
      <c r="BV48" s="183">
        <f t="shared" si="179"/>
        <v>-3775</v>
      </c>
      <c r="BW48" s="183">
        <f t="shared" si="179"/>
        <v>3844.3330000000001</v>
      </c>
      <c r="BX48" s="183">
        <f t="shared" ref="BX48:BY48" si="180">BX18-BX46</f>
        <v>0</v>
      </c>
      <c r="BY48" s="183">
        <f t="shared" si="180"/>
        <v>-36</v>
      </c>
      <c r="BZ48" s="183">
        <f>BZ18-BZ46</f>
        <v>-1661</v>
      </c>
      <c r="CA48" s="183">
        <f>CA18-CA46</f>
        <v>-176</v>
      </c>
      <c r="CB48" s="183"/>
      <c r="CC48" s="279">
        <f>SUM(BL48:CB48)</f>
        <v>59953.710999999974</v>
      </c>
      <c r="CD48" s="183">
        <f t="shared" ref="CD48" si="181">CD18-CD46</f>
        <v>-65370.746999999996</v>
      </c>
    </row>
    <row r="49" spans="1:82" s="178" customFormat="1" ht="6.75" customHeight="1">
      <c r="A49" s="176"/>
      <c r="F49" s="183"/>
      <c r="G49" s="183"/>
      <c r="H49" s="183"/>
      <c r="I49" s="183"/>
      <c r="J49" s="183"/>
      <c r="K49" s="183"/>
      <c r="L49" s="183"/>
      <c r="M49" s="183"/>
      <c r="N49" s="183"/>
      <c r="O49" s="183"/>
      <c r="P49" s="183"/>
      <c r="Q49" s="183"/>
      <c r="R49" s="183"/>
      <c r="S49" s="183"/>
      <c r="T49" s="183"/>
      <c r="U49" s="356"/>
      <c r="V49" s="356"/>
      <c r="W49" s="183"/>
      <c r="X49" s="183"/>
      <c r="Y49" s="183"/>
      <c r="Z49" s="356"/>
      <c r="AA49" s="356"/>
      <c r="AB49" s="356"/>
      <c r="AC49" s="356"/>
      <c r="AD49" s="397"/>
      <c r="AE49" s="183"/>
      <c r="AF49" s="183"/>
      <c r="AG49" s="183"/>
      <c r="AH49" s="183"/>
      <c r="AI49" s="183"/>
      <c r="AJ49" s="356"/>
      <c r="AK49" s="356"/>
      <c r="AL49" s="183"/>
      <c r="AM49" s="183"/>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312"/>
      <c r="BM49" s="182"/>
      <c r="BN49" s="356"/>
      <c r="BO49" s="356"/>
      <c r="BP49" s="356"/>
      <c r="BQ49" s="356"/>
      <c r="BR49" s="183"/>
      <c r="BS49" s="183"/>
      <c r="BT49" s="183"/>
      <c r="BU49" s="183"/>
      <c r="BV49" s="183"/>
      <c r="BW49" s="183"/>
      <c r="BX49" s="183"/>
      <c r="BY49" s="183"/>
      <c r="BZ49" s="183"/>
      <c r="CA49" s="183"/>
      <c r="CB49" s="183"/>
      <c r="CC49" s="279"/>
      <c r="CD49" s="183"/>
    </row>
    <row r="50" spans="1:82" s="178" customFormat="1">
      <c r="A50" s="180"/>
      <c r="B50" s="178" t="s">
        <v>200</v>
      </c>
      <c r="F50" s="183"/>
      <c r="G50" s="183"/>
      <c r="H50" s="183"/>
      <c r="I50" s="183"/>
      <c r="J50" s="183"/>
      <c r="K50" s="183"/>
      <c r="L50" s="183"/>
      <c r="M50" s="183"/>
      <c r="N50" s="183"/>
      <c r="O50" s="183"/>
      <c r="P50" s="183"/>
      <c r="Q50" s="183"/>
      <c r="R50" s="183"/>
      <c r="S50" s="183"/>
      <c r="T50" s="183"/>
      <c r="U50" s="356"/>
      <c r="V50" s="356"/>
      <c r="W50" s="183"/>
      <c r="X50" s="183"/>
      <c r="Y50" s="183"/>
      <c r="Z50" s="356"/>
      <c r="AA50" s="356"/>
      <c r="AB50" s="356"/>
      <c r="AC50" s="356"/>
      <c r="AD50" s="397"/>
      <c r="AE50" s="183"/>
      <c r="AF50" s="183"/>
      <c r="AG50" s="183"/>
      <c r="AH50" s="183"/>
      <c r="AI50" s="183"/>
      <c r="AJ50" s="356"/>
      <c r="AK50" s="356"/>
      <c r="AL50" s="183"/>
      <c r="AM50" s="183"/>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312"/>
      <c r="BM50" s="182"/>
      <c r="BN50" s="356"/>
      <c r="BO50" s="356"/>
      <c r="BP50" s="356"/>
      <c r="BQ50" s="356"/>
      <c r="BR50" s="183"/>
      <c r="BS50" s="183"/>
      <c r="BT50" s="183"/>
      <c r="BU50" s="183"/>
      <c r="BV50" s="183"/>
      <c r="BW50" s="183"/>
      <c r="BX50" s="183"/>
      <c r="BY50" s="183"/>
      <c r="BZ50" s="183"/>
      <c r="CA50" s="183"/>
      <c r="CB50" s="183"/>
      <c r="CC50" s="279"/>
      <c r="CD50" s="183"/>
    </row>
    <row r="51" spans="1:82" s="178" customFormat="1">
      <c r="A51" s="176">
        <v>27</v>
      </c>
      <c r="B51" s="178" t="s">
        <v>550</v>
      </c>
      <c r="D51" s="228"/>
      <c r="E51" s="178">
        <f>'ROO INPUT 1.00'!F52</f>
        <v>-6746</v>
      </c>
      <c r="F51" s="183">
        <f>F48*0.21</f>
        <v>0</v>
      </c>
      <c r="G51" s="183">
        <f t="shared" ref="G51:AP51" si="182">G48*0.21</f>
        <v>0</v>
      </c>
      <c r="H51" s="183">
        <f t="shared" si="182"/>
        <v>0</v>
      </c>
      <c r="I51" s="183">
        <f t="shared" ref="I51" si="183">I48*0.21</f>
        <v>-411.81</v>
      </c>
      <c r="J51" s="183">
        <f t="shared" si="182"/>
        <v>13.44</v>
      </c>
      <c r="K51" s="183">
        <f t="shared" si="182"/>
        <v>-285.18</v>
      </c>
      <c r="L51" s="183">
        <f t="shared" si="182"/>
        <v>-191.51999999999998</v>
      </c>
      <c r="M51" s="183">
        <f t="shared" si="182"/>
        <v>-175.14</v>
      </c>
      <c r="N51" s="183">
        <f t="shared" si="182"/>
        <v>66.149999999999991</v>
      </c>
      <c r="O51" s="183">
        <v>0</v>
      </c>
      <c r="P51" s="183">
        <f t="shared" si="182"/>
        <v>6.93</v>
      </c>
      <c r="Q51" s="183">
        <f t="shared" si="182"/>
        <v>12.18</v>
      </c>
      <c r="R51" s="183">
        <f t="shared" si="182"/>
        <v>14.28</v>
      </c>
      <c r="S51" s="183">
        <f>S48*0.21</f>
        <v>-292.74</v>
      </c>
      <c r="T51" s="183">
        <f>T48*0.21</f>
        <v>5103.63</v>
      </c>
      <c r="U51" s="356">
        <f t="shared" si="182"/>
        <v>272.37</v>
      </c>
      <c r="V51" s="356">
        <f>V48*0.21</f>
        <v>-166.03964999999999</v>
      </c>
      <c r="W51" s="183">
        <f>'DEBT CALC 2.14'!E80</f>
        <v>226</v>
      </c>
      <c r="X51" s="183">
        <f>X48*0.21</f>
        <v>0</v>
      </c>
      <c r="Y51" s="183">
        <v>719</v>
      </c>
      <c r="Z51" s="356">
        <f t="shared" si="182"/>
        <v>3.15</v>
      </c>
      <c r="AA51" s="356">
        <f t="shared" si="182"/>
        <v>-70.14</v>
      </c>
      <c r="AB51" s="356">
        <f>AB48*0.21</f>
        <v>12382.439999999999</v>
      </c>
      <c r="AC51" s="356">
        <f t="shared" ref="AC51" si="184">AC48*0.21</f>
        <v>0</v>
      </c>
      <c r="AD51" s="397">
        <f>SUM(E51:AC51)</f>
        <v>10481.000349999997</v>
      </c>
      <c r="AE51" s="183">
        <f>AE48*0.21</f>
        <v>-4383.12</v>
      </c>
      <c r="AF51" s="183">
        <f t="shared" ref="AF51" si="185">AF48*0.21</f>
        <v>681.44999999999993</v>
      </c>
      <c r="AG51" s="183">
        <f>AG48*0.21</f>
        <v>6687.03</v>
      </c>
      <c r="AH51" s="183">
        <f>AH48*0.21</f>
        <v>-1305.885</v>
      </c>
      <c r="AI51" s="183">
        <f>AI48*0.21</f>
        <v>0</v>
      </c>
      <c r="AJ51" s="356">
        <f>(AJ48*0.21)+0.2</f>
        <v>487.60999999999996</v>
      </c>
      <c r="AK51" s="356">
        <f t="shared" ref="AK51:AM51" si="186">AK48*0.21</f>
        <v>-1384.8870000000002</v>
      </c>
      <c r="AL51" s="183">
        <f t="shared" si="186"/>
        <v>-12.607769999999999</v>
      </c>
      <c r="AM51" s="183">
        <f t="shared" si="186"/>
        <v>1140.0060000000001</v>
      </c>
      <c r="AN51" s="183">
        <f t="shared" ref="AN51" si="187">AN48*0.21</f>
        <v>-244.37700000000001</v>
      </c>
      <c r="AO51" s="183">
        <f t="shared" si="182"/>
        <v>-55.019999999999996</v>
      </c>
      <c r="AP51" s="183">
        <f t="shared" si="182"/>
        <v>-80.009999999999991</v>
      </c>
      <c r="AQ51" s="183">
        <f t="shared" ref="AQ51:AX51" si="188">AQ48*0.21</f>
        <v>38.85</v>
      </c>
      <c r="AR51" s="183">
        <f t="shared" si="188"/>
        <v>-1104.5999999999999</v>
      </c>
      <c r="AS51" s="183">
        <f t="shared" si="188"/>
        <v>-21.314999999999998</v>
      </c>
      <c r="AT51" s="183">
        <f t="shared" si="188"/>
        <v>-1863.9494999999997</v>
      </c>
      <c r="AU51" s="183">
        <f t="shared" si="188"/>
        <v>-880.15199999999993</v>
      </c>
      <c r="AV51" s="183">
        <f t="shared" si="188"/>
        <v>157.56299999999999</v>
      </c>
      <c r="AW51" s="183">
        <f t="shared" si="188"/>
        <v>-975.87</v>
      </c>
      <c r="AX51" s="183">
        <f t="shared" si="188"/>
        <v>-961.33799999999985</v>
      </c>
      <c r="AY51" s="183">
        <f t="shared" ref="AY51:AZ51" si="189">AY48*0.21</f>
        <v>-118.22999999999999</v>
      </c>
      <c r="AZ51" s="183">
        <f t="shared" si="189"/>
        <v>-99.518999999999991</v>
      </c>
      <c r="BA51" s="183">
        <f t="shared" ref="BA51:BE51" si="190">BA48*0.21</f>
        <v>-27.72</v>
      </c>
      <c r="BB51" s="183">
        <f t="shared" si="190"/>
        <v>70.14</v>
      </c>
      <c r="BC51" s="183">
        <f t="shared" si="190"/>
        <v>-453.39</v>
      </c>
      <c r="BD51" s="183">
        <f t="shared" si="190"/>
        <v>-851.76</v>
      </c>
      <c r="BE51" s="183">
        <f t="shared" si="190"/>
        <v>-1104.18</v>
      </c>
      <c r="BF51" s="183">
        <f t="shared" ref="BF51" si="191">BF48*0.21</f>
        <v>1532.7500999999997</v>
      </c>
      <c r="BG51" s="183"/>
      <c r="BH51" s="183"/>
      <c r="BI51" s="183"/>
      <c r="BJ51" s="183"/>
      <c r="BK51" s="183"/>
      <c r="BL51" s="312">
        <f t="shared" ref="BL51:BL54" si="192">SUM(AD51:BK51)</f>
        <v>5348.4691799999928</v>
      </c>
      <c r="BM51" s="182"/>
      <c r="BN51" s="356">
        <f>(BN48*0.21)+0.2</f>
        <v>-11903.65</v>
      </c>
      <c r="BO51" s="356">
        <f>(BO48*0.21)+0.2</f>
        <v>0.2</v>
      </c>
      <c r="BP51" s="356">
        <f>(BP48*0.21)+0.2</f>
        <v>66.14</v>
      </c>
      <c r="BQ51" s="356">
        <f t="shared" ref="BQ51:BR51" si="193">BQ48*0.21</f>
        <v>-554.81999999999994</v>
      </c>
      <c r="BR51" s="183">
        <f t="shared" si="193"/>
        <v>-97.376999999999995</v>
      </c>
      <c r="BS51" s="183">
        <f t="shared" ref="BS51" si="194">BS48*0.21</f>
        <v>-156.87</v>
      </c>
      <c r="BT51" s="183">
        <f>BT48*0.21</f>
        <v>43.47</v>
      </c>
      <c r="BU51" s="183">
        <f t="shared" ref="BU51:BW51" si="195">BU48*0.21</f>
        <v>-745.57979999999998</v>
      </c>
      <c r="BV51" s="183">
        <f t="shared" si="195"/>
        <v>-792.75</v>
      </c>
      <c r="BW51" s="183">
        <f t="shared" si="195"/>
        <v>807.30993000000001</v>
      </c>
      <c r="BX51" s="183">
        <f t="shared" ref="BX51" si="196">BX48*0.21</f>
        <v>0</v>
      </c>
      <c r="BY51" s="183">
        <f>BY48*0.21</f>
        <v>-7.56</v>
      </c>
      <c r="BZ51" s="183">
        <f>BZ48*0.21</f>
        <v>-348.81</v>
      </c>
      <c r="CA51" s="183">
        <f>CA48*0.21</f>
        <v>-36.96</v>
      </c>
      <c r="CB51" s="183"/>
      <c r="CC51" s="279">
        <f t="shared" ref="CC51:CC56" si="197">SUM(BL51:CB51)</f>
        <v>-8378.7876900000047</v>
      </c>
      <c r="CD51" s="183">
        <f>CC51-BL51</f>
        <v>-13727.256869999997</v>
      </c>
    </row>
    <row r="52" spans="1:82" s="178" customFormat="1">
      <c r="A52" s="176">
        <v>28</v>
      </c>
      <c r="B52" s="178" t="s">
        <v>247</v>
      </c>
      <c r="E52" s="178">
        <f>'ROO INPUT 1.00'!F53</f>
        <v>0</v>
      </c>
      <c r="F52" s="183">
        <f>(F80*'RR Summary'!$N$13)*-0.21</f>
        <v>-15.877974000000002</v>
      </c>
      <c r="G52" s="183">
        <f>(G80*'RR Summary'!$N$13)*-0.21</f>
        <v>0</v>
      </c>
      <c r="H52" s="183">
        <f>(H80*'RR Summary'!$N$13)*-0.21</f>
        <v>17.480882999999999</v>
      </c>
      <c r="I52" s="183">
        <f>(I80*'RR Summary'!$N$13)*-0.21</f>
        <v>134.26656599999998</v>
      </c>
      <c r="J52" s="183">
        <f>(J80*'RR Summary'!$N$13)*-0.21</f>
        <v>0</v>
      </c>
      <c r="K52" s="183">
        <f>(K80*'RR Summary'!$N$13)*-0.21</f>
        <v>0</v>
      </c>
      <c r="L52" s="183">
        <f>(L80*'RR Summary'!$N$13)*-0.21</f>
        <v>0</v>
      </c>
      <c r="M52" s="183">
        <f>(M80*'RR Summary'!$N$13)*-0.21</f>
        <v>0</v>
      </c>
      <c r="N52" s="183">
        <f>(N80*'RR Summary'!$N$13)*-0.21</f>
        <v>0</v>
      </c>
      <c r="O52" s="183">
        <f>(O80*'RR Summary'!$N$13)*-0.21</f>
        <v>0</v>
      </c>
      <c r="P52" s="183">
        <f>(P80*'RR Summary'!$N$13)*-0.21</f>
        <v>0</v>
      </c>
      <c r="Q52" s="183">
        <f>(Q80*'RR Summary'!$N$13)*-0.21</f>
        <v>0</v>
      </c>
      <c r="R52" s="183">
        <f>(R80*'RR Summary'!$N$13)*-0.21</f>
        <v>0</v>
      </c>
      <c r="S52" s="183">
        <f>(S80*'RR Summary'!$N$13)*-0.21</f>
        <v>0</v>
      </c>
      <c r="T52" s="183">
        <f>(T80*'RR Summary'!$N$13)*-0.21</f>
        <v>0</v>
      </c>
      <c r="U52" s="356">
        <f>(U80*'RR Summary'!$N$13)*-0.21</f>
        <v>0</v>
      </c>
      <c r="V52" s="356">
        <f>(V80*'RR Summary'!$N$13)*-0.21</f>
        <v>0</v>
      </c>
      <c r="W52" s="183"/>
      <c r="X52" s="183">
        <f>(X80*'RR Summary'!$N$13)*-0.21</f>
        <v>-291.05805119999997</v>
      </c>
      <c r="Y52" s="183">
        <f>(Y80*'RR Summary'!$N$13)*-0.21</f>
        <v>0</v>
      </c>
      <c r="Z52" s="356">
        <f>(Z80*'RR Summary'!$N$13)*-0.21</f>
        <v>0</v>
      </c>
      <c r="AA52" s="356">
        <f>(AA80*'RR Summary'!$N$13)*-0.21</f>
        <v>0</v>
      </c>
      <c r="AB52" s="356">
        <f>(AB80*'RR Summary'!$N$13)*-0.21</f>
        <v>0</v>
      </c>
      <c r="AC52" s="356">
        <f>(AC80*'RR Summary'!$N$13)*-0.21</f>
        <v>0</v>
      </c>
      <c r="AD52" s="397">
        <f>SUM(E52:AC52)</f>
        <v>-155.1885762</v>
      </c>
      <c r="AE52" s="183">
        <f>(AE80*'RR Summary'!$N$13)*-0.21</f>
        <v>0</v>
      </c>
      <c r="AF52" s="183">
        <f>(AF80*'RR Summary'!$N$13)*-0.21</f>
        <v>0</v>
      </c>
      <c r="AG52" s="183">
        <f>(AG80*'RR Summary'!$N$13)*-0.21</f>
        <v>0</v>
      </c>
      <c r="AH52" s="183">
        <f>(AH80*'RR Summary'!$N$13)*-0.21</f>
        <v>0</v>
      </c>
      <c r="AI52" s="183">
        <f>(AI80*'RR Summary'!$N$13)*-0.21</f>
        <v>0</v>
      </c>
      <c r="AJ52" s="356">
        <f>(AJ80*'RR Summary'!$N$13)*-0.21</f>
        <v>40.634013000000003</v>
      </c>
      <c r="AK52" s="356">
        <f>(AK80*'RR Summary'!$N$13)*-0.21</f>
        <v>0</v>
      </c>
      <c r="AL52" s="183">
        <f>(AL80*'RR Summary'!$N$13)*-0.21</f>
        <v>0</v>
      </c>
      <c r="AM52" s="183">
        <f>(AM80*'RR Summary'!$N$13)*-0.21</f>
        <v>0</v>
      </c>
      <c r="AN52" s="183">
        <f>(AN80*'RR Summary'!$N$13)*-0.21</f>
        <v>0</v>
      </c>
      <c r="AO52" s="183">
        <f>(AO80*'RR Summary'!$N$13)*-0.21</f>
        <v>0</v>
      </c>
      <c r="AP52" s="183">
        <f>(AP80*'RR Summary'!$N$13)*-0.21</f>
        <v>0</v>
      </c>
      <c r="AQ52" s="183">
        <f>(AQ80*'RR Summary'!$N$13)*-0.21</f>
        <v>0</v>
      </c>
      <c r="AR52" s="183">
        <f>(AR80*'RR Summary'!$N$13)*-0.21</f>
        <v>0</v>
      </c>
      <c r="AS52" s="183">
        <f>(AS80*'RR Summary'!$N$13)*-0.21</f>
        <v>0</v>
      </c>
      <c r="AT52" s="183">
        <f>(AT80*'RR Summary'!$N$13)*-0.21</f>
        <v>0</v>
      </c>
      <c r="AU52" s="183">
        <f>(AU80*'RR Summary'!$N$13)*-0.21</f>
        <v>-450.22481308703777</v>
      </c>
      <c r="AV52" s="183">
        <f>(AV80*'RR Summary'!$N$13)*-0.21</f>
        <v>0</v>
      </c>
      <c r="AW52" s="183">
        <f>(AW80*'RR Summary'!$N$13)*-0.21</f>
        <v>-379.00000740000007</v>
      </c>
      <c r="AX52" s="183">
        <f>(AX80*'RR Summary'!$N$13)*-0.21</f>
        <v>0</v>
      </c>
      <c r="AY52" s="183">
        <f>(AY80*'RR Summary'!$N$13)*-0.21</f>
        <v>0</v>
      </c>
      <c r="AZ52" s="183">
        <f>(AZ80*'RR Summary'!$N$13)*-0.21</f>
        <v>0</v>
      </c>
      <c r="BA52" s="183">
        <f>(BA80*'RR Summary'!$N$13)*-0.21</f>
        <v>0</v>
      </c>
      <c r="BB52" s="183">
        <f>(BB80*'RR Summary'!$N$13)*-0.21</f>
        <v>0</v>
      </c>
      <c r="BC52" s="183">
        <f>(BC80*'RR Summary'!$N$13)*-0.21</f>
        <v>0</v>
      </c>
      <c r="BD52" s="183">
        <f>(BD80*'RR Summary'!$N$13)*-0.21</f>
        <v>0</v>
      </c>
      <c r="BE52" s="183">
        <f>(BE80*'RR Summary'!$N$13)*-0.21</f>
        <v>-139.03141633425642</v>
      </c>
      <c r="BF52" s="183">
        <f>(BF80*'RR Summary'!$N$13)*-0.21</f>
        <v>0</v>
      </c>
      <c r="BG52" s="183"/>
      <c r="BH52" s="183"/>
      <c r="BI52" s="183"/>
      <c r="BJ52" s="183"/>
      <c r="BK52" s="183"/>
      <c r="BL52" s="312">
        <f t="shared" si="192"/>
        <v>-1082.8108000212942</v>
      </c>
      <c r="BM52" s="182"/>
      <c r="BN52" s="356">
        <f>(BN80*'RR Summary'!$N$13)*-0.21</f>
        <v>0</v>
      </c>
      <c r="BO52" s="356">
        <f>(BO80*'RR Summary'!$N$13)*-0.21</f>
        <v>0</v>
      </c>
      <c r="BP52" s="356">
        <f>(BP80*'RR Summary'!$N$13)*-0.21</f>
        <v>16.147824</v>
      </c>
      <c r="BQ52" s="356">
        <f>(BQ80*'RR Summary'!$N$13)*-0.21</f>
        <v>0</v>
      </c>
      <c r="BR52" s="183">
        <f>(BR80*'RR Summary'!$N$13)*-0.21</f>
        <v>0</v>
      </c>
      <c r="BS52" s="183">
        <f>(BS80*'RR Summary'!$N$13)*-0.21</f>
        <v>0</v>
      </c>
      <c r="BT52" s="183">
        <f>(BT80*'RR Summary'!$N$13)*-0.21</f>
        <v>0</v>
      </c>
      <c r="BU52" s="183">
        <f>(BU80*'RR Summary'!$N$13)*-0.21</f>
        <v>0</v>
      </c>
      <c r="BV52" s="183">
        <f>(BV80*'RR Summary'!$N$13)*-0.21</f>
        <v>-503.19523169999997</v>
      </c>
      <c r="BW52" s="183">
        <f>(BW80*'RR Summary'!$N$13)*-0.21</f>
        <v>0</v>
      </c>
      <c r="BX52" s="183">
        <f>(BX80*'RR Summary'!$N$13)*-0.21</f>
        <v>0</v>
      </c>
      <c r="BY52" s="183">
        <f>(BY80*'RR Summary'!$N$13)*-0.21</f>
        <v>0</v>
      </c>
      <c r="BZ52" s="183">
        <f>(BZ80*'RR Summary'!$N$13)*-0.21</f>
        <v>0</v>
      </c>
      <c r="CA52" s="183">
        <f>(CA80*'RR Summary'!$N$13)*-0.21</f>
        <v>0</v>
      </c>
      <c r="CB52" s="183"/>
      <c r="CC52" s="279">
        <f t="shared" si="197"/>
        <v>-1569.8582077212943</v>
      </c>
      <c r="CD52" s="183">
        <f>CC52-BL52</f>
        <v>-487.04740770000012</v>
      </c>
    </row>
    <row r="53" spans="1:82" s="178" customFormat="1">
      <c r="A53" s="176">
        <v>29</v>
      </c>
      <c r="B53" s="178" t="s">
        <v>201</v>
      </c>
      <c r="E53" s="178">
        <f>'ROO INPUT 1.00'!F54</f>
        <v>-6498</v>
      </c>
      <c r="F53" s="183">
        <v>0</v>
      </c>
      <c r="G53" s="183">
        <v>0</v>
      </c>
      <c r="H53" s="183">
        <v>0</v>
      </c>
      <c r="I53" s="183">
        <v>0</v>
      </c>
      <c r="J53" s="183">
        <v>0</v>
      </c>
      <c r="K53" s="183">
        <v>0</v>
      </c>
      <c r="L53" s="183">
        <v>0</v>
      </c>
      <c r="M53" s="183">
        <v>0</v>
      </c>
      <c r="N53" s="183">
        <v>0</v>
      </c>
      <c r="O53" s="183">
        <v>-209</v>
      </c>
      <c r="P53" s="183">
        <v>0</v>
      </c>
      <c r="Q53" s="183">
        <v>0</v>
      </c>
      <c r="R53" s="183">
        <v>0</v>
      </c>
      <c r="S53" s="183">
        <v>0</v>
      </c>
      <c r="T53" s="183">
        <v>19197</v>
      </c>
      <c r="U53" s="356">
        <v>0</v>
      </c>
      <c r="V53" s="356">
        <v>0</v>
      </c>
      <c r="W53" s="183">
        <v>0</v>
      </c>
      <c r="X53" s="183">
        <v>0</v>
      </c>
      <c r="Y53" s="183">
        <v>-8997</v>
      </c>
      <c r="Z53" s="356">
        <v>0</v>
      </c>
      <c r="AA53" s="356">
        <v>0</v>
      </c>
      <c r="AB53" s="356">
        <v>0</v>
      </c>
      <c r="AC53" s="356">
        <v>0</v>
      </c>
      <c r="AD53" s="397">
        <f>SUM(E53:AC53)</f>
        <v>3493</v>
      </c>
      <c r="AE53" s="183">
        <v>0</v>
      </c>
      <c r="AF53" s="183">
        <v>0</v>
      </c>
      <c r="AG53" s="183">
        <v>0</v>
      </c>
      <c r="AH53" s="183">
        <v>0</v>
      </c>
      <c r="AI53" s="183">
        <v>92</v>
      </c>
      <c r="AJ53" s="356">
        <v>0</v>
      </c>
      <c r="AK53" s="356">
        <v>0</v>
      </c>
      <c r="AL53" s="183">
        <v>0</v>
      </c>
      <c r="AM53" s="183">
        <v>0</v>
      </c>
      <c r="AN53" s="183">
        <v>0</v>
      </c>
      <c r="AO53" s="183">
        <v>0</v>
      </c>
      <c r="AP53" s="183">
        <v>0</v>
      </c>
      <c r="AQ53" s="183">
        <v>0</v>
      </c>
      <c r="AR53" s="183">
        <v>0</v>
      </c>
      <c r="AS53" s="183">
        <v>0</v>
      </c>
      <c r="AT53" s="183">
        <v>0</v>
      </c>
      <c r="AU53" s="183">
        <v>0</v>
      </c>
      <c r="AV53" s="183">
        <v>0</v>
      </c>
      <c r="AW53" s="183">
        <v>0</v>
      </c>
      <c r="AX53" s="183">
        <v>0</v>
      </c>
      <c r="AY53" s="183">
        <v>0</v>
      </c>
      <c r="AZ53" s="183">
        <v>0</v>
      </c>
      <c r="BA53" s="183">
        <v>0</v>
      </c>
      <c r="BB53" s="183">
        <v>0</v>
      </c>
      <c r="BC53" s="183">
        <v>0</v>
      </c>
      <c r="BD53" s="183">
        <v>0</v>
      </c>
      <c r="BE53" s="183">
        <v>0</v>
      </c>
      <c r="BF53" s="183"/>
      <c r="BG53" s="183"/>
      <c r="BH53" s="183"/>
      <c r="BI53" s="183"/>
      <c r="BJ53" s="183"/>
      <c r="BK53" s="183"/>
      <c r="BL53" s="312">
        <f t="shared" si="192"/>
        <v>3585</v>
      </c>
      <c r="BM53" s="182"/>
      <c r="BN53" s="356">
        <v>0</v>
      </c>
      <c r="BO53" s="356">
        <v>0</v>
      </c>
      <c r="BP53" s="356">
        <v>0</v>
      </c>
      <c r="BQ53" s="356">
        <v>0</v>
      </c>
      <c r="BR53" s="183">
        <v>0</v>
      </c>
      <c r="BS53" s="183">
        <v>0</v>
      </c>
      <c r="BT53" s="183">
        <v>0</v>
      </c>
      <c r="BU53" s="183">
        <v>0</v>
      </c>
      <c r="BV53" s="183">
        <v>0</v>
      </c>
      <c r="BW53" s="183">
        <v>0</v>
      </c>
      <c r="BX53" s="183">
        <v>767</v>
      </c>
      <c r="BY53" s="183">
        <v>0</v>
      </c>
      <c r="BZ53" s="183">
        <v>0</v>
      </c>
      <c r="CA53" s="183">
        <v>0</v>
      </c>
      <c r="CB53" s="183"/>
      <c r="CC53" s="279">
        <f t="shared" si="197"/>
        <v>4352</v>
      </c>
      <c r="CD53" s="183">
        <f>CC53-BL53</f>
        <v>767</v>
      </c>
    </row>
    <row r="54" spans="1:82" s="178" customFormat="1">
      <c r="A54" s="180">
        <v>30</v>
      </c>
      <c r="B54" s="178" t="s">
        <v>239</v>
      </c>
      <c r="E54" s="307">
        <f>'ROO INPUT 1.00'!F55</f>
        <v>-312</v>
      </c>
      <c r="F54" s="186">
        <v>0</v>
      </c>
      <c r="G54" s="186">
        <v>0</v>
      </c>
      <c r="H54" s="186">
        <v>0</v>
      </c>
      <c r="I54" s="186">
        <v>0</v>
      </c>
      <c r="J54" s="186">
        <v>0</v>
      </c>
      <c r="K54" s="186">
        <v>0</v>
      </c>
      <c r="L54" s="186">
        <v>0</v>
      </c>
      <c r="M54" s="186">
        <v>0</v>
      </c>
      <c r="N54" s="186">
        <v>0</v>
      </c>
      <c r="O54" s="186">
        <v>0</v>
      </c>
      <c r="P54" s="186">
        <v>0</v>
      </c>
      <c r="Q54" s="186">
        <v>0</v>
      </c>
      <c r="R54" s="186">
        <v>0</v>
      </c>
      <c r="S54" s="186">
        <v>0</v>
      </c>
      <c r="T54" s="186">
        <v>0</v>
      </c>
      <c r="U54" s="361">
        <v>0</v>
      </c>
      <c r="V54" s="361">
        <v>0</v>
      </c>
      <c r="W54" s="186">
        <v>0</v>
      </c>
      <c r="X54" s="186">
        <v>0</v>
      </c>
      <c r="Y54" s="186">
        <v>0</v>
      </c>
      <c r="Z54" s="361">
        <v>0</v>
      </c>
      <c r="AA54" s="361">
        <v>0</v>
      </c>
      <c r="AB54" s="361">
        <v>0</v>
      </c>
      <c r="AC54" s="361">
        <v>0</v>
      </c>
      <c r="AD54" s="399">
        <f>SUM(E54:AC54)</f>
        <v>-312</v>
      </c>
      <c r="AE54" s="186">
        <v>0</v>
      </c>
      <c r="AF54" s="186">
        <v>0</v>
      </c>
      <c r="AG54" s="186">
        <v>0</v>
      </c>
      <c r="AH54" s="186">
        <v>0</v>
      </c>
      <c r="AI54" s="186">
        <v>0</v>
      </c>
      <c r="AJ54" s="361">
        <v>0</v>
      </c>
      <c r="AK54" s="361">
        <v>0</v>
      </c>
      <c r="AL54" s="186">
        <v>0</v>
      </c>
      <c r="AM54" s="186">
        <v>0</v>
      </c>
      <c r="AN54" s="186">
        <v>0</v>
      </c>
      <c r="AO54" s="186">
        <v>0</v>
      </c>
      <c r="AP54" s="186">
        <v>0</v>
      </c>
      <c r="AQ54" s="186">
        <v>0</v>
      </c>
      <c r="AR54" s="186">
        <v>0</v>
      </c>
      <c r="AS54" s="186">
        <v>0</v>
      </c>
      <c r="AT54" s="186">
        <v>0</v>
      </c>
      <c r="AU54" s="186">
        <v>0</v>
      </c>
      <c r="AV54" s="186">
        <v>0</v>
      </c>
      <c r="AW54" s="186">
        <v>0</v>
      </c>
      <c r="AX54" s="186">
        <v>0</v>
      </c>
      <c r="AY54" s="186">
        <v>0</v>
      </c>
      <c r="AZ54" s="186">
        <v>0</v>
      </c>
      <c r="BA54" s="186">
        <v>0</v>
      </c>
      <c r="BB54" s="186">
        <v>0</v>
      </c>
      <c r="BC54" s="186">
        <v>0</v>
      </c>
      <c r="BD54" s="186">
        <v>0</v>
      </c>
      <c r="BE54" s="186">
        <v>0</v>
      </c>
      <c r="BF54" s="186">
        <v>0</v>
      </c>
      <c r="BG54" s="186"/>
      <c r="BH54" s="186"/>
      <c r="BI54" s="186"/>
      <c r="BJ54" s="186"/>
      <c r="BK54" s="186"/>
      <c r="BL54" s="314">
        <f t="shared" si="192"/>
        <v>-312</v>
      </c>
      <c r="BM54" s="182"/>
      <c r="BN54" s="361">
        <v>0</v>
      </c>
      <c r="BO54" s="361">
        <v>0</v>
      </c>
      <c r="BP54" s="361">
        <v>0</v>
      </c>
      <c r="BQ54" s="361">
        <v>0</v>
      </c>
      <c r="BR54" s="186">
        <v>0</v>
      </c>
      <c r="BS54" s="186">
        <v>0</v>
      </c>
      <c r="BT54" s="186">
        <v>0</v>
      </c>
      <c r="BU54" s="186">
        <v>0</v>
      </c>
      <c r="BV54" s="186">
        <v>0</v>
      </c>
      <c r="BW54" s="186">
        <v>0</v>
      </c>
      <c r="BX54" s="186">
        <v>0</v>
      </c>
      <c r="BY54" s="186">
        <v>0</v>
      </c>
      <c r="BZ54" s="186">
        <v>0</v>
      </c>
      <c r="CA54" s="186">
        <v>0</v>
      </c>
      <c r="CB54" s="186"/>
      <c r="CC54" s="281">
        <f t="shared" si="197"/>
        <v>-312</v>
      </c>
      <c r="CD54" s="430">
        <f>CC54-BL54</f>
        <v>0</v>
      </c>
    </row>
    <row r="55" spans="1:82" s="178" customFormat="1" ht="6" customHeight="1">
      <c r="A55" s="401"/>
      <c r="B55" s="400"/>
      <c r="E55" s="307"/>
      <c r="F55" s="186"/>
      <c r="G55" s="186"/>
      <c r="H55" s="186"/>
      <c r="I55" s="186"/>
      <c r="J55" s="186"/>
      <c r="K55" s="186"/>
      <c r="L55" s="186"/>
      <c r="M55" s="186"/>
      <c r="N55" s="186"/>
      <c r="O55" s="186"/>
      <c r="P55" s="186"/>
      <c r="Q55" s="186"/>
      <c r="R55" s="186"/>
      <c r="S55" s="186"/>
      <c r="T55" s="186"/>
      <c r="U55" s="361"/>
      <c r="V55" s="361"/>
      <c r="W55" s="186"/>
      <c r="X55" s="186"/>
      <c r="Y55" s="186"/>
      <c r="Z55" s="361"/>
      <c r="AA55" s="361"/>
      <c r="AB55" s="361"/>
      <c r="AC55" s="361"/>
      <c r="AD55" s="399"/>
      <c r="AE55" s="186"/>
      <c r="AF55" s="186"/>
      <c r="AG55" s="186"/>
      <c r="AH55" s="186"/>
      <c r="AI55" s="186"/>
      <c r="AJ55" s="361"/>
      <c r="AK55" s="361"/>
      <c r="AL55" s="186"/>
      <c r="AM55" s="186"/>
      <c r="AN55" s="186"/>
      <c r="AO55" s="186"/>
      <c r="AP55" s="186"/>
      <c r="AQ55" s="186"/>
      <c r="AR55" s="186"/>
      <c r="AS55" s="186"/>
      <c r="AT55" s="186"/>
      <c r="AU55" s="186"/>
      <c r="AV55" s="186"/>
      <c r="AW55" s="186"/>
      <c r="AX55" s="186"/>
      <c r="AY55" s="186"/>
      <c r="AZ55" s="186"/>
      <c r="BA55" s="186"/>
      <c r="BB55" s="186"/>
      <c r="BC55" s="186"/>
      <c r="BD55" s="186"/>
      <c r="BE55" s="186"/>
      <c r="BF55" s="186"/>
      <c r="BG55" s="186"/>
      <c r="BH55" s="186"/>
      <c r="BI55" s="186"/>
      <c r="BJ55" s="186"/>
      <c r="BK55" s="186"/>
      <c r="BL55" s="314"/>
      <c r="BM55" s="182"/>
      <c r="BN55" s="361"/>
      <c r="BO55" s="361"/>
      <c r="BP55" s="361"/>
      <c r="BQ55" s="361"/>
      <c r="BR55" s="186"/>
      <c r="BS55" s="186"/>
      <c r="BT55" s="186"/>
      <c r="BU55" s="186"/>
      <c r="BV55" s="186"/>
      <c r="BW55" s="186"/>
      <c r="BX55" s="186"/>
      <c r="BY55" s="186"/>
      <c r="BZ55" s="186"/>
      <c r="CA55" s="186"/>
      <c r="CB55" s="186"/>
      <c r="CC55" s="281"/>
      <c r="CD55" s="430"/>
    </row>
    <row r="56" spans="1:82" s="177" customFormat="1" ht="12.75" thickBot="1">
      <c r="A56" s="179">
        <v>31</v>
      </c>
      <c r="B56" s="177" t="s">
        <v>202</v>
      </c>
      <c r="E56" s="189">
        <f t="shared" ref="E56:AP56" si="198">E48-SUM(E51:E54)</f>
        <v>125206.70000000007</v>
      </c>
      <c r="F56" s="189">
        <f t="shared" si="198"/>
        <v>15.877974000000002</v>
      </c>
      <c r="G56" s="189">
        <f t="shared" si="198"/>
        <v>0</v>
      </c>
      <c r="H56" s="189">
        <f t="shared" si="198"/>
        <v>-17.480882999999999</v>
      </c>
      <c r="I56" s="189">
        <f t="shared" si="198"/>
        <v>-1683.4565659999998</v>
      </c>
      <c r="J56" s="189">
        <f t="shared" si="198"/>
        <v>50.56</v>
      </c>
      <c r="K56" s="189">
        <f t="shared" si="198"/>
        <v>-1072.82</v>
      </c>
      <c r="L56" s="189">
        <f t="shared" si="198"/>
        <v>-720.48</v>
      </c>
      <c r="M56" s="189">
        <f t="shared" si="198"/>
        <v>-658.86</v>
      </c>
      <c r="N56" s="189">
        <f t="shared" si="198"/>
        <v>248.85000000000002</v>
      </c>
      <c r="O56" s="189">
        <f t="shared" si="198"/>
        <v>209</v>
      </c>
      <c r="P56" s="189">
        <f t="shared" si="198"/>
        <v>26.07</v>
      </c>
      <c r="Q56" s="189">
        <f t="shared" si="198"/>
        <v>45.82</v>
      </c>
      <c r="R56" s="189">
        <f t="shared" si="198"/>
        <v>53.72</v>
      </c>
      <c r="S56" s="189">
        <f t="shared" si="198"/>
        <v>-1101.26</v>
      </c>
      <c r="T56" s="229">
        <f>T48-SUM(T51:T54)</f>
        <v>2.3699999999989814</v>
      </c>
      <c r="U56" s="362">
        <f t="shared" si="198"/>
        <v>1024.6300000000001</v>
      </c>
      <c r="V56" s="372">
        <f t="shared" si="198"/>
        <v>-624.62535000000003</v>
      </c>
      <c r="W56" s="229">
        <f t="shared" si="198"/>
        <v>-226</v>
      </c>
      <c r="X56" s="189">
        <f t="shared" si="198"/>
        <v>291.05805119999997</v>
      </c>
      <c r="Y56" s="229">
        <f t="shared" si="198"/>
        <v>-31140</v>
      </c>
      <c r="Z56" s="362">
        <f t="shared" si="198"/>
        <v>11.85</v>
      </c>
      <c r="AA56" s="372">
        <f t="shared" si="198"/>
        <v>-263.86</v>
      </c>
      <c r="AB56" s="362">
        <f t="shared" si="198"/>
        <v>46581.56</v>
      </c>
      <c r="AC56" s="362">
        <f t="shared" si="198"/>
        <v>0</v>
      </c>
      <c r="AD56" s="404">
        <f t="shared" si="198"/>
        <v>136259.22322620003</v>
      </c>
      <c r="AE56" s="229">
        <f t="shared" si="198"/>
        <v>-16488.88</v>
      </c>
      <c r="AF56" s="229">
        <f t="shared" si="198"/>
        <v>2563.5500000000002</v>
      </c>
      <c r="AG56" s="229">
        <f t="shared" si="198"/>
        <v>25155.97</v>
      </c>
      <c r="AH56" s="189">
        <f t="shared" si="198"/>
        <v>-4912.6149999999998</v>
      </c>
      <c r="AI56" s="189">
        <f t="shared" si="198"/>
        <v>-92</v>
      </c>
      <c r="AJ56" s="362">
        <f t="shared" si="198"/>
        <v>1792.755987</v>
      </c>
      <c r="AK56" s="362">
        <f t="shared" si="198"/>
        <v>-5209.8130000000001</v>
      </c>
      <c r="AL56" s="189">
        <f t="shared" si="198"/>
        <v>-47.429230000000004</v>
      </c>
      <c r="AM56" s="189">
        <f t="shared" si="198"/>
        <v>4288.5940000000001</v>
      </c>
      <c r="AN56" s="189">
        <f t="shared" ref="AN56" si="199">AN48-SUM(AN51:AN54)</f>
        <v>-919.32300000000009</v>
      </c>
      <c r="AO56" s="189">
        <f t="shared" si="198"/>
        <v>-206.98000000000002</v>
      </c>
      <c r="AP56" s="189">
        <f t="shared" si="198"/>
        <v>-300.99</v>
      </c>
      <c r="AQ56" s="189">
        <f t="shared" ref="AQ56:AU56" si="200">AQ48-SUM(AQ51:AQ54)</f>
        <v>146.15</v>
      </c>
      <c r="AR56" s="229">
        <f t="shared" si="200"/>
        <v>-4155.3999999999996</v>
      </c>
      <c r="AS56" s="189">
        <f t="shared" si="200"/>
        <v>-80.185000000000002</v>
      </c>
      <c r="AT56" s="229">
        <f t="shared" si="200"/>
        <v>-7012.0004999999992</v>
      </c>
      <c r="AU56" s="229">
        <f t="shared" si="200"/>
        <v>-2860.8231869129622</v>
      </c>
      <c r="AV56" s="229">
        <f t="shared" ref="AV56:AW56" si="201">AV48-SUM(AV51:AV54)</f>
        <v>592.73699999999997</v>
      </c>
      <c r="AW56" s="229">
        <f t="shared" si="201"/>
        <v>-3292.1299926000002</v>
      </c>
      <c r="AX56" s="229">
        <f t="shared" ref="AX56:BF56" si="202">AX48-SUM(AX51:AX55)</f>
        <v>-3616.4619999999995</v>
      </c>
      <c r="AY56" s="229">
        <f t="shared" ref="AY56:AZ56" si="203">AY48-SUM(AY51:AY55)</f>
        <v>-444.77</v>
      </c>
      <c r="AZ56" s="229">
        <f t="shared" si="203"/>
        <v>-374.38099999999997</v>
      </c>
      <c r="BA56" s="229">
        <f t="shared" ref="BA56:BD56" si="204">BA48-SUM(BA51:BA55)</f>
        <v>-104.28</v>
      </c>
      <c r="BB56" s="229">
        <f t="shared" si="204"/>
        <v>263.86</v>
      </c>
      <c r="BC56" s="229">
        <f t="shared" si="204"/>
        <v>-1705.6100000000001</v>
      </c>
      <c r="BD56" s="229">
        <f t="shared" si="204"/>
        <v>-3204.24</v>
      </c>
      <c r="BE56" s="229">
        <f t="shared" si="202"/>
        <v>-4014.7885836657433</v>
      </c>
      <c r="BF56" s="229">
        <f t="shared" si="202"/>
        <v>5766.0599000000002</v>
      </c>
      <c r="BG56" s="229"/>
      <c r="BH56" s="229"/>
      <c r="BI56" s="229"/>
      <c r="BJ56" s="229"/>
      <c r="BK56" s="229"/>
      <c r="BL56" s="315">
        <f>SUM(AD56:BK56)</f>
        <v>117785.79962002137</v>
      </c>
      <c r="BM56" s="182"/>
      <c r="BN56" s="229">
        <f t="shared" ref="BN56:CA56" si="205">BN48-SUM(BN51:BN55)</f>
        <v>-44781.35</v>
      </c>
      <c r="BO56" s="229">
        <f t="shared" si="205"/>
        <v>-0.2</v>
      </c>
      <c r="BP56" s="229">
        <f t="shared" si="205"/>
        <v>231.712176</v>
      </c>
      <c r="BQ56" s="229">
        <f t="shared" si="205"/>
        <v>-2087.1800000000003</v>
      </c>
      <c r="BR56" s="229">
        <f t="shared" si="205"/>
        <v>-366.32299999999998</v>
      </c>
      <c r="BS56" s="229">
        <f t="shared" si="205"/>
        <v>-590.13</v>
      </c>
      <c r="BT56" s="229">
        <f t="shared" ref="BT56:BW56" si="206">BT48-SUM(BT51:BT55)</f>
        <v>163.53</v>
      </c>
      <c r="BU56" s="229">
        <f t="shared" si="206"/>
        <v>-2804.8002000000001</v>
      </c>
      <c r="BV56" s="229">
        <f t="shared" si="206"/>
        <v>-2479.0547683</v>
      </c>
      <c r="BW56" s="229">
        <f t="shared" si="206"/>
        <v>3037.0230700000002</v>
      </c>
      <c r="BX56" s="229">
        <f t="shared" si="205"/>
        <v>-767</v>
      </c>
      <c r="BY56" s="229">
        <f t="shared" si="205"/>
        <v>-28.44</v>
      </c>
      <c r="BZ56" s="229">
        <f t="shared" si="205"/>
        <v>-1312.19</v>
      </c>
      <c r="CA56" s="229">
        <f t="shared" si="205"/>
        <v>-139.04</v>
      </c>
      <c r="CB56" s="229"/>
      <c r="CC56" s="282">
        <f t="shared" si="197"/>
        <v>65862.356897721358</v>
      </c>
      <c r="CD56" s="229">
        <f>CD48-SUM(CD51:CD55)</f>
        <v>-51923.442722299995</v>
      </c>
    </row>
    <row r="57" spans="1:82" ht="6" customHeight="1" thickTop="1">
      <c r="A57" s="179"/>
      <c r="AD57" s="397"/>
      <c r="BL57" s="312"/>
      <c r="CC57" s="279"/>
    </row>
    <row r="58" spans="1:82">
      <c r="A58" s="179"/>
      <c r="B58" s="167" t="s">
        <v>203</v>
      </c>
      <c r="AD58" s="397"/>
      <c r="BL58" s="312"/>
      <c r="CC58" s="279"/>
    </row>
    <row r="59" spans="1:82" ht="12.75" customHeight="1">
      <c r="B59" s="167" t="s">
        <v>204</v>
      </c>
      <c r="AD59" s="397"/>
      <c r="BL59" s="312"/>
      <c r="CC59" s="279"/>
    </row>
    <row r="60" spans="1:82" s="177" customFormat="1">
      <c r="A60" s="179">
        <v>32</v>
      </c>
      <c r="C60" s="177" t="s">
        <v>205</v>
      </c>
      <c r="E60" s="178">
        <f>'ROO INPUT 1.00'!F61</f>
        <v>244562</v>
      </c>
      <c r="F60" s="177">
        <v>0</v>
      </c>
      <c r="G60" s="177">
        <v>0</v>
      </c>
      <c r="H60" s="177">
        <v>0</v>
      </c>
      <c r="I60" s="177">
        <v>0</v>
      </c>
      <c r="J60" s="177">
        <v>0</v>
      </c>
      <c r="K60" s="177">
        <v>0</v>
      </c>
      <c r="L60" s="177">
        <v>0</v>
      </c>
      <c r="M60" s="177">
        <v>0</v>
      </c>
      <c r="N60" s="177">
        <v>0</v>
      </c>
      <c r="O60" s="177">
        <v>0</v>
      </c>
      <c r="P60" s="177">
        <v>0</v>
      </c>
      <c r="Q60" s="177">
        <v>0</v>
      </c>
      <c r="R60" s="177">
        <v>0</v>
      </c>
      <c r="S60" s="177">
        <v>0</v>
      </c>
      <c r="T60" s="177">
        <v>0</v>
      </c>
      <c r="U60" s="363">
        <v>0</v>
      </c>
      <c r="V60" s="363">
        <v>0</v>
      </c>
      <c r="W60" s="177">
        <v>0</v>
      </c>
      <c r="X60" s="177">
        <v>4214</v>
      </c>
      <c r="Y60" s="177">
        <v>0</v>
      </c>
      <c r="Z60" s="363">
        <v>0</v>
      </c>
      <c r="AA60" s="363">
        <v>0</v>
      </c>
      <c r="AB60" s="363">
        <v>0</v>
      </c>
      <c r="AC60" s="363">
        <v>0</v>
      </c>
      <c r="AD60" s="398">
        <f>SUM(E60:AC60)</f>
        <v>248776</v>
      </c>
      <c r="AE60" s="177">
        <v>0</v>
      </c>
      <c r="AF60" s="177">
        <v>0</v>
      </c>
      <c r="AG60" s="177">
        <v>0</v>
      </c>
      <c r="AH60" s="177">
        <v>0</v>
      </c>
      <c r="AI60" s="177">
        <v>0</v>
      </c>
      <c r="AJ60" s="363">
        <v>0</v>
      </c>
      <c r="AK60" s="363">
        <v>0</v>
      </c>
      <c r="AL60" s="177">
        <v>0</v>
      </c>
      <c r="AM60" s="177">
        <v>0</v>
      </c>
      <c r="AN60" s="177">
        <v>0</v>
      </c>
      <c r="AO60" s="177">
        <v>0</v>
      </c>
      <c r="AP60" s="177">
        <v>0</v>
      </c>
      <c r="AQ60" s="177">
        <v>0</v>
      </c>
      <c r="AR60" s="177">
        <v>0</v>
      </c>
      <c r="AS60" s="177">
        <v>0</v>
      </c>
      <c r="AT60" s="177">
        <v>0</v>
      </c>
      <c r="AU60" s="177">
        <v>-1617</v>
      </c>
      <c r="AV60" s="177">
        <v>0</v>
      </c>
      <c r="AW60" s="177">
        <v>-551</v>
      </c>
      <c r="AX60" s="177">
        <v>0</v>
      </c>
      <c r="AY60" s="177">
        <v>0</v>
      </c>
      <c r="AZ60" s="177">
        <v>0</v>
      </c>
      <c r="BA60" s="177">
        <v>0</v>
      </c>
      <c r="BB60" s="177">
        <v>0</v>
      </c>
      <c r="BC60" s="177">
        <v>0</v>
      </c>
      <c r="BD60" s="177">
        <v>0</v>
      </c>
      <c r="BE60" s="177">
        <v>2505</v>
      </c>
      <c r="BF60" s="177">
        <v>0</v>
      </c>
      <c r="BL60" s="313">
        <f t="shared" ref="BL60:BL65" si="207">SUM(AD60:BK60)</f>
        <v>249113</v>
      </c>
      <c r="BM60" s="318"/>
      <c r="BN60" s="363">
        <v>0</v>
      </c>
      <c r="BO60" s="363">
        <v>0</v>
      </c>
      <c r="BP60" s="363">
        <v>0</v>
      </c>
      <c r="BQ60" s="363">
        <v>0</v>
      </c>
      <c r="BR60" s="177">
        <v>0</v>
      </c>
      <c r="BS60" s="177">
        <v>0</v>
      </c>
      <c r="BT60" s="177">
        <v>0</v>
      </c>
      <c r="BU60" s="177">
        <v>0</v>
      </c>
      <c r="BV60" s="177">
        <v>-1270</v>
      </c>
      <c r="BW60" s="177">
        <v>0</v>
      </c>
      <c r="BX60" s="177">
        <v>0</v>
      </c>
      <c r="BY60" s="177">
        <v>0</v>
      </c>
      <c r="CA60" s="177">
        <v>0</v>
      </c>
      <c r="CC60" s="280">
        <f t="shared" ref="CC60:CC65" si="208">SUM(BL60:CB60)</f>
        <v>247843</v>
      </c>
      <c r="CD60" s="431">
        <f>CC60-BL60</f>
        <v>-1270</v>
      </c>
    </row>
    <row r="61" spans="1:82" s="178" customFormat="1">
      <c r="A61" s="179">
        <v>33</v>
      </c>
      <c r="C61" s="178" t="s">
        <v>206</v>
      </c>
      <c r="E61" s="178">
        <f>'ROO INPUT 1.00'!F62</f>
        <v>1009757</v>
      </c>
      <c r="F61" s="183">
        <v>0</v>
      </c>
      <c r="G61" s="183">
        <v>0</v>
      </c>
      <c r="H61" s="183">
        <v>0</v>
      </c>
      <c r="I61" s="183">
        <v>-213545</v>
      </c>
      <c r="J61" s="183">
        <v>0</v>
      </c>
      <c r="K61" s="183">
        <v>0</v>
      </c>
      <c r="L61" s="183">
        <v>0</v>
      </c>
      <c r="M61" s="183">
        <v>0</v>
      </c>
      <c r="N61" s="183">
        <v>0</v>
      </c>
      <c r="O61" s="183">
        <v>0</v>
      </c>
      <c r="P61" s="183">
        <v>0</v>
      </c>
      <c r="Q61" s="183">
        <v>0</v>
      </c>
      <c r="R61" s="183">
        <v>0</v>
      </c>
      <c r="S61" s="183">
        <v>0</v>
      </c>
      <c r="T61" s="183">
        <v>0</v>
      </c>
      <c r="U61" s="356">
        <v>0</v>
      </c>
      <c r="V61" s="356">
        <v>0</v>
      </c>
      <c r="W61" s="183">
        <v>0</v>
      </c>
      <c r="X61" s="354">
        <v>9188.7999999999993</v>
      </c>
      <c r="Y61" s="183">
        <v>0</v>
      </c>
      <c r="Z61" s="356">
        <v>0</v>
      </c>
      <c r="AA61" s="356">
        <v>0</v>
      </c>
      <c r="AB61" s="356">
        <v>0</v>
      </c>
      <c r="AC61" s="356">
        <v>0</v>
      </c>
      <c r="AD61" s="405">
        <f>SUM(E61:AC61)</f>
        <v>805400.8</v>
      </c>
      <c r="AE61" s="183">
        <v>0</v>
      </c>
      <c r="AF61" s="183">
        <v>0</v>
      </c>
      <c r="AG61" s="183">
        <v>0</v>
      </c>
      <c r="AH61" s="183">
        <v>0</v>
      </c>
      <c r="AI61" s="183">
        <v>0</v>
      </c>
      <c r="AJ61" s="356">
        <v>0</v>
      </c>
      <c r="AK61" s="356">
        <v>0</v>
      </c>
      <c r="AL61" s="183">
        <v>0</v>
      </c>
      <c r="AM61" s="183">
        <v>0</v>
      </c>
      <c r="AN61" s="183">
        <v>0</v>
      </c>
      <c r="AO61" s="183">
        <v>0</v>
      </c>
      <c r="AP61" s="183">
        <v>0</v>
      </c>
      <c r="AQ61" s="183">
        <v>0</v>
      </c>
      <c r="AR61" s="183">
        <v>0</v>
      </c>
      <c r="AS61" s="183">
        <v>0</v>
      </c>
      <c r="AT61" s="183">
        <v>0</v>
      </c>
      <c r="AU61" s="183">
        <v>14402</v>
      </c>
      <c r="AV61" s="183">
        <v>0</v>
      </c>
      <c r="AW61" s="183">
        <v>17026</v>
      </c>
      <c r="AX61" s="183">
        <v>0</v>
      </c>
      <c r="AY61" s="183">
        <v>0</v>
      </c>
      <c r="AZ61" s="183">
        <v>0</v>
      </c>
      <c r="BA61" s="183">
        <v>0</v>
      </c>
      <c r="BB61" s="183">
        <v>0</v>
      </c>
      <c r="BC61" s="183">
        <v>0</v>
      </c>
      <c r="BD61" s="183">
        <v>0</v>
      </c>
      <c r="BE61" s="183">
        <v>9222</v>
      </c>
      <c r="BF61" s="183">
        <v>0</v>
      </c>
      <c r="BG61" s="183"/>
      <c r="BH61" s="183"/>
      <c r="BI61" s="183"/>
      <c r="BJ61" s="183"/>
      <c r="BK61" s="183"/>
      <c r="BL61" s="312">
        <f t="shared" si="207"/>
        <v>846050.8</v>
      </c>
      <c r="BM61" s="182"/>
      <c r="BN61" s="356">
        <v>0</v>
      </c>
      <c r="BO61" s="356">
        <v>0</v>
      </c>
      <c r="BP61" s="356">
        <v>0</v>
      </c>
      <c r="BQ61" s="356">
        <v>0</v>
      </c>
      <c r="BR61" s="183">
        <v>0</v>
      </c>
      <c r="BS61" s="183">
        <v>0</v>
      </c>
      <c r="BT61" s="183">
        <v>0</v>
      </c>
      <c r="BU61" s="183">
        <v>0</v>
      </c>
      <c r="BV61" s="183">
        <v>38022</v>
      </c>
      <c r="BW61" s="183">
        <v>0</v>
      </c>
      <c r="BX61" s="183">
        <v>0</v>
      </c>
      <c r="BY61" s="183">
        <v>0</v>
      </c>
      <c r="BZ61" s="183">
        <v>0</v>
      </c>
      <c r="CA61" s="183">
        <v>0</v>
      </c>
      <c r="CB61" s="183"/>
      <c r="CC61" s="279">
        <f t="shared" si="208"/>
        <v>884072.8</v>
      </c>
      <c r="CD61" s="431">
        <f>CC61-BL61</f>
        <v>38022</v>
      </c>
    </row>
    <row r="62" spans="1:82" s="178" customFormat="1" ht="12.75" customHeight="1">
      <c r="A62" s="179">
        <v>34</v>
      </c>
      <c r="C62" s="178" t="s">
        <v>207</v>
      </c>
      <c r="E62" s="178">
        <f>'ROO INPUT 1.00'!F63</f>
        <v>639906.4</v>
      </c>
      <c r="F62" s="183">
        <v>0</v>
      </c>
      <c r="G62" s="183">
        <v>0</v>
      </c>
      <c r="H62" s="183">
        <v>0</v>
      </c>
      <c r="I62" s="183">
        <v>0</v>
      </c>
      <c r="J62" s="183">
        <v>0</v>
      </c>
      <c r="K62" s="183">
        <v>0</v>
      </c>
      <c r="L62" s="183">
        <v>0</v>
      </c>
      <c r="M62" s="183">
        <v>0</v>
      </c>
      <c r="N62" s="183">
        <v>0</v>
      </c>
      <c r="O62" s="183">
        <v>0</v>
      </c>
      <c r="P62" s="183">
        <v>0</v>
      </c>
      <c r="Q62" s="183">
        <v>0</v>
      </c>
      <c r="R62" s="183">
        <v>0</v>
      </c>
      <c r="S62" s="183">
        <v>0</v>
      </c>
      <c r="T62" s="183">
        <v>0</v>
      </c>
      <c r="U62" s="356">
        <v>0</v>
      </c>
      <c r="V62" s="356">
        <v>0</v>
      </c>
      <c r="W62" s="183">
        <v>0</v>
      </c>
      <c r="X62" s="354">
        <v>21171.7</v>
      </c>
      <c r="Y62" s="183">
        <v>0</v>
      </c>
      <c r="Z62" s="356">
        <v>0</v>
      </c>
      <c r="AA62" s="356">
        <v>0</v>
      </c>
      <c r="AB62" s="356">
        <v>0</v>
      </c>
      <c r="AC62" s="356">
        <v>0</v>
      </c>
      <c r="AD62" s="405">
        <f>SUM(E62:AC62)</f>
        <v>661078.1</v>
      </c>
      <c r="AE62" s="183">
        <v>0</v>
      </c>
      <c r="AF62" s="183">
        <v>0</v>
      </c>
      <c r="AG62" s="183">
        <v>0</v>
      </c>
      <c r="AH62" s="183">
        <v>0</v>
      </c>
      <c r="AI62" s="183">
        <v>0</v>
      </c>
      <c r="AJ62" s="356">
        <v>0</v>
      </c>
      <c r="AK62" s="356">
        <v>0</v>
      </c>
      <c r="AL62" s="183">
        <v>0</v>
      </c>
      <c r="AM62" s="183">
        <v>0</v>
      </c>
      <c r="AN62" s="183">
        <v>0</v>
      </c>
      <c r="AO62" s="183">
        <v>0</v>
      </c>
      <c r="AP62" s="183">
        <v>0</v>
      </c>
      <c r="AQ62" s="183">
        <v>0</v>
      </c>
      <c r="AR62" s="183">
        <v>0</v>
      </c>
      <c r="AS62" s="183">
        <v>0</v>
      </c>
      <c r="AT62" s="183">
        <v>0</v>
      </c>
      <c r="AU62" s="183">
        <v>16202</v>
      </c>
      <c r="AV62" s="183">
        <v>0</v>
      </c>
      <c r="AW62" s="183">
        <v>27515</v>
      </c>
      <c r="AX62" s="183">
        <v>0</v>
      </c>
      <c r="AY62" s="183">
        <v>0</v>
      </c>
      <c r="AZ62" s="183">
        <v>0</v>
      </c>
      <c r="BA62" s="183">
        <v>0</v>
      </c>
      <c r="BB62" s="183">
        <v>0</v>
      </c>
      <c r="BC62" s="183">
        <v>0</v>
      </c>
      <c r="BD62" s="183">
        <v>0</v>
      </c>
      <c r="BE62" s="183">
        <v>11346</v>
      </c>
      <c r="BF62" s="183">
        <v>0</v>
      </c>
      <c r="BG62" s="183"/>
      <c r="BH62" s="183"/>
      <c r="BI62" s="183"/>
      <c r="BJ62" s="183"/>
      <c r="BK62" s="183"/>
      <c r="BL62" s="312">
        <f t="shared" si="207"/>
        <v>716141.1</v>
      </c>
      <c r="BM62" s="182"/>
      <c r="BN62" s="356">
        <v>0</v>
      </c>
      <c r="BO62" s="356">
        <v>0</v>
      </c>
      <c r="BP62" s="356">
        <v>0</v>
      </c>
      <c r="BQ62" s="356">
        <v>0</v>
      </c>
      <c r="BR62" s="183">
        <v>0</v>
      </c>
      <c r="BS62" s="183">
        <v>0</v>
      </c>
      <c r="BT62" s="183">
        <v>0</v>
      </c>
      <c r="BU62" s="183">
        <v>0</v>
      </c>
      <c r="BV62" s="183">
        <v>24480</v>
      </c>
      <c r="BW62" s="183">
        <v>0</v>
      </c>
      <c r="BX62" s="183">
        <v>0</v>
      </c>
      <c r="BY62" s="183">
        <v>0</v>
      </c>
      <c r="BZ62" s="183">
        <v>0</v>
      </c>
      <c r="CA62" s="183">
        <v>0</v>
      </c>
      <c r="CB62" s="183"/>
      <c r="CC62" s="279">
        <f t="shared" si="208"/>
        <v>740621.1</v>
      </c>
      <c r="CD62" s="431">
        <f>CC62-BL62</f>
        <v>24480</v>
      </c>
    </row>
    <row r="63" spans="1:82" s="178" customFormat="1" ht="12" customHeight="1">
      <c r="A63" s="179">
        <v>35</v>
      </c>
      <c r="C63" s="178" t="s">
        <v>191</v>
      </c>
      <c r="E63" s="178">
        <f>'ROO INPUT 1.00'!F64</f>
        <v>1486384</v>
      </c>
      <c r="F63" s="183">
        <v>0</v>
      </c>
      <c r="G63" s="183">
        <v>0</v>
      </c>
      <c r="H63" s="183">
        <v>0</v>
      </c>
      <c r="I63" s="183">
        <v>0</v>
      </c>
      <c r="J63" s="183">
        <v>0</v>
      </c>
      <c r="K63" s="183">
        <v>0</v>
      </c>
      <c r="L63" s="183">
        <v>0</v>
      </c>
      <c r="M63" s="183">
        <v>0</v>
      </c>
      <c r="N63" s="183">
        <v>0</v>
      </c>
      <c r="O63" s="183">
        <v>0</v>
      </c>
      <c r="P63" s="183">
        <v>0</v>
      </c>
      <c r="Q63" s="183">
        <v>0</v>
      </c>
      <c r="R63" s="183">
        <v>0</v>
      </c>
      <c r="S63" s="183">
        <v>0</v>
      </c>
      <c r="T63" s="183">
        <v>0</v>
      </c>
      <c r="U63" s="356">
        <v>0</v>
      </c>
      <c r="V63" s="356">
        <v>0</v>
      </c>
      <c r="W63" s="183">
        <v>0</v>
      </c>
      <c r="X63" s="354">
        <v>61740.6</v>
      </c>
      <c r="Y63" s="183">
        <v>0</v>
      </c>
      <c r="Z63" s="356">
        <v>0</v>
      </c>
      <c r="AA63" s="356">
        <v>0</v>
      </c>
      <c r="AB63" s="356">
        <v>0</v>
      </c>
      <c r="AC63" s="356">
        <v>0</v>
      </c>
      <c r="AD63" s="405">
        <f>SUM(E63:AC63)</f>
        <v>1548124.6</v>
      </c>
      <c r="AE63" s="183">
        <v>0</v>
      </c>
      <c r="AF63" s="183">
        <v>0</v>
      </c>
      <c r="AG63" s="183">
        <v>0</v>
      </c>
      <c r="AH63" s="183">
        <v>0</v>
      </c>
      <c r="AI63" s="183">
        <v>0</v>
      </c>
      <c r="AJ63" s="356">
        <v>0</v>
      </c>
      <c r="AK63" s="356">
        <v>0</v>
      </c>
      <c r="AL63" s="183">
        <v>0</v>
      </c>
      <c r="AM63" s="183">
        <v>0</v>
      </c>
      <c r="AN63" s="183">
        <v>0</v>
      </c>
      <c r="AO63" s="183">
        <v>0</v>
      </c>
      <c r="AP63" s="183">
        <v>0</v>
      </c>
      <c r="AQ63" s="183">
        <v>0</v>
      </c>
      <c r="AR63" s="183">
        <v>0</v>
      </c>
      <c r="AS63" s="183">
        <v>0</v>
      </c>
      <c r="AT63" s="183">
        <v>0</v>
      </c>
      <c r="AU63" s="183">
        <v>70230</v>
      </c>
      <c r="AV63" s="183">
        <v>0</v>
      </c>
      <c r="AW63" s="183">
        <v>99445</v>
      </c>
      <c r="AX63" s="183">
        <v>0</v>
      </c>
      <c r="AY63" s="183">
        <v>0</v>
      </c>
      <c r="AZ63" s="183">
        <v>0</v>
      </c>
      <c r="BA63" s="183">
        <v>0</v>
      </c>
      <c r="BB63" s="183">
        <v>0</v>
      </c>
      <c r="BC63" s="183">
        <v>0</v>
      </c>
      <c r="BD63" s="183">
        <v>0</v>
      </c>
      <c r="BE63" s="183">
        <v>45745</v>
      </c>
      <c r="BF63" s="183">
        <v>0</v>
      </c>
      <c r="BG63" s="183"/>
      <c r="BH63" s="183"/>
      <c r="BI63" s="183"/>
      <c r="BJ63" s="183"/>
      <c r="BK63" s="183"/>
      <c r="BL63" s="312">
        <f t="shared" si="207"/>
        <v>1763544.6</v>
      </c>
      <c r="BM63" s="182"/>
      <c r="BN63" s="356">
        <v>0</v>
      </c>
      <c r="BO63" s="356">
        <v>0</v>
      </c>
      <c r="BP63" s="356">
        <v>0</v>
      </c>
      <c r="BQ63" s="356">
        <v>0</v>
      </c>
      <c r="BR63" s="183">
        <v>0</v>
      </c>
      <c r="BS63" s="183">
        <v>0</v>
      </c>
      <c r="BT63" s="183">
        <v>0</v>
      </c>
      <c r="BU63" s="183">
        <v>0</v>
      </c>
      <c r="BV63" s="183">
        <v>98465</v>
      </c>
      <c r="BW63" s="183">
        <v>0</v>
      </c>
      <c r="BX63" s="183">
        <v>0</v>
      </c>
      <c r="BY63" s="183">
        <v>0</v>
      </c>
      <c r="BZ63" s="183">
        <v>0</v>
      </c>
      <c r="CA63" s="183">
        <v>0</v>
      </c>
      <c r="CB63" s="183"/>
      <c r="CC63" s="279">
        <f t="shared" si="208"/>
        <v>1862009.6</v>
      </c>
      <c r="CD63" s="431">
        <f>CC63-BL63</f>
        <v>98465</v>
      </c>
    </row>
    <row r="64" spans="1:82" s="178" customFormat="1" ht="12.75" customHeight="1">
      <c r="A64" s="179">
        <v>36</v>
      </c>
      <c r="C64" s="178" t="s">
        <v>208</v>
      </c>
      <c r="E64" s="307">
        <f>'ROO INPUT 1.00'!F65</f>
        <v>310839.3</v>
      </c>
      <c r="F64" s="186">
        <v>0</v>
      </c>
      <c r="G64" s="186">
        <v>0</v>
      </c>
      <c r="H64" s="186">
        <v>0</v>
      </c>
      <c r="I64" s="186">
        <v>0</v>
      </c>
      <c r="J64" s="186">
        <v>0</v>
      </c>
      <c r="K64" s="186">
        <v>0</v>
      </c>
      <c r="L64" s="186">
        <v>0</v>
      </c>
      <c r="M64" s="186">
        <v>0</v>
      </c>
      <c r="N64" s="186">
        <v>0</v>
      </c>
      <c r="O64" s="186">
        <v>0</v>
      </c>
      <c r="P64" s="186">
        <v>0</v>
      </c>
      <c r="Q64" s="186">
        <v>0</v>
      </c>
      <c r="R64" s="186">
        <v>0</v>
      </c>
      <c r="S64" s="186">
        <v>0</v>
      </c>
      <c r="T64" s="186">
        <v>0</v>
      </c>
      <c r="U64" s="361">
        <v>0</v>
      </c>
      <c r="V64" s="361">
        <v>0</v>
      </c>
      <c r="W64" s="186">
        <v>0</v>
      </c>
      <c r="X64" s="355">
        <v>4660</v>
      </c>
      <c r="Y64" s="186">
        <v>0</v>
      </c>
      <c r="Z64" s="361">
        <v>0</v>
      </c>
      <c r="AA64" s="361">
        <v>0</v>
      </c>
      <c r="AB64" s="361">
        <v>0</v>
      </c>
      <c r="AC64" s="361">
        <v>0</v>
      </c>
      <c r="AD64" s="406">
        <f>SUM(E64:AC64)</f>
        <v>315499.3</v>
      </c>
      <c r="AE64" s="186">
        <v>0</v>
      </c>
      <c r="AF64" s="186">
        <v>0</v>
      </c>
      <c r="AG64" s="186">
        <v>0</v>
      </c>
      <c r="AH64" s="186">
        <v>0</v>
      </c>
      <c r="AI64" s="186">
        <v>0</v>
      </c>
      <c r="AJ64" s="361">
        <v>0</v>
      </c>
      <c r="AK64" s="361">
        <v>0</v>
      </c>
      <c r="AL64" s="186">
        <v>0</v>
      </c>
      <c r="AM64" s="186">
        <v>0</v>
      </c>
      <c r="AN64" s="186">
        <v>0</v>
      </c>
      <c r="AO64" s="186">
        <v>0</v>
      </c>
      <c r="AP64" s="186">
        <v>0</v>
      </c>
      <c r="AQ64" s="186">
        <v>0</v>
      </c>
      <c r="AR64" s="186">
        <v>0</v>
      </c>
      <c r="AS64" s="186">
        <v>0</v>
      </c>
      <c r="AT64" s="186">
        <v>0</v>
      </c>
      <c r="AU64" s="186">
        <v>11570</v>
      </c>
      <c r="AV64" s="186">
        <v>0</v>
      </c>
      <c r="AW64" s="186">
        <v>10103</v>
      </c>
      <c r="AX64" s="186">
        <v>0</v>
      </c>
      <c r="AY64" s="186">
        <v>0</v>
      </c>
      <c r="AZ64" s="186">
        <v>0</v>
      </c>
      <c r="BA64" s="186">
        <v>0</v>
      </c>
      <c r="BB64" s="186">
        <v>0</v>
      </c>
      <c r="BC64" s="186">
        <v>0</v>
      </c>
      <c r="BD64" s="186">
        <v>0</v>
      </c>
      <c r="BE64" s="186">
        <v>6982</v>
      </c>
      <c r="BF64" s="186">
        <v>0</v>
      </c>
      <c r="BG64" s="186"/>
      <c r="BH64" s="186"/>
      <c r="BI64" s="186"/>
      <c r="BJ64" s="186"/>
      <c r="BK64" s="186"/>
      <c r="BL64" s="314">
        <f t="shared" si="207"/>
        <v>344154.3</v>
      </c>
      <c r="BM64" s="182"/>
      <c r="BN64" s="361">
        <v>0</v>
      </c>
      <c r="BO64" s="361">
        <v>0</v>
      </c>
      <c r="BP64" s="361">
        <v>0</v>
      </c>
      <c r="BQ64" s="361">
        <v>0</v>
      </c>
      <c r="BR64" s="186">
        <v>0</v>
      </c>
      <c r="BS64" s="186">
        <v>0</v>
      </c>
      <c r="BT64" s="186">
        <v>0</v>
      </c>
      <c r="BU64" s="186">
        <v>0</v>
      </c>
      <c r="BV64" s="186">
        <v>13086</v>
      </c>
      <c r="BW64" s="186">
        <v>0</v>
      </c>
      <c r="BX64" s="186">
        <v>0</v>
      </c>
      <c r="BY64" s="186">
        <v>0</v>
      </c>
      <c r="BZ64" s="186">
        <v>0</v>
      </c>
      <c r="CA64" s="186">
        <v>0</v>
      </c>
      <c r="CB64" s="186"/>
      <c r="CC64" s="281">
        <f t="shared" si="208"/>
        <v>357240.3</v>
      </c>
      <c r="CD64" s="430">
        <f>CC64-BL64</f>
        <v>13086</v>
      </c>
    </row>
    <row r="65" spans="1:82" s="178" customFormat="1" ht="12" customHeight="1">
      <c r="A65" s="179">
        <v>37</v>
      </c>
      <c r="B65" s="178" t="s">
        <v>209</v>
      </c>
      <c r="E65" s="183">
        <f>SUM(E60:E64)</f>
        <v>3691448.6999999997</v>
      </c>
      <c r="F65" s="183">
        <f t="shared" ref="F65:AO65" si="209">SUM(F60:F64)</f>
        <v>0</v>
      </c>
      <c r="G65" s="183">
        <f t="shared" si="209"/>
        <v>0</v>
      </c>
      <c r="H65" s="183">
        <f t="shared" si="209"/>
        <v>0</v>
      </c>
      <c r="I65" s="183">
        <f t="shared" ref="I65" si="210">SUM(I60:I64)</f>
        <v>-213545</v>
      </c>
      <c r="J65" s="183">
        <f t="shared" si="209"/>
        <v>0</v>
      </c>
      <c r="K65" s="183">
        <f t="shared" ref="K65" si="211">SUM(K60:K64)</f>
        <v>0</v>
      </c>
      <c r="L65" s="183">
        <f t="shared" si="209"/>
        <v>0</v>
      </c>
      <c r="M65" s="183">
        <f t="shared" si="209"/>
        <v>0</v>
      </c>
      <c r="N65" s="183">
        <f t="shared" si="209"/>
        <v>0</v>
      </c>
      <c r="O65" s="183">
        <f t="shared" si="209"/>
        <v>0</v>
      </c>
      <c r="P65" s="183">
        <f t="shared" si="209"/>
        <v>0</v>
      </c>
      <c r="Q65" s="183">
        <f t="shared" si="209"/>
        <v>0</v>
      </c>
      <c r="R65" s="183">
        <f t="shared" si="209"/>
        <v>0</v>
      </c>
      <c r="S65" s="183">
        <f t="shared" si="209"/>
        <v>0</v>
      </c>
      <c r="T65" s="183">
        <f t="shared" ref="T65" si="212">SUM(T60:T64)</f>
        <v>0</v>
      </c>
      <c r="U65" s="356">
        <f>SUM(U60:U64)</f>
        <v>0</v>
      </c>
      <c r="V65" s="356">
        <f t="shared" ref="V65" si="213">SUM(V60:V64)</f>
        <v>0</v>
      </c>
      <c r="W65" s="183">
        <f>SUM(W60:W64)</f>
        <v>0</v>
      </c>
      <c r="X65" s="183">
        <f>SUM(X60:X64)</f>
        <v>100975.1</v>
      </c>
      <c r="Y65" s="183">
        <f>SUM(Y60:Y64)</f>
        <v>0</v>
      </c>
      <c r="Z65" s="356">
        <f>SUM(Z60:Z64)</f>
        <v>0</v>
      </c>
      <c r="AA65" s="356">
        <f t="shared" ref="AA65" si="214">SUM(AA60:AA64)</f>
        <v>0</v>
      </c>
      <c r="AB65" s="356">
        <f t="shared" ref="AB65" si="215">SUM(AB60:AB64)</f>
        <v>0</v>
      </c>
      <c r="AC65" s="356">
        <f>SUM(AC60:AC64)</f>
        <v>0</v>
      </c>
      <c r="AD65" s="405">
        <f t="shared" si="209"/>
        <v>3578878.8</v>
      </c>
      <c r="AE65" s="183">
        <f>SUM(AE60:AE64)</f>
        <v>0</v>
      </c>
      <c r="AF65" s="183">
        <f t="shared" ref="AF65" si="216">SUM(AF60:AF64)</f>
        <v>0</v>
      </c>
      <c r="AG65" s="183">
        <f t="shared" ref="AG65" si="217">SUM(AG60:AG64)</f>
        <v>0</v>
      </c>
      <c r="AH65" s="183">
        <f t="shared" ref="AH65:AJ65" si="218">SUM(AH60:AH64)</f>
        <v>0</v>
      </c>
      <c r="AI65" s="183">
        <f t="shared" si="218"/>
        <v>0</v>
      </c>
      <c r="AJ65" s="356">
        <f t="shared" si="218"/>
        <v>0</v>
      </c>
      <c r="AK65" s="356">
        <f t="shared" ref="AK65:AM65" si="219">SUM(AK60:AK64)</f>
        <v>0</v>
      </c>
      <c r="AL65" s="183">
        <f t="shared" si="219"/>
        <v>0</v>
      </c>
      <c r="AM65" s="183">
        <f t="shared" si="219"/>
        <v>0</v>
      </c>
      <c r="AN65" s="183">
        <f t="shared" ref="AN65" si="220">SUM(AN60:AN64)</f>
        <v>0</v>
      </c>
      <c r="AO65" s="183">
        <f t="shared" si="209"/>
        <v>0</v>
      </c>
      <c r="AP65" s="183">
        <f>SUM(AP60:AP64)</f>
        <v>0</v>
      </c>
      <c r="AQ65" s="183">
        <f>SUM(AQ60:AQ64)</f>
        <v>0</v>
      </c>
      <c r="AR65" s="183">
        <f>SUM(AR60:AR64)</f>
        <v>0</v>
      </c>
      <c r="AS65" s="183">
        <f t="shared" ref="AS65" si="221">SUM(AS60:AS64)</f>
        <v>0</v>
      </c>
      <c r="AT65" s="183">
        <f t="shared" ref="AT65" si="222">SUM(AT60:AT64)</f>
        <v>0</v>
      </c>
      <c r="AU65" s="183">
        <f>SUM(AU60:AU64)</f>
        <v>110787</v>
      </c>
      <c r="AV65" s="183">
        <f t="shared" ref="AV65:AX65" si="223">SUM(AV60:AV64)</f>
        <v>0</v>
      </c>
      <c r="AW65" s="183">
        <f t="shared" si="223"/>
        <v>153538</v>
      </c>
      <c r="AX65" s="183">
        <f t="shared" si="223"/>
        <v>0</v>
      </c>
      <c r="AY65" s="183">
        <f t="shared" ref="AY65:AZ65" si="224">SUM(AY60:AY64)</f>
        <v>0</v>
      </c>
      <c r="AZ65" s="183">
        <f t="shared" si="224"/>
        <v>0</v>
      </c>
      <c r="BA65" s="183">
        <f t="shared" ref="BA65:BD65" si="225">SUM(BA60:BA64)</f>
        <v>0</v>
      </c>
      <c r="BB65" s="183">
        <f t="shared" si="225"/>
        <v>0</v>
      </c>
      <c r="BC65" s="183">
        <f t="shared" si="225"/>
        <v>0</v>
      </c>
      <c r="BD65" s="183">
        <f t="shared" si="225"/>
        <v>0</v>
      </c>
      <c r="BE65" s="183">
        <f>SUM(BE60:BE64)</f>
        <v>75800</v>
      </c>
      <c r="BF65" s="183">
        <f>SUM(BF60:BF64)</f>
        <v>0</v>
      </c>
      <c r="BG65" s="183"/>
      <c r="BH65" s="183"/>
      <c r="BI65" s="183"/>
      <c r="BJ65" s="183"/>
      <c r="BK65" s="183"/>
      <c r="BL65" s="312">
        <f t="shared" si="207"/>
        <v>3919003.8</v>
      </c>
      <c r="BM65" s="182"/>
      <c r="BN65" s="356">
        <f t="shared" ref="BN65" si="226">SUM(BN60:BN64)</f>
        <v>0</v>
      </c>
      <c r="BO65" s="356">
        <f t="shared" ref="BO65:BP65" si="227">SUM(BO60:BO64)</f>
        <v>0</v>
      </c>
      <c r="BP65" s="356">
        <f t="shared" si="227"/>
        <v>0</v>
      </c>
      <c r="BQ65" s="356">
        <f>SUM(BQ60:BQ64)</f>
        <v>0</v>
      </c>
      <c r="BR65" s="183">
        <f t="shared" ref="BR65" si="228">SUM(BR60:BR64)</f>
        <v>0</v>
      </c>
      <c r="BS65" s="183">
        <f t="shared" ref="BS65" si="229">SUM(BS60:BS64)</f>
        <v>0</v>
      </c>
      <c r="BT65" s="183">
        <f>SUM(BT60:BT64)</f>
        <v>0</v>
      </c>
      <c r="BU65" s="183">
        <f>SUM(BU60:BU64)</f>
        <v>0</v>
      </c>
      <c r="BV65" s="183">
        <f>SUM(BV60:BV64)</f>
        <v>172783</v>
      </c>
      <c r="BW65" s="183">
        <f>SUM(BW60:BW64)</f>
        <v>0</v>
      </c>
      <c r="BX65" s="183">
        <f>SUM(BX60:BX64)</f>
        <v>0</v>
      </c>
      <c r="BY65" s="183">
        <f t="shared" ref="BY65" si="230">SUM(BY60:BY64)</f>
        <v>0</v>
      </c>
      <c r="BZ65" s="183">
        <f>SUM(BZ60:BZ64)</f>
        <v>0</v>
      </c>
      <c r="CA65" s="183">
        <f>SUM(CA60:CA64)</f>
        <v>0</v>
      </c>
      <c r="CB65" s="183"/>
      <c r="CC65" s="279">
        <f t="shared" si="208"/>
        <v>4091786.8</v>
      </c>
      <c r="CD65" s="183">
        <f t="shared" ref="CD65" si="231">SUM(CD60:CD64)</f>
        <v>172783</v>
      </c>
    </row>
    <row r="66" spans="1:82" s="178" customFormat="1" ht="14.25" customHeight="1">
      <c r="A66" s="179"/>
      <c r="B66" s="178" t="s">
        <v>520</v>
      </c>
      <c r="E66" s="183"/>
      <c r="F66" s="183"/>
      <c r="G66" s="183"/>
      <c r="H66" s="183"/>
      <c r="I66" s="183"/>
      <c r="J66" s="183"/>
      <c r="K66" s="183"/>
      <c r="L66" s="183"/>
      <c r="M66" s="183"/>
      <c r="N66" s="183"/>
      <c r="O66" s="183"/>
      <c r="P66" s="183"/>
      <c r="Q66" s="183"/>
      <c r="R66" s="183"/>
      <c r="S66" s="183"/>
      <c r="T66" s="183"/>
      <c r="U66" s="356"/>
      <c r="V66" s="356"/>
      <c r="W66" s="183"/>
      <c r="X66" s="183"/>
      <c r="Y66" s="183"/>
      <c r="Z66" s="356"/>
      <c r="AA66" s="356"/>
      <c r="AB66" s="356"/>
      <c r="AC66" s="356"/>
      <c r="AD66" s="405"/>
      <c r="AE66" s="183"/>
      <c r="AF66" s="183"/>
      <c r="AG66" s="183"/>
      <c r="AH66" s="183"/>
      <c r="AI66" s="183"/>
      <c r="AJ66" s="356"/>
      <c r="AK66" s="356"/>
      <c r="AL66" s="183"/>
      <c r="AM66" s="183"/>
      <c r="AN66" s="183"/>
      <c r="AO66" s="183"/>
      <c r="AP66" s="183"/>
      <c r="AQ66" s="183"/>
      <c r="AR66" s="183"/>
      <c r="AS66" s="183"/>
      <c r="AT66" s="183"/>
      <c r="AU66" s="183"/>
      <c r="AV66" s="183"/>
      <c r="AW66" s="183"/>
      <c r="AX66" s="183"/>
      <c r="AY66" s="183"/>
      <c r="AZ66" s="183"/>
      <c r="BA66" s="183"/>
      <c r="BB66" s="183"/>
      <c r="BC66" s="183"/>
      <c r="BD66" s="183"/>
      <c r="BE66" s="183"/>
      <c r="BF66" s="183"/>
      <c r="BG66" s="183"/>
      <c r="BH66" s="183"/>
      <c r="BI66" s="183"/>
      <c r="BJ66" s="183"/>
      <c r="BK66" s="183"/>
      <c r="BL66" s="312"/>
      <c r="BM66" s="182"/>
      <c r="BN66" s="356"/>
      <c r="BO66" s="356"/>
      <c r="BP66" s="356"/>
      <c r="BQ66" s="356"/>
      <c r="BR66" s="183"/>
      <c r="BS66" s="183"/>
      <c r="BT66" s="183"/>
      <c r="BU66" s="183"/>
      <c r="BV66" s="183"/>
      <c r="BW66" s="183"/>
      <c r="BX66" s="183"/>
      <c r="BY66" s="183"/>
      <c r="BZ66" s="183"/>
      <c r="CA66" s="183"/>
      <c r="CB66" s="183"/>
      <c r="CC66" s="279"/>
      <c r="CD66" s="183"/>
    </row>
    <row r="67" spans="1:82" s="178" customFormat="1">
      <c r="A67" s="179">
        <v>38</v>
      </c>
      <c r="C67" s="177" t="s">
        <v>205</v>
      </c>
      <c r="E67" s="178">
        <f>'ROO INPUT 1.00'!F68</f>
        <v>-106388</v>
      </c>
      <c r="F67" s="183">
        <v>0</v>
      </c>
      <c r="G67" s="183">
        <v>0</v>
      </c>
      <c r="H67" s="183">
        <v>0</v>
      </c>
      <c r="I67" s="183">
        <v>0</v>
      </c>
      <c r="J67" s="183">
        <v>0</v>
      </c>
      <c r="K67" s="183">
        <v>0</v>
      </c>
      <c r="L67" s="183">
        <v>0</v>
      </c>
      <c r="M67" s="183">
        <v>0</v>
      </c>
      <c r="N67" s="183">
        <v>0</v>
      </c>
      <c r="O67" s="183">
        <v>0</v>
      </c>
      <c r="P67" s="183">
        <v>0</v>
      </c>
      <c r="Q67" s="183">
        <v>0</v>
      </c>
      <c r="R67" s="183">
        <v>0</v>
      </c>
      <c r="S67" s="183">
        <v>0</v>
      </c>
      <c r="T67" s="183"/>
      <c r="U67" s="356">
        <v>0</v>
      </c>
      <c r="V67" s="356">
        <v>0</v>
      </c>
      <c r="W67" s="183">
        <v>0</v>
      </c>
      <c r="X67" s="183">
        <v>-7700.4</v>
      </c>
      <c r="Y67" s="183">
        <v>0</v>
      </c>
      <c r="Z67" s="356">
        <v>0</v>
      </c>
      <c r="AA67" s="356">
        <v>0</v>
      </c>
      <c r="AB67" s="356">
        <v>0</v>
      </c>
      <c r="AC67" s="356">
        <v>0</v>
      </c>
      <c r="AD67" s="405">
        <f>SUM(E67:AC67)</f>
        <v>-114088.4</v>
      </c>
      <c r="AE67" s="183">
        <v>0</v>
      </c>
      <c r="AF67" s="183">
        <v>0</v>
      </c>
      <c r="AG67" s="183">
        <v>0</v>
      </c>
      <c r="AH67" s="183">
        <v>0</v>
      </c>
      <c r="AI67" s="183">
        <v>0</v>
      </c>
      <c r="AJ67" s="356">
        <v>0</v>
      </c>
      <c r="AK67" s="356">
        <v>0</v>
      </c>
      <c r="AL67" s="183">
        <v>0</v>
      </c>
      <c r="AM67" s="183">
        <v>0</v>
      </c>
      <c r="AN67" s="183">
        <v>0</v>
      </c>
      <c r="AO67" s="183">
        <v>0</v>
      </c>
      <c r="AP67" s="183">
        <v>0</v>
      </c>
      <c r="AQ67" s="183">
        <v>0</v>
      </c>
      <c r="AR67" s="183">
        <v>0</v>
      </c>
      <c r="AS67" s="183">
        <v>0</v>
      </c>
      <c r="AT67" s="183">
        <v>0</v>
      </c>
      <c r="AU67" s="183">
        <v>2404.8402664605437</v>
      </c>
      <c r="AV67" s="183">
        <v>0</v>
      </c>
      <c r="AW67" s="183">
        <v>-11095.8</v>
      </c>
      <c r="AX67" s="183">
        <v>0</v>
      </c>
      <c r="AY67" s="183">
        <v>0</v>
      </c>
      <c r="AZ67" s="183">
        <v>0</v>
      </c>
      <c r="BA67" s="183">
        <v>0</v>
      </c>
      <c r="BB67" s="183">
        <v>0</v>
      </c>
      <c r="BC67" s="183">
        <v>0</v>
      </c>
      <c r="BD67" s="183">
        <v>0</v>
      </c>
      <c r="BE67" s="183">
        <v>-7732</v>
      </c>
      <c r="BF67" s="183">
        <v>0</v>
      </c>
      <c r="BG67" s="183"/>
      <c r="BH67" s="183"/>
      <c r="BI67" s="183"/>
      <c r="BJ67" s="183"/>
      <c r="BK67" s="183"/>
      <c r="BL67" s="312">
        <f t="shared" ref="BL67:BL72" si="232">SUM(AD67:BK67)</f>
        <v>-130511.35973353946</v>
      </c>
      <c r="BM67" s="182"/>
      <c r="BN67" s="356">
        <v>0</v>
      </c>
      <c r="BO67" s="356">
        <v>0</v>
      </c>
      <c r="BP67" s="356">
        <v>0</v>
      </c>
      <c r="BQ67" s="356">
        <v>0</v>
      </c>
      <c r="BR67" s="183">
        <v>0</v>
      </c>
      <c r="BS67" s="183">
        <v>0</v>
      </c>
      <c r="BT67" s="183">
        <v>0</v>
      </c>
      <c r="BU67" s="183">
        <v>0</v>
      </c>
      <c r="BV67" s="183">
        <v>1219.4000000000001</v>
      </c>
      <c r="BW67" s="183">
        <v>0</v>
      </c>
      <c r="BX67" s="183">
        <v>0</v>
      </c>
      <c r="BY67" s="183">
        <v>0</v>
      </c>
      <c r="BZ67" s="183">
        <v>0</v>
      </c>
      <c r="CA67" s="183">
        <v>0</v>
      </c>
      <c r="CB67" s="183"/>
      <c r="CC67" s="279">
        <f t="shared" ref="CC67:CC72" si="233">SUM(BL67:CB67)</f>
        <v>-129291.95973353946</v>
      </c>
      <c r="CD67" s="431">
        <f>CC67-BL67</f>
        <v>1219.3999999999942</v>
      </c>
    </row>
    <row r="68" spans="1:82" s="178" customFormat="1">
      <c r="A68" s="179">
        <v>39</v>
      </c>
      <c r="C68" s="178" t="s">
        <v>206</v>
      </c>
      <c r="E68" s="178">
        <f>'ROO INPUT 1.00'!F69</f>
        <v>-467152.5</v>
      </c>
      <c r="F68" s="183">
        <v>0</v>
      </c>
      <c r="G68" s="183">
        <v>0</v>
      </c>
      <c r="H68" s="183">
        <v>0</v>
      </c>
      <c r="I68" s="183">
        <v>186967</v>
      </c>
      <c r="J68" s="183">
        <v>0</v>
      </c>
      <c r="K68" s="183">
        <v>0</v>
      </c>
      <c r="L68" s="183">
        <v>0</v>
      </c>
      <c r="M68" s="183">
        <v>0</v>
      </c>
      <c r="N68" s="183">
        <v>0</v>
      </c>
      <c r="O68" s="183">
        <v>0</v>
      </c>
      <c r="P68" s="183">
        <v>0</v>
      </c>
      <c r="Q68" s="183">
        <v>0</v>
      </c>
      <c r="R68" s="183">
        <v>0</v>
      </c>
      <c r="S68" s="183">
        <v>0</v>
      </c>
      <c r="T68" s="183">
        <v>0</v>
      </c>
      <c r="U68" s="356">
        <v>0</v>
      </c>
      <c r="V68" s="356">
        <v>0</v>
      </c>
      <c r="W68" s="183">
        <v>0</v>
      </c>
      <c r="X68" s="183">
        <v>-10862</v>
      </c>
      <c r="Y68" s="183">
        <v>0</v>
      </c>
      <c r="Z68" s="356">
        <v>0</v>
      </c>
      <c r="AA68" s="356">
        <v>0</v>
      </c>
      <c r="AB68" s="356">
        <v>0</v>
      </c>
      <c r="AC68" s="356">
        <v>0</v>
      </c>
      <c r="AD68" s="405">
        <f>SUM(E68:AC68)</f>
        <v>-291047.5</v>
      </c>
      <c r="AE68" s="183">
        <v>0</v>
      </c>
      <c r="AF68" s="183">
        <v>0</v>
      </c>
      <c r="AG68" s="183">
        <v>0</v>
      </c>
      <c r="AH68" s="183">
        <v>0</v>
      </c>
      <c r="AI68" s="183">
        <v>0</v>
      </c>
      <c r="AJ68" s="356">
        <v>0</v>
      </c>
      <c r="AK68" s="356">
        <v>0</v>
      </c>
      <c r="AL68" s="183">
        <v>0</v>
      </c>
      <c r="AM68" s="183">
        <v>0</v>
      </c>
      <c r="AN68" s="183">
        <v>0</v>
      </c>
      <c r="AO68" s="183">
        <v>0</v>
      </c>
      <c r="AP68" s="183">
        <v>0</v>
      </c>
      <c r="AQ68" s="183">
        <v>0</v>
      </c>
      <c r="AR68" s="183">
        <v>0</v>
      </c>
      <c r="AS68" s="183">
        <v>0</v>
      </c>
      <c r="AT68" s="183">
        <v>0</v>
      </c>
      <c r="AU68" s="183">
        <v>-7936.6684847748584</v>
      </c>
      <c r="AV68" s="183">
        <v>0</v>
      </c>
      <c r="AW68" s="183">
        <v>-17007</v>
      </c>
      <c r="AX68" s="183">
        <v>0</v>
      </c>
      <c r="AY68" s="183">
        <v>0</v>
      </c>
      <c r="AZ68" s="183">
        <v>0</v>
      </c>
      <c r="BA68" s="183">
        <v>0</v>
      </c>
      <c r="BB68" s="183">
        <v>0</v>
      </c>
      <c r="BC68" s="183">
        <v>0</v>
      </c>
      <c r="BD68" s="183">
        <v>0</v>
      </c>
      <c r="BE68" s="183">
        <v>-8482</v>
      </c>
      <c r="BF68" s="183">
        <v>0</v>
      </c>
      <c r="BG68" s="183"/>
      <c r="BH68" s="183"/>
      <c r="BI68" s="183"/>
      <c r="BJ68" s="183"/>
      <c r="BK68" s="183"/>
      <c r="BL68" s="313">
        <f t="shared" si="232"/>
        <v>-324473.16848477488</v>
      </c>
      <c r="BM68" s="318"/>
      <c r="BN68" s="356">
        <v>0</v>
      </c>
      <c r="BO68" s="356">
        <v>0</v>
      </c>
      <c r="BP68" s="356">
        <v>0</v>
      </c>
      <c r="BQ68" s="356">
        <v>0</v>
      </c>
      <c r="BR68" s="183">
        <v>0</v>
      </c>
      <c r="BS68" s="183">
        <v>0</v>
      </c>
      <c r="BT68" s="183">
        <v>0</v>
      </c>
      <c r="BU68" s="183">
        <v>0</v>
      </c>
      <c r="BV68" s="183">
        <v>-13689</v>
      </c>
      <c r="BW68" s="183">
        <v>0</v>
      </c>
      <c r="BX68" s="183">
        <v>0</v>
      </c>
      <c r="BY68" s="183">
        <v>0</v>
      </c>
      <c r="BZ68" s="183">
        <v>0</v>
      </c>
      <c r="CA68" s="183">
        <v>0</v>
      </c>
      <c r="CB68" s="183"/>
      <c r="CC68" s="280">
        <f t="shared" si="233"/>
        <v>-338162.16848477488</v>
      </c>
      <c r="CD68" s="431">
        <f>CC68-BL68</f>
        <v>-13689</v>
      </c>
    </row>
    <row r="69" spans="1:82" s="178" customFormat="1">
      <c r="A69" s="179">
        <v>40</v>
      </c>
      <c r="C69" s="178" t="s">
        <v>207</v>
      </c>
      <c r="E69" s="178">
        <f>'ROO INPUT 1.00'!F70</f>
        <v>-172832</v>
      </c>
      <c r="F69" s="183">
        <v>0</v>
      </c>
      <c r="G69" s="183">
        <v>0</v>
      </c>
      <c r="H69" s="183">
        <v>0</v>
      </c>
      <c r="I69" s="183">
        <v>0</v>
      </c>
      <c r="J69" s="183">
        <v>0</v>
      </c>
      <c r="K69" s="183">
        <v>0</v>
      </c>
      <c r="L69" s="183">
        <v>0</v>
      </c>
      <c r="M69" s="183">
        <v>0</v>
      </c>
      <c r="N69" s="183">
        <v>0</v>
      </c>
      <c r="O69" s="183">
        <v>0</v>
      </c>
      <c r="P69" s="183">
        <v>0</v>
      </c>
      <c r="Q69" s="183">
        <v>0</v>
      </c>
      <c r="R69" s="183">
        <v>0</v>
      </c>
      <c r="S69" s="183">
        <v>0</v>
      </c>
      <c r="T69" s="183">
        <v>0</v>
      </c>
      <c r="U69" s="356">
        <v>0</v>
      </c>
      <c r="V69" s="356">
        <v>0</v>
      </c>
      <c r="W69" s="183">
        <v>0</v>
      </c>
      <c r="X69" s="183">
        <v>-5043.8999999999996</v>
      </c>
      <c r="Y69" s="183">
        <v>0</v>
      </c>
      <c r="Z69" s="356">
        <v>0</v>
      </c>
      <c r="AA69" s="356">
        <v>0</v>
      </c>
      <c r="AB69" s="356">
        <v>0</v>
      </c>
      <c r="AC69" s="356">
        <v>0</v>
      </c>
      <c r="AD69" s="405">
        <f>SUM(E69:AC69)</f>
        <v>-177875.9</v>
      </c>
      <c r="AE69" s="183">
        <v>0</v>
      </c>
      <c r="AF69" s="183">
        <v>0</v>
      </c>
      <c r="AG69" s="183">
        <v>0</v>
      </c>
      <c r="AH69" s="183">
        <v>0</v>
      </c>
      <c r="AI69" s="183">
        <v>0</v>
      </c>
      <c r="AJ69" s="356">
        <v>0</v>
      </c>
      <c r="AK69" s="356">
        <v>0</v>
      </c>
      <c r="AL69" s="183">
        <v>0</v>
      </c>
      <c r="AM69" s="183">
        <v>0</v>
      </c>
      <c r="AN69" s="183">
        <v>0</v>
      </c>
      <c r="AO69" s="183">
        <v>0</v>
      </c>
      <c r="AP69" s="183">
        <v>0</v>
      </c>
      <c r="AQ69" s="183">
        <v>0</v>
      </c>
      <c r="AR69" s="183">
        <v>0</v>
      </c>
      <c r="AS69" s="183">
        <v>0</v>
      </c>
      <c r="AT69" s="183">
        <v>0</v>
      </c>
      <c r="AU69" s="183">
        <v>-5562.0879166852274</v>
      </c>
      <c r="AV69" s="183">
        <v>0</v>
      </c>
      <c r="AW69" s="183">
        <v>-13713.3</v>
      </c>
      <c r="AX69" s="183">
        <v>0</v>
      </c>
      <c r="AY69" s="183">
        <v>0</v>
      </c>
      <c r="AZ69" s="183">
        <v>0</v>
      </c>
      <c r="BA69" s="183">
        <v>0</v>
      </c>
      <c r="BB69" s="183">
        <v>0</v>
      </c>
      <c r="BC69" s="183">
        <v>0</v>
      </c>
      <c r="BD69" s="183">
        <v>0</v>
      </c>
      <c r="BE69" s="183">
        <v>-7332.1298250405016</v>
      </c>
      <c r="BF69" s="183">
        <v>0</v>
      </c>
      <c r="BG69" s="183"/>
      <c r="BH69" s="183"/>
      <c r="BI69" s="183"/>
      <c r="BJ69" s="183"/>
      <c r="BK69" s="183"/>
      <c r="BL69" s="312">
        <f t="shared" si="232"/>
        <v>-204483.41774172572</v>
      </c>
      <c r="BM69" s="182"/>
      <c r="BN69" s="356">
        <v>0</v>
      </c>
      <c r="BO69" s="356">
        <v>0</v>
      </c>
      <c r="BP69" s="356">
        <v>0</v>
      </c>
      <c r="BQ69" s="356">
        <v>0</v>
      </c>
      <c r="BR69" s="183">
        <v>0</v>
      </c>
      <c r="BS69" s="183">
        <v>0</v>
      </c>
      <c r="BT69" s="183">
        <v>0</v>
      </c>
      <c r="BU69" s="183">
        <v>0</v>
      </c>
      <c r="BV69" s="183">
        <v>-14972.3</v>
      </c>
      <c r="BW69" s="183">
        <v>0</v>
      </c>
      <c r="BX69" s="183">
        <v>0</v>
      </c>
      <c r="BY69" s="183">
        <v>0</v>
      </c>
      <c r="BZ69" s="183">
        <v>0</v>
      </c>
      <c r="CA69" s="183">
        <v>0</v>
      </c>
      <c r="CB69" s="183"/>
      <c r="CC69" s="279">
        <f t="shared" si="233"/>
        <v>-219455.7177417257</v>
      </c>
      <c r="CD69" s="431">
        <f>CC69-BL69</f>
        <v>-14972.299999999988</v>
      </c>
    </row>
    <row r="70" spans="1:82" s="178" customFormat="1">
      <c r="A70" s="179">
        <v>41</v>
      </c>
      <c r="C70" s="178" t="s">
        <v>191</v>
      </c>
      <c r="E70" s="178">
        <f>'ROO INPUT 1.00'!F71</f>
        <v>-458617</v>
      </c>
      <c r="F70" s="183">
        <v>0</v>
      </c>
      <c r="G70" s="183">
        <v>0</v>
      </c>
      <c r="H70" s="183">
        <v>0</v>
      </c>
      <c r="I70" s="183">
        <v>0</v>
      </c>
      <c r="J70" s="183">
        <v>0</v>
      </c>
      <c r="K70" s="183">
        <v>0</v>
      </c>
      <c r="L70" s="183">
        <v>0</v>
      </c>
      <c r="M70" s="183">
        <v>0</v>
      </c>
      <c r="N70" s="183">
        <v>0</v>
      </c>
      <c r="O70" s="183">
        <v>0</v>
      </c>
      <c r="P70" s="183">
        <v>0</v>
      </c>
      <c r="Q70" s="183">
        <v>0</v>
      </c>
      <c r="R70" s="183">
        <v>0</v>
      </c>
      <c r="S70" s="183">
        <v>0</v>
      </c>
      <c r="T70" s="183">
        <v>0</v>
      </c>
      <c r="U70" s="356">
        <v>0</v>
      </c>
      <c r="V70" s="356">
        <v>0</v>
      </c>
      <c r="W70" s="183">
        <v>0</v>
      </c>
      <c r="X70" s="183">
        <v>-17101.900000000001</v>
      </c>
      <c r="Y70" s="183">
        <v>0</v>
      </c>
      <c r="Z70" s="356">
        <v>0</v>
      </c>
      <c r="AA70" s="356">
        <v>0</v>
      </c>
      <c r="AB70" s="356">
        <v>0</v>
      </c>
      <c r="AC70" s="356">
        <v>0</v>
      </c>
      <c r="AD70" s="405">
        <f>SUM(E70:AC70)</f>
        <v>-475718.9</v>
      </c>
      <c r="AE70" s="183">
        <v>0</v>
      </c>
      <c r="AF70" s="183">
        <v>0</v>
      </c>
      <c r="AG70" s="183">
        <v>0</v>
      </c>
      <c r="AH70" s="183">
        <v>0</v>
      </c>
      <c r="AI70" s="183">
        <v>0</v>
      </c>
      <c r="AJ70" s="356">
        <v>0</v>
      </c>
      <c r="AK70" s="356">
        <v>0</v>
      </c>
      <c r="AL70" s="183">
        <v>0</v>
      </c>
      <c r="AM70" s="183">
        <v>0</v>
      </c>
      <c r="AN70" s="183">
        <v>0</v>
      </c>
      <c r="AO70" s="183">
        <v>0</v>
      </c>
      <c r="AP70" s="183">
        <v>0</v>
      </c>
      <c r="AQ70" s="183">
        <v>0</v>
      </c>
      <c r="AR70" s="183">
        <v>0</v>
      </c>
      <c r="AS70" s="183">
        <v>0</v>
      </c>
      <c r="AT70" s="183">
        <v>0</v>
      </c>
      <c r="AU70" s="183">
        <v>-14426.373305979188</v>
      </c>
      <c r="AV70" s="183">
        <v>0</v>
      </c>
      <c r="AW70" s="183">
        <v>-34179.300000000003</v>
      </c>
      <c r="AX70" s="183">
        <v>0</v>
      </c>
      <c r="AY70" s="183">
        <v>0</v>
      </c>
      <c r="AZ70" s="183">
        <v>0</v>
      </c>
      <c r="BA70" s="183">
        <v>0</v>
      </c>
      <c r="BB70" s="183">
        <v>0</v>
      </c>
      <c r="BC70" s="183">
        <v>0</v>
      </c>
      <c r="BD70" s="183">
        <v>0</v>
      </c>
      <c r="BE70" s="183">
        <v>-18570</v>
      </c>
      <c r="BF70" s="183">
        <v>0</v>
      </c>
      <c r="BG70" s="183"/>
      <c r="BH70" s="183"/>
      <c r="BI70" s="183"/>
      <c r="BJ70" s="183"/>
      <c r="BK70" s="183"/>
      <c r="BL70" s="312">
        <f t="shared" si="232"/>
        <v>-542894.57330597925</v>
      </c>
      <c r="BM70" s="182"/>
      <c r="BN70" s="356">
        <v>0</v>
      </c>
      <c r="BO70" s="356">
        <v>0</v>
      </c>
      <c r="BP70" s="356">
        <v>0</v>
      </c>
      <c r="BQ70" s="356">
        <v>0</v>
      </c>
      <c r="BR70" s="183">
        <v>0</v>
      </c>
      <c r="BS70" s="183">
        <v>0</v>
      </c>
      <c r="BT70" s="183">
        <v>0</v>
      </c>
      <c r="BU70" s="183">
        <v>0</v>
      </c>
      <c r="BV70" s="183">
        <v>-38281</v>
      </c>
      <c r="BW70" s="183">
        <v>0</v>
      </c>
      <c r="BX70" s="183">
        <v>0</v>
      </c>
      <c r="BY70" s="183">
        <v>0</v>
      </c>
      <c r="BZ70" s="183">
        <v>0</v>
      </c>
      <c r="CA70" s="183">
        <v>0</v>
      </c>
      <c r="CB70" s="183"/>
      <c r="CC70" s="279">
        <f t="shared" si="233"/>
        <v>-581175.57330597925</v>
      </c>
      <c r="CD70" s="431">
        <f>CC70-BL70</f>
        <v>-38281</v>
      </c>
    </row>
    <row r="71" spans="1:82" s="178" customFormat="1">
      <c r="A71" s="179">
        <v>42</v>
      </c>
      <c r="C71" s="178" t="s">
        <v>208</v>
      </c>
      <c r="E71" s="307">
        <f>'ROO INPUT 1.00'!F72</f>
        <v>-113530.9</v>
      </c>
      <c r="F71" s="183">
        <v>0</v>
      </c>
      <c r="G71" s="183">
        <v>0</v>
      </c>
      <c r="H71" s="183">
        <v>0</v>
      </c>
      <c r="I71" s="183">
        <v>0</v>
      </c>
      <c r="J71" s="183">
        <v>0</v>
      </c>
      <c r="K71" s="183">
        <v>0</v>
      </c>
      <c r="L71" s="183">
        <v>0</v>
      </c>
      <c r="M71" s="183">
        <v>0</v>
      </c>
      <c r="N71" s="183">
        <v>0</v>
      </c>
      <c r="O71" s="183">
        <v>0</v>
      </c>
      <c r="P71" s="183">
        <v>0</v>
      </c>
      <c r="Q71" s="183">
        <v>0</v>
      </c>
      <c r="R71" s="183">
        <v>0</v>
      </c>
      <c r="S71" s="183">
        <v>0</v>
      </c>
      <c r="T71" s="183">
        <v>0</v>
      </c>
      <c r="U71" s="356">
        <v>0</v>
      </c>
      <c r="V71" s="361">
        <v>0</v>
      </c>
      <c r="W71" s="183">
        <v>0</v>
      </c>
      <c r="X71" s="186">
        <v>-5427.3</v>
      </c>
      <c r="Y71" s="183">
        <v>0</v>
      </c>
      <c r="Z71" s="356">
        <v>0</v>
      </c>
      <c r="AA71" s="361">
        <v>0</v>
      </c>
      <c r="AB71" s="356">
        <v>0</v>
      </c>
      <c r="AC71" s="356">
        <v>0</v>
      </c>
      <c r="AD71" s="405">
        <f>SUM(E71:AC71)</f>
        <v>-118958.2</v>
      </c>
      <c r="AE71" s="183">
        <v>0</v>
      </c>
      <c r="AF71" s="183">
        <v>0</v>
      </c>
      <c r="AG71" s="183">
        <v>0</v>
      </c>
      <c r="AH71" s="183">
        <v>0</v>
      </c>
      <c r="AI71" s="183">
        <v>0</v>
      </c>
      <c r="AJ71" s="356">
        <v>0</v>
      </c>
      <c r="AK71" s="356">
        <v>0</v>
      </c>
      <c r="AL71" s="183">
        <v>0</v>
      </c>
      <c r="AM71" s="183">
        <v>0</v>
      </c>
      <c r="AN71" s="183">
        <v>0</v>
      </c>
      <c r="AO71" s="183">
        <v>0</v>
      </c>
      <c r="AP71" s="183">
        <v>0</v>
      </c>
      <c r="AQ71" s="183">
        <v>0</v>
      </c>
      <c r="AR71" s="186">
        <v>0</v>
      </c>
      <c r="AS71" s="183">
        <v>0</v>
      </c>
      <c r="AT71" s="183">
        <v>0</v>
      </c>
      <c r="AU71" s="183">
        <v>230.6</v>
      </c>
      <c r="AV71" s="183">
        <v>0</v>
      </c>
      <c r="AW71" s="183">
        <v>-5171.3999999999996</v>
      </c>
      <c r="AX71" s="183">
        <v>0</v>
      </c>
      <c r="AY71" s="183">
        <v>0</v>
      </c>
      <c r="AZ71" s="183">
        <v>0</v>
      </c>
      <c r="BA71" s="183">
        <v>0</v>
      </c>
      <c r="BB71" s="183">
        <v>0</v>
      </c>
      <c r="BC71" s="183">
        <v>0</v>
      </c>
      <c r="BD71" s="183">
        <v>0</v>
      </c>
      <c r="BE71" s="186">
        <v>-6172</v>
      </c>
      <c r="BF71" s="186">
        <v>0</v>
      </c>
      <c r="BG71" s="186"/>
      <c r="BH71" s="186"/>
      <c r="BI71" s="186"/>
      <c r="BJ71" s="186"/>
      <c r="BK71" s="186"/>
      <c r="BL71" s="314">
        <f t="shared" si="232"/>
        <v>-130070.99999999999</v>
      </c>
      <c r="BM71" s="182"/>
      <c r="BN71" s="356">
        <v>0</v>
      </c>
      <c r="BO71" s="356">
        <v>0</v>
      </c>
      <c r="BP71" s="356">
        <v>0</v>
      </c>
      <c r="BQ71" s="356">
        <v>0</v>
      </c>
      <c r="BR71" s="183">
        <v>0</v>
      </c>
      <c r="BS71" s="183">
        <v>0</v>
      </c>
      <c r="BT71" s="186">
        <v>0</v>
      </c>
      <c r="BU71" s="186">
        <v>0</v>
      </c>
      <c r="BV71" s="186">
        <v>-7561</v>
      </c>
      <c r="BW71" s="186">
        <v>0</v>
      </c>
      <c r="BX71" s="186">
        <v>0</v>
      </c>
      <c r="BY71" s="183">
        <v>0</v>
      </c>
      <c r="BZ71" s="186">
        <v>0</v>
      </c>
      <c r="CA71" s="186">
        <v>0</v>
      </c>
      <c r="CB71" s="186"/>
      <c r="CC71" s="281">
        <f t="shared" si="233"/>
        <v>-137632</v>
      </c>
      <c r="CD71" s="430">
        <f>CC71-BL71</f>
        <v>-7561.0000000000146</v>
      </c>
    </row>
    <row r="72" spans="1:82" s="178" customFormat="1">
      <c r="A72" s="179">
        <v>43</v>
      </c>
      <c r="B72" s="178" t="s">
        <v>249</v>
      </c>
      <c r="E72" s="188">
        <f t="shared" ref="E72:AO72" si="234">SUM(E67:E71)</f>
        <v>-1318520.3999999999</v>
      </c>
      <c r="F72" s="188">
        <f t="shared" si="234"/>
        <v>0</v>
      </c>
      <c r="G72" s="188">
        <f t="shared" si="234"/>
        <v>0</v>
      </c>
      <c r="H72" s="188">
        <f t="shared" si="234"/>
        <v>0</v>
      </c>
      <c r="I72" s="188">
        <f t="shared" ref="I72" si="235">SUM(I67:I71)</f>
        <v>186967</v>
      </c>
      <c r="J72" s="188">
        <f t="shared" si="234"/>
        <v>0</v>
      </c>
      <c r="K72" s="188">
        <f t="shared" ref="K72" si="236">SUM(K67:K71)</f>
        <v>0</v>
      </c>
      <c r="L72" s="188">
        <f t="shared" si="234"/>
        <v>0</v>
      </c>
      <c r="M72" s="188">
        <f t="shared" si="234"/>
        <v>0</v>
      </c>
      <c r="N72" s="188">
        <f t="shared" si="234"/>
        <v>0</v>
      </c>
      <c r="O72" s="188">
        <f t="shared" si="234"/>
        <v>0</v>
      </c>
      <c r="P72" s="188">
        <f t="shared" si="234"/>
        <v>0</v>
      </c>
      <c r="Q72" s="188">
        <f t="shared" si="234"/>
        <v>0</v>
      </c>
      <c r="R72" s="188">
        <f t="shared" si="234"/>
        <v>0</v>
      </c>
      <c r="S72" s="188">
        <f t="shared" si="234"/>
        <v>0</v>
      </c>
      <c r="T72" s="188">
        <f t="shared" ref="T72" si="237">SUM(T67:T71)</f>
        <v>0</v>
      </c>
      <c r="U72" s="364">
        <f>SUM(U67:U71)</f>
        <v>0</v>
      </c>
      <c r="V72" s="366">
        <f t="shared" ref="V72" si="238">SUM(V67:V71)</f>
        <v>0</v>
      </c>
      <c r="W72" s="188">
        <f>SUM(W67:W71)</f>
        <v>0</v>
      </c>
      <c r="X72" s="188">
        <f>SUM(X67:X71)</f>
        <v>-46135.500000000007</v>
      </c>
      <c r="Y72" s="188">
        <f>SUM(Y67:Y71)</f>
        <v>0</v>
      </c>
      <c r="Z72" s="364">
        <f>SUM(Z67:Z71)</f>
        <v>0</v>
      </c>
      <c r="AA72" s="366">
        <f t="shared" ref="AA72" si="239">SUM(AA67:AA71)</f>
        <v>0</v>
      </c>
      <c r="AB72" s="364">
        <f t="shared" ref="AB72" si="240">SUM(AB67:AB71)</f>
        <v>0</v>
      </c>
      <c r="AC72" s="364">
        <f>SUM(AC67:AC71)</f>
        <v>0</v>
      </c>
      <c r="AD72" s="407">
        <f t="shared" si="234"/>
        <v>-1177688.9000000001</v>
      </c>
      <c r="AE72" s="188">
        <f>SUM(AE67:AE71)</f>
        <v>0</v>
      </c>
      <c r="AF72" s="188">
        <f t="shared" ref="AF72" si="241">SUM(AF67:AF71)</f>
        <v>0</v>
      </c>
      <c r="AG72" s="188">
        <f t="shared" ref="AG72" si="242">SUM(AG67:AG71)</f>
        <v>0</v>
      </c>
      <c r="AH72" s="188">
        <f t="shared" ref="AH72:AJ72" si="243">SUM(AH67:AH71)</f>
        <v>0</v>
      </c>
      <c r="AI72" s="188">
        <f t="shared" si="243"/>
        <v>0</v>
      </c>
      <c r="AJ72" s="364">
        <f t="shared" si="243"/>
        <v>0</v>
      </c>
      <c r="AK72" s="364">
        <f t="shared" ref="AK72:AL72" si="244">SUM(AK67:AK71)</f>
        <v>0</v>
      </c>
      <c r="AL72" s="188">
        <f t="shared" si="244"/>
        <v>0</v>
      </c>
      <c r="AM72" s="188">
        <f t="shared" ref="AM72:AN72" si="245">SUM(AM67:AM71)</f>
        <v>0</v>
      </c>
      <c r="AN72" s="188">
        <f t="shared" si="245"/>
        <v>0</v>
      </c>
      <c r="AO72" s="188">
        <f t="shared" si="234"/>
        <v>0</v>
      </c>
      <c r="AP72" s="188">
        <f>SUM(AP67:AP71)</f>
        <v>0</v>
      </c>
      <c r="AQ72" s="188">
        <f>SUM(AQ67:AQ71)</f>
        <v>0</v>
      </c>
      <c r="AR72" s="96">
        <f>SUM(AR67:AR71)</f>
        <v>0</v>
      </c>
      <c r="AS72" s="188">
        <f t="shared" ref="AS72" si="246">SUM(AS67:AS71)</f>
        <v>0</v>
      </c>
      <c r="AT72" s="188">
        <f t="shared" ref="AT72" si="247">SUM(AT67:AT71)</f>
        <v>0</v>
      </c>
      <c r="AU72" s="188">
        <f>SUM(AU67:AU71)</f>
        <v>-25289.689440978731</v>
      </c>
      <c r="AV72" s="188">
        <f t="shared" ref="AV72:AX72" si="248">SUM(AV67:AV71)</f>
        <v>0</v>
      </c>
      <c r="AW72" s="188">
        <f t="shared" si="248"/>
        <v>-81166.799999999988</v>
      </c>
      <c r="AX72" s="188">
        <f t="shared" si="248"/>
        <v>0</v>
      </c>
      <c r="AY72" s="188">
        <f t="shared" ref="AY72:AZ72" si="249">SUM(AY67:AY71)</f>
        <v>0</v>
      </c>
      <c r="AZ72" s="188">
        <f t="shared" si="249"/>
        <v>0</v>
      </c>
      <c r="BA72" s="188">
        <f t="shared" ref="BA72:BD72" si="250">SUM(BA67:BA71)</f>
        <v>0</v>
      </c>
      <c r="BB72" s="188">
        <f t="shared" si="250"/>
        <v>0</v>
      </c>
      <c r="BC72" s="188">
        <f t="shared" si="250"/>
        <v>0</v>
      </c>
      <c r="BD72" s="188">
        <f t="shared" si="250"/>
        <v>0</v>
      </c>
      <c r="BE72" s="96">
        <f>SUM(BE67:BE71)</f>
        <v>-48288.129825040502</v>
      </c>
      <c r="BF72" s="96">
        <f>SUM(BF67:BF71)</f>
        <v>0</v>
      </c>
      <c r="BG72" s="96"/>
      <c r="BH72" s="96"/>
      <c r="BI72" s="96"/>
      <c r="BJ72" s="96"/>
      <c r="BK72" s="96"/>
      <c r="BL72" s="312">
        <f t="shared" si="232"/>
        <v>-1332433.5192660193</v>
      </c>
      <c r="BM72" s="182"/>
      <c r="BN72" s="364">
        <f t="shared" ref="BN72" si="251">SUM(BN67:BN71)</f>
        <v>0</v>
      </c>
      <c r="BO72" s="364">
        <f t="shared" ref="BO72:BP72" si="252">SUM(BO67:BO71)</f>
        <v>0</v>
      </c>
      <c r="BP72" s="364">
        <f t="shared" si="252"/>
        <v>0</v>
      </c>
      <c r="BQ72" s="364">
        <f>SUM(BQ67:BQ71)</f>
        <v>0</v>
      </c>
      <c r="BR72" s="188">
        <f t="shared" ref="BR72" si="253">SUM(BR67:BR71)</f>
        <v>0</v>
      </c>
      <c r="BS72" s="188">
        <f t="shared" ref="BS72" si="254">SUM(BS67:BS71)</f>
        <v>0</v>
      </c>
      <c r="BT72" s="96">
        <f>SUM(BT67:BT71)</f>
        <v>0</v>
      </c>
      <c r="BU72" s="96">
        <f>SUM(BU67:BU71)</f>
        <v>0</v>
      </c>
      <c r="BV72" s="96">
        <f>SUM(BV67:BV71)</f>
        <v>-73283.899999999994</v>
      </c>
      <c r="BW72" s="96">
        <f>SUM(BW67:BW71)</f>
        <v>0</v>
      </c>
      <c r="BX72" s="96">
        <f>SUM(BX67:BX71)</f>
        <v>0</v>
      </c>
      <c r="BY72" s="188">
        <f t="shared" ref="BY72" si="255">SUM(BY67:BY71)</f>
        <v>0</v>
      </c>
      <c r="BZ72" s="337">
        <f>SUM(BZ67:BZ71)</f>
        <v>0</v>
      </c>
      <c r="CA72" s="337">
        <f>SUM(CA67:CA71)</f>
        <v>0</v>
      </c>
      <c r="CB72" s="96"/>
      <c r="CC72" s="279">
        <f t="shared" si="233"/>
        <v>-1405717.4192660192</v>
      </c>
      <c r="CD72" s="96">
        <f>SUM(CD67:CD71)</f>
        <v>-73283.900000000009</v>
      </c>
    </row>
    <row r="73" spans="1:82" s="178" customFormat="1">
      <c r="A73" s="179">
        <v>44</v>
      </c>
      <c r="B73" s="178" t="s">
        <v>250</v>
      </c>
      <c r="E73" s="188">
        <f>E65+E72</f>
        <v>2372928.2999999998</v>
      </c>
      <c r="F73" s="188">
        <f t="shared" ref="F73:Z73" si="256">F65+F72</f>
        <v>0</v>
      </c>
      <c r="G73" s="188">
        <f t="shared" si="256"/>
        <v>0</v>
      </c>
      <c r="H73" s="188">
        <f t="shared" si="256"/>
        <v>0</v>
      </c>
      <c r="I73" s="188">
        <f t="shared" ref="I73" si="257">I65+I72</f>
        <v>-26578</v>
      </c>
      <c r="J73" s="188">
        <f t="shared" si="256"/>
        <v>0</v>
      </c>
      <c r="K73" s="188">
        <f t="shared" si="256"/>
        <v>0</v>
      </c>
      <c r="L73" s="188">
        <f t="shared" si="256"/>
        <v>0</v>
      </c>
      <c r="M73" s="188">
        <f t="shared" si="256"/>
        <v>0</v>
      </c>
      <c r="N73" s="188">
        <f t="shared" si="256"/>
        <v>0</v>
      </c>
      <c r="O73" s="188">
        <f t="shared" si="256"/>
        <v>0</v>
      </c>
      <c r="P73" s="188">
        <f t="shared" si="256"/>
        <v>0</v>
      </c>
      <c r="Q73" s="188">
        <f t="shared" si="256"/>
        <v>0</v>
      </c>
      <c r="R73" s="188">
        <f t="shared" si="256"/>
        <v>0</v>
      </c>
      <c r="S73" s="188">
        <f t="shared" si="256"/>
        <v>0</v>
      </c>
      <c r="T73" s="188">
        <f t="shared" ref="T73" si="258">T65+T72</f>
        <v>0</v>
      </c>
      <c r="U73" s="364">
        <f>U65+U72</f>
        <v>0</v>
      </c>
      <c r="V73" s="356">
        <f>V65+V72</f>
        <v>0</v>
      </c>
      <c r="W73" s="188">
        <f>W65+W72</f>
        <v>0</v>
      </c>
      <c r="X73" s="188">
        <f>X65+X72</f>
        <v>54839.6</v>
      </c>
      <c r="Y73" s="188">
        <f t="shared" si="256"/>
        <v>0</v>
      </c>
      <c r="Z73" s="364">
        <f t="shared" si="256"/>
        <v>0</v>
      </c>
      <c r="AA73" s="356">
        <f t="shared" ref="AA73" si="259">AA65+AA72</f>
        <v>0</v>
      </c>
      <c r="AB73" s="364">
        <f>AB65+AB72</f>
        <v>0</v>
      </c>
      <c r="AC73" s="364">
        <f t="shared" ref="AC73" si="260">AC65+AC72</f>
        <v>0</v>
      </c>
      <c r="AD73" s="407">
        <f t="shared" ref="AD73" si="261">AD65+AD72</f>
        <v>2401189.8999999994</v>
      </c>
      <c r="AE73" s="188">
        <f>AE65-AE72</f>
        <v>0</v>
      </c>
      <c r="AF73" s="188">
        <f>AF65-AF72</f>
        <v>0</v>
      </c>
      <c r="AG73" s="188">
        <f>AG65-AG72</f>
        <v>0</v>
      </c>
      <c r="AH73" s="188">
        <f>AH65+AH72</f>
        <v>0</v>
      </c>
      <c r="AI73" s="188">
        <f>AI65+AI72</f>
        <v>0</v>
      </c>
      <c r="AJ73" s="364">
        <f>AJ65+AJ72</f>
        <v>0</v>
      </c>
      <c r="AK73" s="364">
        <f>AK65+AK72</f>
        <v>0</v>
      </c>
      <c r="AL73" s="188">
        <f t="shared" ref="AL73:AM73" si="262">AL65+AL72</f>
        <v>0</v>
      </c>
      <c r="AM73" s="188">
        <f t="shared" si="262"/>
        <v>0</v>
      </c>
      <c r="AN73" s="188">
        <f t="shared" ref="AN73" si="263">AN65+AN72</f>
        <v>0</v>
      </c>
      <c r="AO73" s="188">
        <f t="shared" ref="AO73" si="264">AO65+AO72</f>
        <v>0</v>
      </c>
      <c r="AP73" s="188">
        <f>AP65+AP72</f>
        <v>0</v>
      </c>
      <c r="AQ73" s="188">
        <f>AQ65+AQ72</f>
        <v>0</v>
      </c>
      <c r="AR73" s="183">
        <f>AR65+AR72</f>
        <v>0</v>
      </c>
      <c r="AS73" s="188">
        <f t="shared" ref="AS73" si="265">AS65+AS72</f>
        <v>0</v>
      </c>
      <c r="AT73" s="188">
        <f t="shared" ref="AT73" si="266">AT65+AT72</f>
        <v>0</v>
      </c>
      <c r="AU73" s="188">
        <f>AU65+AU72</f>
        <v>85497.310559021265</v>
      </c>
      <c r="AV73" s="188">
        <f t="shared" ref="AV73:AX73" si="267">AV65+AV72</f>
        <v>0</v>
      </c>
      <c r="AW73" s="188">
        <f t="shared" si="267"/>
        <v>72371.200000000012</v>
      </c>
      <c r="AX73" s="188">
        <f t="shared" si="267"/>
        <v>0</v>
      </c>
      <c r="AY73" s="188">
        <f t="shared" ref="AY73:AZ73" si="268">AY65+AY72</f>
        <v>0</v>
      </c>
      <c r="AZ73" s="188">
        <f t="shared" si="268"/>
        <v>0</v>
      </c>
      <c r="BA73" s="188">
        <f t="shared" ref="BA73:BE73" si="269">BA65+BA72</f>
        <v>0</v>
      </c>
      <c r="BB73" s="188">
        <f t="shared" si="269"/>
        <v>0</v>
      </c>
      <c r="BC73" s="188">
        <f t="shared" si="269"/>
        <v>0</v>
      </c>
      <c r="BD73" s="188">
        <f t="shared" si="269"/>
        <v>0</v>
      </c>
      <c r="BE73" s="183">
        <f t="shared" si="269"/>
        <v>27511.870174959498</v>
      </c>
      <c r="BF73" s="183">
        <f>BF65-BF72</f>
        <v>0</v>
      </c>
      <c r="BG73" s="183"/>
      <c r="BH73" s="183"/>
      <c r="BI73" s="183"/>
      <c r="BJ73" s="183"/>
      <c r="BK73" s="183"/>
      <c r="BL73" s="316">
        <f t="shared" ref="BL73" si="270">BL65+BL72</f>
        <v>2586570.2807339802</v>
      </c>
      <c r="BM73" s="182"/>
      <c r="BN73" s="364">
        <f t="shared" ref="BN73" si="271">BN65+BN72</f>
        <v>0</v>
      </c>
      <c r="BO73" s="364">
        <f t="shared" ref="BO73:BP73" si="272">BO65+BO72</f>
        <v>0</v>
      </c>
      <c r="BP73" s="364">
        <f t="shared" si="272"/>
        <v>0</v>
      </c>
      <c r="BQ73" s="364">
        <f t="shared" ref="BQ73:BR73" si="273">BQ65+BQ72</f>
        <v>0</v>
      </c>
      <c r="BR73" s="188">
        <f t="shared" si="273"/>
        <v>0</v>
      </c>
      <c r="BS73" s="188">
        <f>BS65+BS72</f>
        <v>0</v>
      </c>
      <c r="BT73" s="183">
        <f>BT65+BT72</f>
        <v>0</v>
      </c>
      <c r="BU73" s="183">
        <f>BU65+BU72</f>
        <v>0</v>
      </c>
      <c r="BV73" s="183">
        <f t="shared" ref="BV73:BW73" si="274">BV65+BV72</f>
        <v>99499.1</v>
      </c>
      <c r="BW73" s="183">
        <f t="shared" si="274"/>
        <v>0</v>
      </c>
      <c r="BX73" s="183">
        <f t="shared" ref="BX73:BY73" si="275">BX65+BX72</f>
        <v>0</v>
      </c>
      <c r="BY73" s="188">
        <f t="shared" si="275"/>
        <v>0</v>
      </c>
      <c r="BZ73" s="183">
        <f t="shared" ref="BZ73:CD73" si="276">BZ65+BZ72</f>
        <v>0</v>
      </c>
      <c r="CA73" s="183">
        <f t="shared" ref="CA73" si="277">CA65+CA72</f>
        <v>0</v>
      </c>
      <c r="CB73" s="183"/>
      <c r="CC73" s="283">
        <f t="shared" si="276"/>
        <v>2686069.3807339808</v>
      </c>
      <c r="CD73" s="183">
        <f t="shared" si="276"/>
        <v>99499.099999999991</v>
      </c>
    </row>
    <row r="74" spans="1:82" s="178" customFormat="1" ht="5.25" customHeight="1">
      <c r="A74" s="179"/>
      <c r="E74" s="183"/>
      <c r="F74" s="183"/>
      <c r="G74" s="183"/>
      <c r="H74" s="183"/>
      <c r="I74" s="183"/>
      <c r="J74" s="183"/>
      <c r="K74" s="183"/>
      <c r="L74" s="183"/>
      <c r="M74" s="183"/>
      <c r="N74" s="183"/>
      <c r="O74" s="183"/>
      <c r="P74" s="183"/>
      <c r="Q74" s="183"/>
      <c r="R74" s="183"/>
      <c r="S74" s="183"/>
      <c r="T74" s="183"/>
      <c r="U74" s="356"/>
      <c r="V74" s="356"/>
      <c r="W74" s="183"/>
      <c r="X74" s="183"/>
      <c r="Y74" s="183"/>
      <c r="Z74" s="356"/>
      <c r="AA74" s="356"/>
      <c r="AB74" s="356"/>
      <c r="AC74" s="356"/>
      <c r="AD74" s="405"/>
      <c r="AE74" s="183"/>
      <c r="AF74" s="183"/>
      <c r="AG74" s="183"/>
      <c r="AH74" s="183"/>
      <c r="AI74" s="183"/>
      <c r="AJ74" s="356"/>
      <c r="AK74" s="356"/>
      <c r="AL74" s="183"/>
      <c r="AM74" s="183"/>
      <c r="AN74" s="183"/>
      <c r="AO74" s="183"/>
      <c r="AP74" s="183"/>
      <c r="AQ74" s="183"/>
      <c r="AR74" s="183"/>
      <c r="AS74" s="183"/>
      <c r="AT74" s="183"/>
      <c r="AU74" s="183"/>
      <c r="AV74" s="183"/>
      <c r="AW74" s="183"/>
      <c r="AX74" s="183"/>
      <c r="AY74" s="183"/>
      <c r="AZ74" s="183"/>
      <c r="BA74" s="183"/>
      <c r="BB74" s="183"/>
      <c r="BC74" s="183"/>
      <c r="BD74" s="183"/>
      <c r="BE74" s="183"/>
      <c r="BF74" s="183"/>
      <c r="BG74" s="183"/>
      <c r="BH74" s="183"/>
      <c r="BI74" s="183"/>
      <c r="BJ74" s="183"/>
      <c r="BK74" s="183"/>
      <c r="BL74" s="312"/>
      <c r="BM74" s="182"/>
      <c r="BN74" s="356"/>
      <c r="BO74" s="356"/>
      <c r="BP74" s="356"/>
      <c r="BQ74" s="356"/>
      <c r="BR74" s="183"/>
      <c r="BS74" s="183"/>
      <c r="BT74" s="183"/>
      <c r="BU74" s="183"/>
      <c r="BV74" s="183"/>
      <c r="BW74" s="183"/>
      <c r="BX74" s="183"/>
      <c r="BY74" s="183"/>
      <c r="BZ74" s="183"/>
      <c r="CA74" s="183"/>
      <c r="CB74" s="183"/>
      <c r="CC74" s="279"/>
      <c r="CD74" s="183"/>
    </row>
    <row r="75" spans="1:82" s="178" customFormat="1">
      <c r="A75" s="180">
        <v>45</v>
      </c>
      <c r="B75" s="178" t="s">
        <v>211</v>
      </c>
      <c r="E75" s="307">
        <f>'ROO INPUT 1.00'!F76</f>
        <v>-399245</v>
      </c>
      <c r="F75" s="186">
        <v>2942</v>
      </c>
      <c r="G75" s="186">
        <v>0</v>
      </c>
      <c r="H75" s="186">
        <v>0</v>
      </c>
      <c r="I75" s="186">
        <v>1685</v>
      </c>
      <c r="J75" s="186">
        <v>0</v>
      </c>
      <c r="K75" s="186">
        <v>0</v>
      </c>
      <c r="L75" s="186">
        <v>0</v>
      </c>
      <c r="M75" s="186">
        <v>0</v>
      </c>
      <c r="N75" s="186">
        <v>0</v>
      </c>
      <c r="O75" s="186">
        <v>0</v>
      </c>
      <c r="P75" s="186">
        <v>0</v>
      </c>
      <c r="Q75" s="186">
        <v>0</v>
      </c>
      <c r="R75" s="186">
        <v>0</v>
      </c>
      <c r="S75" s="186">
        <v>0</v>
      </c>
      <c r="T75" s="186">
        <v>0</v>
      </c>
      <c r="U75" s="361">
        <v>0</v>
      </c>
      <c r="V75" s="361">
        <v>0</v>
      </c>
      <c r="W75" s="186">
        <v>0</v>
      </c>
      <c r="X75" s="186">
        <v>-910</v>
      </c>
      <c r="Y75" s="186">
        <v>0</v>
      </c>
      <c r="Z75" s="361">
        <v>0</v>
      </c>
      <c r="AA75" s="361">
        <v>0</v>
      </c>
      <c r="AB75" s="361">
        <v>0</v>
      </c>
      <c r="AC75" s="361">
        <v>0</v>
      </c>
      <c r="AD75" s="406">
        <f>SUM(E75:AC75)</f>
        <v>-395528</v>
      </c>
      <c r="AE75" s="186">
        <v>0</v>
      </c>
      <c r="AF75" s="186">
        <v>0</v>
      </c>
      <c r="AG75" s="186">
        <v>0</v>
      </c>
      <c r="AH75" s="186">
        <v>0</v>
      </c>
      <c r="AI75" s="186">
        <v>0</v>
      </c>
      <c r="AJ75" s="361">
        <v>0</v>
      </c>
      <c r="AK75" s="361">
        <v>0</v>
      </c>
      <c r="AL75" s="186">
        <v>0</v>
      </c>
      <c r="AM75" s="186">
        <v>0</v>
      </c>
      <c r="AN75" s="186">
        <v>0</v>
      </c>
      <c r="AO75" s="186">
        <v>0</v>
      </c>
      <c r="AP75" s="186">
        <v>0</v>
      </c>
      <c r="AQ75" s="186">
        <v>0</v>
      </c>
      <c r="AR75" s="186">
        <v>0</v>
      </c>
      <c r="AS75" s="186">
        <v>0</v>
      </c>
      <c r="AT75" s="186">
        <v>0</v>
      </c>
      <c r="AU75" s="186">
        <v>-2076</v>
      </c>
      <c r="AV75" s="186">
        <v>0</v>
      </c>
      <c r="AW75" s="186">
        <v>-2147</v>
      </c>
      <c r="AX75" s="186">
        <v>0</v>
      </c>
      <c r="AY75" s="186">
        <v>0</v>
      </c>
      <c r="AZ75" s="186">
        <v>0</v>
      </c>
      <c r="BA75" s="186">
        <v>0</v>
      </c>
      <c r="BB75" s="186">
        <v>0</v>
      </c>
      <c r="BC75" s="186">
        <v>0</v>
      </c>
      <c r="BD75" s="186">
        <v>0</v>
      </c>
      <c r="BE75" s="186">
        <v>-1751</v>
      </c>
      <c r="BF75" s="186"/>
      <c r="BG75" s="186"/>
      <c r="BH75" s="186"/>
      <c r="BI75" s="186"/>
      <c r="BJ75" s="186"/>
      <c r="BK75" s="186"/>
      <c r="BL75" s="314">
        <f>SUM(AD75:BK75)</f>
        <v>-401502</v>
      </c>
      <c r="BM75" s="182"/>
      <c r="BN75" s="361">
        <v>0</v>
      </c>
      <c r="BO75" s="361">
        <v>0</v>
      </c>
      <c r="BP75" s="361">
        <v>0</v>
      </c>
      <c r="BQ75" s="361">
        <v>0</v>
      </c>
      <c r="BR75" s="186">
        <v>0</v>
      </c>
      <c r="BS75" s="186">
        <v>0</v>
      </c>
      <c r="BT75" s="186">
        <v>0</v>
      </c>
      <c r="BU75" s="186">
        <v>0</v>
      </c>
      <c r="BV75" s="186">
        <v>-6263</v>
      </c>
      <c r="BW75" s="186">
        <v>0</v>
      </c>
      <c r="BX75" s="186">
        <v>0</v>
      </c>
      <c r="BY75" s="186">
        <v>0</v>
      </c>
      <c r="BZ75" s="186">
        <v>0</v>
      </c>
      <c r="CA75" s="186">
        <v>0</v>
      </c>
      <c r="CB75" s="186"/>
      <c r="CC75" s="281">
        <f>SUM(BL75:CB75)</f>
        <v>-407765</v>
      </c>
      <c r="CD75" s="430">
        <f>CC75-BL75</f>
        <v>-6263</v>
      </c>
    </row>
    <row r="76" spans="1:82" s="178" customFormat="1">
      <c r="A76" s="180">
        <v>46</v>
      </c>
      <c r="C76" s="178" t="s">
        <v>521</v>
      </c>
      <c r="E76" s="183">
        <f>SUM(E73:E75)</f>
        <v>1973683.2999999998</v>
      </c>
      <c r="F76" s="183">
        <f t="shared" ref="F76:AO76" si="278">SUM(F73:F75)</f>
        <v>2942</v>
      </c>
      <c r="G76" s="183">
        <f t="shared" si="278"/>
        <v>0</v>
      </c>
      <c r="H76" s="183">
        <f t="shared" si="278"/>
        <v>0</v>
      </c>
      <c r="I76" s="183">
        <f t="shared" ref="I76" si="279">SUM(I73:I75)</f>
        <v>-24893</v>
      </c>
      <c r="J76" s="183">
        <f t="shared" si="278"/>
        <v>0</v>
      </c>
      <c r="K76" s="183">
        <f t="shared" ref="K76" si="280">SUM(K73:K75)</f>
        <v>0</v>
      </c>
      <c r="L76" s="183">
        <f t="shared" si="278"/>
        <v>0</v>
      </c>
      <c r="M76" s="183">
        <f t="shared" si="278"/>
        <v>0</v>
      </c>
      <c r="N76" s="183">
        <f t="shared" si="278"/>
        <v>0</v>
      </c>
      <c r="O76" s="183">
        <f t="shared" si="278"/>
        <v>0</v>
      </c>
      <c r="P76" s="183">
        <f t="shared" si="278"/>
        <v>0</v>
      </c>
      <c r="Q76" s="183">
        <f t="shared" si="278"/>
        <v>0</v>
      </c>
      <c r="R76" s="183">
        <f t="shared" si="278"/>
        <v>0</v>
      </c>
      <c r="S76" s="183">
        <f t="shared" si="278"/>
        <v>0</v>
      </c>
      <c r="T76" s="183">
        <f t="shared" ref="T76" si="281">SUM(T73:T75)</f>
        <v>0</v>
      </c>
      <c r="U76" s="356">
        <f>SUM(U73:U75)</f>
        <v>0</v>
      </c>
      <c r="V76" s="356">
        <f t="shared" ref="V76" si="282">SUM(V73:V75)</f>
        <v>0</v>
      </c>
      <c r="W76" s="183">
        <f>SUM(W73:W75)</f>
        <v>0</v>
      </c>
      <c r="X76" s="183">
        <f>SUM(X73:X75)</f>
        <v>53929.599999999999</v>
      </c>
      <c r="Y76" s="183">
        <f>SUM(Y73:Y75)</f>
        <v>0</v>
      </c>
      <c r="Z76" s="356">
        <f>SUM(Z73:Z75)</f>
        <v>0</v>
      </c>
      <c r="AA76" s="356">
        <f t="shared" ref="AA76" si="283">SUM(AA73:AA75)</f>
        <v>0</v>
      </c>
      <c r="AB76" s="356">
        <f t="shared" ref="AB76" si="284">SUM(AB73:AB75)</f>
        <v>0</v>
      </c>
      <c r="AC76" s="356">
        <f>SUM(AC73:AC75)</f>
        <v>0</v>
      </c>
      <c r="AD76" s="405">
        <f t="shared" si="278"/>
        <v>2005661.8999999994</v>
      </c>
      <c r="AE76" s="183">
        <f>SUM(AE73:AE75)</f>
        <v>0</v>
      </c>
      <c r="AF76" s="183">
        <f t="shared" ref="AF76" si="285">SUM(AF73:AF75)</f>
        <v>0</v>
      </c>
      <c r="AG76" s="183">
        <f t="shared" ref="AG76" si="286">SUM(AG73:AG75)</f>
        <v>0</v>
      </c>
      <c r="AH76" s="183">
        <f t="shared" ref="AH76:AJ76" si="287">SUM(AH73:AH75)</f>
        <v>0</v>
      </c>
      <c r="AI76" s="183">
        <f t="shared" si="287"/>
        <v>0</v>
      </c>
      <c r="AJ76" s="356">
        <f t="shared" si="287"/>
        <v>0</v>
      </c>
      <c r="AK76" s="356">
        <f t="shared" ref="AK76:AL76" si="288">SUM(AK73:AK75)</f>
        <v>0</v>
      </c>
      <c r="AL76" s="183">
        <f t="shared" si="288"/>
        <v>0</v>
      </c>
      <c r="AM76" s="183">
        <f t="shared" ref="AM76:AN76" si="289">SUM(AM73:AM75)</f>
        <v>0</v>
      </c>
      <c r="AN76" s="183">
        <f t="shared" si="289"/>
        <v>0</v>
      </c>
      <c r="AO76" s="183">
        <f t="shared" si="278"/>
        <v>0</v>
      </c>
      <c r="AP76" s="183">
        <f>SUM(AP73:AP75)</f>
        <v>0</v>
      </c>
      <c r="AQ76" s="183">
        <f>SUM(AQ73:AQ75)</f>
        <v>0</v>
      </c>
      <c r="AR76" s="183">
        <f>SUM(AR73:AR75)</f>
        <v>0</v>
      </c>
      <c r="AS76" s="183">
        <f t="shared" ref="AS76" si="290">SUM(AS73:AS75)</f>
        <v>0</v>
      </c>
      <c r="AT76" s="183">
        <f t="shared" ref="AT76" si="291">SUM(AT73:AT75)</f>
        <v>0</v>
      </c>
      <c r="AU76" s="183">
        <f>SUM(AU73:AU75)</f>
        <v>83421.310559021265</v>
      </c>
      <c r="AV76" s="183">
        <f t="shared" ref="AV76:AX76" si="292">SUM(AV73:AV75)</f>
        <v>0</v>
      </c>
      <c r="AW76" s="183">
        <f t="shared" si="292"/>
        <v>70224.200000000012</v>
      </c>
      <c r="AX76" s="183">
        <f t="shared" si="292"/>
        <v>0</v>
      </c>
      <c r="AY76" s="183">
        <f t="shared" ref="AY76:AZ76" si="293">SUM(AY73:AY75)</f>
        <v>0</v>
      </c>
      <c r="AZ76" s="183">
        <f t="shared" si="293"/>
        <v>0</v>
      </c>
      <c r="BA76" s="183">
        <f t="shared" ref="BA76:BD76" si="294">SUM(BA73:BA75)</f>
        <v>0</v>
      </c>
      <c r="BB76" s="183">
        <f t="shared" si="294"/>
        <v>0</v>
      </c>
      <c r="BC76" s="183">
        <f t="shared" si="294"/>
        <v>0</v>
      </c>
      <c r="BD76" s="183">
        <f t="shared" si="294"/>
        <v>0</v>
      </c>
      <c r="BE76" s="183">
        <f>SUM(BE73:BE75)</f>
        <v>25760.870174959498</v>
      </c>
      <c r="BF76" s="183">
        <f>SUM(BF73:BF75)</f>
        <v>0</v>
      </c>
      <c r="BG76" s="183"/>
      <c r="BH76" s="183"/>
      <c r="BI76" s="183"/>
      <c r="BJ76" s="183"/>
      <c r="BK76" s="183"/>
      <c r="BL76" s="312">
        <f t="shared" ref="BL76" si="295">SUM(BL73:BL75)</f>
        <v>2185068.2807339802</v>
      </c>
      <c r="BM76" s="182"/>
      <c r="BN76" s="356">
        <f t="shared" ref="BN76" si="296">SUM(BN73:BN75)</f>
        <v>0</v>
      </c>
      <c r="BO76" s="356">
        <f t="shared" ref="BO76:BP76" si="297">SUM(BO73:BO75)</f>
        <v>0</v>
      </c>
      <c r="BP76" s="356">
        <f t="shared" si="297"/>
        <v>0</v>
      </c>
      <c r="BQ76" s="356">
        <f>SUM(BQ73:BQ75)</f>
        <v>0</v>
      </c>
      <c r="BR76" s="183">
        <f t="shared" ref="BR76" si="298">SUM(BR73:BR75)</f>
        <v>0</v>
      </c>
      <c r="BS76" s="183">
        <f t="shared" ref="BS76" si="299">SUM(BS73:BS75)</f>
        <v>0</v>
      </c>
      <c r="BT76" s="183">
        <f>SUM(BT73:BT75)</f>
        <v>0</v>
      </c>
      <c r="BU76" s="183">
        <f>SUM(BU73:BU75)</f>
        <v>0</v>
      </c>
      <c r="BV76" s="183">
        <f>SUM(BV73:BV75)</f>
        <v>93236.1</v>
      </c>
      <c r="BW76" s="183">
        <f>SUM(BW73:BW75)</f>
        <v>0</v>
      </c>
      <c r="BX76" s="183">
        <f>SUM(BX73:BX75)</f>
        <v>0</v>
      </c>
      <c r="BY76" s="183">
        <f t="shared" ref="BY76" si="300">SUM(BY73:BY75)</f>
        <v>0</v>
      </c>
      <c r="BZ76" s="183">
        <f>SUM(BZ73:BZ75)</f>
        <v>0</v>
      </c>
      <c r="CA76" s="183">
        <f>SUM(CA73:CA75)</f>
        <v>0</v>
      </c>
      <c r="CB76" s="183"/>
      <c r="CC76" s="279">
        <f t="shared" ref="CC76:CD76" si="301">SUM(CC73:CC75)</f>
        <v>2278304.3807339808</v>
      </c>
      <c r="CD76" s="183">
        <f t="shared" si="301"/>
        <v>93236.099999999991</v>
      </c>
    </row>
    <row r="77" spans="1:82" s="178" customFormat="1">
      <c r="A77" s="179">
        <v>47</v>
      </c>
      <c r="B77" s="178" t="s">
        <v>578</v>
      </c>
      <c r="E77" s="178">
        <f>'ROO INPUT 1.00'!F78</f>
        <v>31540.5</v>
      </c>
      <c r="F77" s="183">
        <v>0</v>
      </c>
      <c r="G77" s="183">
        <v>0</v>
      </c>
      <c r="H77" s="183">
        <v>0</v>
      </c>
      <c r="I77" s="183">
        <v>15</v>
      </c>
      <c r="J77" s="183">
        <v>0</v>
      </c>
      <c r="K77" s="183">
        <v>0</v>
      </c>
      <c r="L77" s="183">
        <v>0</v>
      </c>
      <c r="M77" s="183">
        <v>0</v>
      </c>
      <c r="N77" s="183">
        <v>0</v>
      </c>
      <c r="O77" s="183">
        <v>0</v>
      </c>
      <c r="P77" s="183">
        <v>0</v>
      </c>
      <c r="Q77" s="183">
        <v>0</v>
      </c>
      <c r="R77" s="183">
        <v>0</v>
      </c>
      <c r="S77" s="183">
        <v>0</v>
      </c>
      <c r="T77" s="183">
        <v>0</v>
      </c>
      <c r="U77" s="356">
        <v>0</v>
      </c>
      <c r="V77" s="356">
        <v>0</v>
      </c>
      <c r="W77" s="183">
        <v>0</v>
      </c>
      <c r="X77" s="183">
        <v>0</v>
      </c>
      <c r="Y77" s="183">
        <v>0</v>
      </c>
      <c r="Z77" s="356">
        <v>0</v>
      </c>
      <c r="AA77" s="356">
        <v>0</v>
      </c>
      <c r="AB77" s="356">
        <v>0</v>
      </c>
      <c r="AC77" s="356">
        <v>0</v>
      </c>
      <c r="AD77" s="405">
        <f>SUM(E77:AC77)</f>
        <v>31555.5</v>
      </c>
      <c r="AE77" s="183">
        <v>0</v>
      </c>
      <c r="AF77" s="183">
        <v>0</v>
      </c>
      <c r="AG77" s="183">
        <v>0</v>
      </c>
      <c r="AH77" s="183">
        <v>0</v>
      </c>
      <c r="AI77" s="183"/>
      <c r="AJ77" s="356">
        <v>-7529</v>
      </c>
      <c r="AK77" s="356">
        <v>0</v>
      </c>
      <c r="AL77" s="183">
        <v>0</v>
      </c>
      <c r="AM77" s="183">
        <v>0</v>
      </c>
      <c r="AN77" s="183">
        <v>0</v>
      </c>
      <c r="AO77" s="183">
        <v>0</v>
      </c>
      <c r="AP77" s="183">
        <v>0</v>
      </c>
      <c r="AQ77" s="183">
        <v>0</v>
      </c>
      <c r="AR77" s="183">
        <v>0</v>
      </c>
      <c r="AS77" s="183">
        <v>0</v>
      </c>
      <c r="AT77" s="183">
        <v>0</v>
      </c>
      <c r="AU77" s="183">
        <v>0</v>
      </c>
      <c r="AV77" s="183">
        <v>0</v>
      </c>
      <c r="AW77" s="183">
        <v>0</v>
      </c>
      <c r="AX77" s="183">
        <v>0</v>
      </c>
      <c r="AY77" s="183">
        <v>0</v>
      </c>
      <c r="AZ77" s="183">
        <v>0</v>
      </c>
      <c r="BA77" s="183">
        <v>0</v>
      </c>
      <c r="BB77" s="183">
        <v>0</v>
      </c>
      <c r="BC77" s="183">
        <v>0</v>
      </c>
      <c r="BD77" s="183">
        <v>0</v>
      </c>
      <c r="BE77" s="183">
        <v>0</v>
      </c>
      <c r="BF77" s="183">
        <v>0</v>
      </c>
      <c r="BG77" s="183"/>
      <c r="BH77" s="183"/>
      <c r="BI77" s="183"/>
      <c r="BJ77" s="183"/>
      <c r="BK77" s="183"/>
      <c r="BL77" s="312">
        <f>SUM(AD77:BK77)</f>
        <v>24026.5</v>
      </c>
      <c r="BM77" s="182"/>
      <c r="BN77" s="356">
        <v>0</v>
      </c>
      <c r="BO77" s="356">
        <v>0</v>
      </c>
      <c r="BP77" s="356">
        <v>-2992</v>
      </c>
      <c r="BQ77" s="356">
        <v>0</v>
      </c>
      <c r="BR77" s="183">
        <v>0</v>
      </c>
      <c r="BS77" s="183">
        <v>0</v>
      </c>
      <c r="BT77" s="183">
        <v>0</v>
      </c>
      <c r="BU77" s="183">
        <v>0</v>
      </c>
      <c r="BV77" s="183">
        <v>0</v>
      </c>
      <c r="BW77" s="183">
        <v>0</v>
      </c>
      <c r="BX77" s="183">
        <v>0</v>
      </c>
      <c r="BY77" s="183">
        <v>0</v>
      </c>
      <c r="BZ77" s="183">
        <v>0</v>
      </c>
      <c r="CA77" s="183">
        <v>0</v>
      </c>
      <c r="CB77" s="183"/>
      <c r="CC77" s="279">
        <f>SUM(BL77:CB77)</f>
        <v>21034.5</v>
      </c>
      <c r="CD77" s="431">
        <f>CC77-BL77</f>
        <v>-2992</v>
      </c>
    </row>
    <row r="78" spans="1:82" s="178" customFormat="1">
      <c r="A78" s="179">
        <v>48</v>
      </c>
      <c r="B78" s="178" t="s">
        <v>240</v>
      </c>
      <c r="E78" s="307">
        <f>'ROO INPUT 1.00'!F79</f>
        <v>103961</v>
      </c>
      <c r="F78" s="186">
        <v>0</v>
      </c>
      <c r="G78" s="186">
        <v>0</v>
      </c>
      <c r="H78" s="186">
        <v>-3239</v>
      </c>
      <c r="I78" s="186">
        <v>0</v>
      </c>
      <c r="J78" s="186">
        <v>0</v>
      </c>
      <c r="K78" s="186">
        <v>0</v>
      </c>
      <c r="L78" s="186">
        <v>0</v>
      </c>
      <c r="M78" s="186">
        <v>0</v>
      </c>
      <c r="N78" s="186">
        <v>0</v>
      </c>
      <c r="O78" s="186">
        <v>0</v>
      </c>
      <c r="P78" s="186">
        <v>0</v>
      </c>
      <c r="Q78" s="186">
        <v>0</v>
      </c>
      <c r="R78" s="186">
        <v>0</v>
      </c>
      <c r="S78" s="186">
        <v>0</v>
      </c>
      <c r="T78" s="186">
        <v>0</v>
      </c>
      <c r="U78" s="361">
        <v>0</v>
      </c>
      <c r="V78" s="361">
        <v>0</v>
      </c>
      <c r="W78" s="186">
        <v>0</v>
      </c>
      <c r="X78" s="186">
        <v>0</v>
      </c>
      <c r="Y78" s="186">
        <v>0</v>
      </c>
      <c r="Z78" s="361">
        <v>0</v>
      </c>
      <c r="AA78" s="361">
        <v>0</v>
      </c>
      <c r="AB78" s="361">
        <v>0</v>
      </c>
      <c r="AC78" s="361">
        <v>0</v>
      </c>
      <c r="AD78" s="406">
        <f>SUM(E78:AC78)</f>
        <v>100722</v>
      </c>
      <c r="AE78" s="186">
        <v>0</v>
      </c>
      <c r="AF78" s="186">
        <v>0</v>
      </c>
      <c r="AG78" s="186">
        <v>0</v>
      </c>
      <c r="AH78" s="186">
        <v>0</v>
      </c>
      <c r="AI78" s="186">
        <v>0</v>
      </c>
      <c r="AJ78" s="361">
        <v>0</v>
      </c>
      <c r="AK78" s="361">
        <v>0</v>
      </c>
      <c r="AL78" s="186">
        <v>0</v>
      </c>
      <c r="AM78" s="186">
        <v>0</v>
      </c>
      <c r="AN78" s="186">
        <v>0</v>
      </c>
      <c r="AO78" s="186">
        <v>0</v>
      </c>
      <c r="AP78" s="186">
        <v>0</v>
      </c>
      <c r="AQ78" s="186">
        <v>0</v>
      </c>
      <c r="AR78" s="186">
        <v>0</v>
      </c>
      <c r="AS78" s="186">
        <v>0</v>
      </c>
      <c r="AT78" s="186">
        <v>0</v>
      </c>
      <c r="AU78" s="186">
        <v>0</v>
      </c>
      <c r="AV78" s="186">
        <v>0</v>
      </c>
      <c r="AW78" s="186">
        <v>0</v>
      </c>
      <c r="AX78" s="186">
        <v>0</v>
      </c>
      <c r="AY78" s="186">
        <v>0</v>
      </c>
      <c r="AZ78" s="186">
        <v>0</v>
      </c>
      <c r="BA78" s="186">
        <v>0</v>
      </c>
      <c r="BB78" s="186">
        <v>0</v>
      </c>
      <c r="BC78" s="186">
        <v>0</v>
      </c>
      <c r="BD78" s="186">
        <v>0</v>
      </c>
      <c r="BE78" s="186">
        <v>0</v>
      </c>
      <c r="BF78" s="186">
        <v>0</v>
      </c>
      <c r="BG78" s="186"/>
      <c r="BH78" s="186"/>
      <c r="BI78" s="186"/>
      <c r="BJ78" s="186"/>
      <c r="BK78" s="186"/>
      <c r="BL78" s="314">
        <f>SUM(AD78:BK78)</f>
        <v>100722</v>
      </c>
      <c r="BM78" s="182"/>
      <c r="BN78" s="361">
        <v>0</v>
      </c>
      <c r="BO78" s="361">
        <v>0</v>
      </c>
      <c r="BP78" s="361">
        <v>0</v>
      </c>
      <c r="BQ78" s="361">
        <v>0</v>
      </c>
      <c r="BR78" s="186">
        <v>0</v>
      </c>
      <c r="BS78" s="186">
        <v>0</v>
      </c>
      <c r="BT78" s="186">
        <v>0</v>
      </c>
      <c r="BU78" s="186">
        <v>0</v>
      </c>
      <c r="BV78" s="186">
        <v>0</v>
      </c>
      <c r="BW78" s="186">
        <v>0</v>
      </c>
      <c r="BX78" s="186">
        <v>0</v>
      </c>
      <c r="BY78" s="186">
        <v>0</v>
      </c>
      <c r="BZ78" s="186">
        <v>0</v>
      </c>
      <c r="CA78" s="186">
        <v>0</v>
      </c>
      <c r="CB78" s="186"/>
      <c r="CC78" s="281">
        <f>SUM(BL78:CB78)</f>
        <v>100722</v>
      </c>
      <c r="CD78" s="430">
        <f>CC78-BL78</f>
        <v>0</v>
      </c>
    </row>
    <row r="79" spans="1:82" s="178" customFormat="1" ht="7.5" customHeight="1">
      <c r="A79" s="180"/>
      <c r="E79" s="183"/>
      <c r="F79" s="183"/>
      <c r="G79" s="183"/>
      <c r="H79" s="183"/>
      <c r="I79" s="183"/>
      <c r="J79" s="183"/>
      <c r="K79" s="183"/>
      <c r="L79" s="183"/>
      <c r="M79" s="183"/>
      <c r="N79" s="183"/>
      <c r="O79" s="183"/>
      <c r="P79" s="183"/>
      <c r="Q79" s="183"/>
      <c r="R79" s="183"/>
      <c r="S79" s="183"/>
      <c r="T79" s="183"/>
      <c r="U79" s="356"/>
      <c r="V79" s="356"/>
      <c r="W79" s="183"/>
      <c r="X79" s="183"/>
      <c r="Y79" s="183"/>
      <c r="Z79" s="356"/>
      <c r="AA79" s="356"/>
      <c r="AB79" s="356"/>
      <c r="AC79" s="356"/>
      <c r="AD79" s="397"/>
      <c r="AE79" s="183"/>
      <c r="AF79" s="183"/>
      <c r="AG79" s="183"/>
      <c r="AH79" s="183"/>
      <c r="AI79" s="183"/>
      <c r="AJ79" s="356"/>
      <c r="AK79" s="356"/>
      <c r="AL79" s="183"/>
      <c r="AM79" s="183"/>
      <c r="AN79" s="183"/>
      <c r="AO79" s="183"/>
      <c r="AP79" s="183"/>
      <c r="AQ79" s="183"/>
      <c r="AR79" s="183"/>
      <c r="AS79" s="183"/>
      <c r="AT79" s="183"/>
      <c r="AU79" s="183"/>
      <c r="AV79" s="183"/>
      <c r="AW79" s="183"/>
      <c r="AX79" s="183"/>
      <c r="AY79" s="183"/>
      <c r="AZ79" s="183"/>
      <c r="BA79" s="183"/>
      <c r="BB79" s="183"/>
      <c r="BC79" s="183"/>
      <c r="BD79" s="183"/>
      <c r="BE79" s="183"/>
      <c r="BF79" s="183"/>
      <c r="BG79" s="183"/>
      <c r="BH79" s="183"/>
      <c r="BI79" s="183"/>
      <c r="BJ79" s="183"/>
      <c r="BK79" s="183"/>
      <c r="BL79" s="312"/>
      <c r="BM79" s="182"/>
      <c r="BN79" s="356"/>
      <c r="BO79" s="356"/>
      <c r="BP79" s="356"/>
      <c r="BQ79" s="356"/>
      <c r="BR79" s="183"/>
      <c r="BS79" s="183"/>
      <c r="BT79" s="183"/>
      <c r="BU79" s="183"/>
      <c r="BV79" s="183"/>
      <c r="BW79" s="183"/>
      <c r="BX79" s="183"/>
      <c r="BY79" s="183"/>
      <c r="BZ79" s="183"/>
      <c r="CA79" s="183"/>
      <c r="CB79" s="183"/>
      <c r="CC79" s="279"/>
      <c r="CD79" s="183"/>
    </row>
    <row r="80" spans="1:82" s="177" customFormat="1" ht="13.5" customHeight="1" thickBot="1">
      <c r="A80" s="176">
        <v>49</v>
      </c>
      <c r="B80" s="177" t="s">
        <v>212</v>
      </c>
      <c r="E80" s="229">
        <f t="shared" ref="E80:AO80" si="302">SUM(E76:E78)</f>
        <v>2109184.7999999998</v>
      </c>
      <c r="F80" s="189">
        <f t="shared" si="302"/>
        <v>2942</v>
      </c>
      <c r="G80" s="189">
        <f t="shared" si="302"/>
        <v>0</v>
      </c>
      <c r="H80" s="189">
        <f t="shared" si="302"/>
        <v>-3239</v>
      </c>
      <c r="I80" s="189">
        <f t="shared" ref="I80" si="303">SUM(I76:I78)</f>
        <v>-24878</v>
      </c>
      <c r="J80" s="189">
        <f t="shared" si="302"/>
        <v>0</v>
      </c>
      <c r="K80" s="189">
        <f t="shared" si="302"/>
        <v>0</v>
      </c>
      <c r="L80" s="189">
        <f t="shared" si="302"/>
        <v>0</v>
      </c>
      <c r="M80" s="189">
        <f t="shared" si="302"/>
        <v>0</v>
      </c>
      <c r="N80" s="189">
        <f t="shared" si="302"/>
        <v>0</v>
      </c>
      <c r="O80" s="189">
        <f t="shared" si="302"/>
        <v>0</v>
      </c>
      <c r="P80" s="189">
        <f t="shared" si="302"/>
        <v>0</v>
      </c>
      <c r="Q80" s="189">
        <f t="shared" si="302"/>
        <v>0</v>
      </c>
      <c r="R80" s="189">
        <f t="shared" si="302"/>
        <v>0</v>
      </c>
      <c r="S80" s="189">
        <f t="shared" si="302"/>
        <v>0</v>
      </c>
      <c r="T80" s="189">
        <f>SUM(T76:T78)</f>
        <v>0</v>
      </c>
      <c r="U80" s="362">
        <f>SUM(U76:U78)</f>
        <v>0</v>
      </c>
      <c r="V80" s="362">
        <f>SUM(V76:V78)</f>
        <v>0</v>
      </c>
      <c r="W80" s="189">
        <f>SUM(W76:W78)</f>
        <v>0</v>
      </c>
      <c r="X80" s="229">
        <f>SUM(X76:X78)</f>
        <v>53929.599999999999</v>
      </c>
      <c r="Y80" s="189">
        <f t="shared" si="302"/>
        <v>0</v>
      </c>
      <c r="Z80" s="362">
        <f t="shared" si="302"/>
        <v>0</v>
      </c>
      <c r="AA80" s="362">
        <f t="shared" ref="AA80" si="304">SUM(AA76:AA78)</f>
        <v>0</v>
      </c>
      <c r="AB80" s="362">
        <f t="shared" ref="AB80:AC80" si="305">SUM(AB76:AB78)</f>
        <v>0</v>
      </c>
      <c r="AC80" s="362">
        <f t="shared" si="305"/>
        <v>0</v>
      </c>
      <c r="AD80" s="408">
        <f t="shared" si="302"/>
        <v>2137939.3999999994</v>
      </c>
      <c r="AE80" s="189">
        <f>SUM(AE76:AE78)</f>
        <v>0</v>
      </c>
      <c r="AF80" s="189">
        <f t="shared" ref="AF80" si="306">SUM(AF76:AF78)</f>
        <v>0</v>
      </c>
      <c r="AG80" s="189">
        <f t="shared" ref="AG80" si="307">SUM(AG76:AG78)</f>
        <v>0</v>
      </c>
      <c r="AH80" s="229">
        <f t="shared" ref="AH80:AJ80" si="308">SUM(AH76:AH78)</f>
        <v>0</v>
      </c>
      <c r="AI80" s="229">
        <f t="shared" si="308"/>
        <v>0</v>
      </c>
      <c r="AJ80" s="362">
        <f t="shared" si="308"/>
        <v>-7529</v>
      </c>
      <c r="AK80" s="362">
        <f t="shared" ref="AK80:AL80" si="309">SUM(AK76:AK78)</f>
        <v>0</v>
      </c>
      <c r="AL80" s="189">
        <f t="shared" si="309"/>
        <v>0</v>
      </c>
      <c r="AM80" s="189">
        <f t="shared" ref="AM80:AN80" si="310">SUM(AM76:AM78)</f>
        <v>0</v>
      </c>
      <c r="AN80" s="189">
        <f t="shared" si="310"/>
        <v>0</v>
      </c>
      <c r="AO80" s="189">
        <f t="shared" si="302"/>
        <v>0</v>
      </c>
      <c r="AP80" s="189">
        <f>SUM(AP76:AP78)</f>
        <v>0</v>
      </c>
      <c r="AQ80" s="189">
        <f>SUM(AQ76:AQ78)</f>
        <v>0</v>
      </c>
      <c r="AR80" s="189">
        <f t="shared" ref="AR80:AT80" si="311">SUM(AR76:AR78)</f>
        <v>0</v>
      </c>
      <c r="AS80" s="189">
        <f t="shared" si="311"/>
        <v>0</v>
      </c>
      <c r="AT80" s="189">
        <f t="shared" si="311"/>
        <v>0</v>
      </c>
      <c r="AU80" s="189">
        <f>SUM(AU76:AU78)</f>
        <v>83421.310559021265</v>
      </c>
      <c r="AV80" s="189">
        <f t="shared" ref="AV80:AX80" si="312">SUM(AV76:AV78)</f>
        <v>0</v>
      </c>
      <c r="AW80" s="189">
        <f t="shared" si="312"/>
        <v>70224.200000000012</v>
      </c>
      <c r="AX80" s="189">
        <f t="shared" si="312"/>
        <v>0</v>
      </c>
      <c r="AY80" s="189">
        <f t="shared" ref="AY80:AZ80" si="313">SUM(AY76:AY78)</f>
        <v>0</v>
      </c>
      <c r="AZ80" s="189">
        <f t="shared" si="313"/>
        <v>0</v>
      </c>
      <c r="BA80" s="189">
        <f t="shared" ref="BA80:BE80" si="314">SUM(BA76:BA78)</f>
        <v>0</v>
      </c>
      <c r="BB80" s="189">
        <f t="shared" si="314"/>
        <v>0</v>
      </c>
      <c r="BC80" s="189">
        <f t="shared" si="314"/>
        <v>0</v>
      </c>
      <c r="BD80" s="189">
        <f t="shared" si="314"/>
        <v>0</v>
      </c>
      <c r="BE80" s="189">
        <f t="shared" si="314"/>
        <v>25760.870174959498</v>
      </c>
      <c r="BF80" s="189">
        <f>SUM(BF76:BF78)</f>
        <v>0</v>
      </c>
      <c r="BG80" s="189"/>
      <c r="BH80" s="189"/>
      <c r="BI80" s="189"/>
      <c r="BJ80" s="189"/>
      <c r="BK80" s="189"/>
      <c r="BL80" s="315">
        <f t="shared" ref="BL80" si="315">SUM(BL76:BL78)</f>
        <v>2309816.7807339802</v>
      </c>
      <c r="BM80" s="182"/>
      <c r="BN80" s="362">
        <f>SUM(BN76:BN78)</f>
        <v>0</v>
      </c>
      <c r="BO80" s="362">
        <f>SUM(BO76:BO78)</f>
        <v>0</v>
      </c>
      <c r="BP80" s="362">
        <f>SUM(BP76:BP78)</f>
        <v>-2992</v>
      </c>
      <c r="BQ80" s="362">
        <f>SUM(BQ76:BQ78)</f>
        <v>0</v>
      </c>
      <c r="BR80" s="189">
        <f t="shared" ref="BR80" si="316">SUM(BR76:BR78)</f>
        <v>0</v>
      </c>
      <c r="BS80" s="189">
        <f>SUM(BS76:BS78)</f>
        <v>0</v>
      </c>
      <c r="BT80" s="189">
        <f t="shared" ref="BT80:BU80" si="317">SUM(BT76:BT78)</f>
        <v>0</v>
      </c>
      <c r="BU80" s="189">
        <f t="shared" si="317"/>
        <v>0</v>
      </c>
      <c r="BV80" s="189">
        <f>SUM(BV76:BV78)</f>
        <v>93236.1</v>
      </c>
      <c r="BW80" s="189">
        <f>SUM(BW76:BW78)</f>
        <v>0</v>
      </c>
      <c r="BX80" s="189">
        <f>SUM(BX76:BX78)</f>
        <v>0</v>
      </c>
      <c r="BY80" s="189">
        <f t="shared" ref="BY80" si="318">SUM(BY76:BY78)</f>
        <v>0</v>
      </c>
      <c r="BZ80" s="189">
        <f t="shared" ref="BZ80" si="319">SUM(BZ76:BZ78)</f>
        <v>0</v>
      </c>
      <c r="CA80" s="189">
        <f t="shared" ref="CA80" si="320">SUM(CA76:CA78)</f>
        <v>0</v>
      </c>
      <c r="CB80" s="189"/>
      <c r="CC80" s="282">
        <f t="shared" ref="CC80" si="321">SUM(CC76:CC78)</f>
        <v>2400060.8807339808</v>
      </c>
      <c r="CD80" s="189">
        <f>SUM(CD76:CD78)</f>
        <v>90244.099999999991</v>
      </c>
    </row>
    <row r="81" spans="1:82" ht="18" customHeight="1" thickTop="1">
      <c r="A81" s="176">
        <v>50</v>
      </c>
      <c r="B81" s="167" t="s">
        <v>579</v>
      </c>
      <c r="E81" s="181">
        <f>ROUND(E56/E80,4)</f>
        <v>5.9400000000000001E-2</v>
      </c>
      <c r="F81" s="187"/>
      <c r="G81" s="187"/>
      <c r="H81" s="187"/>
      <c r="I81" s="187"/>
      <c r="J81" s="187"/>
      <c r="K81" s="187"/>
      <c r="L81" s="187"/>
      <c r="M81" s="187"/>
      <c r="N81" s="187"/>
      <c r="O81" s="187"/>
      <c r="P81" s="187"/>
      <c r="Q81" s="187"/>
      <c r="R81" s="187"/>
      <c r="S81" s="187"/>
      <c r="V81" s="373"/>
      <c r="AA81" s="373"/>
      <c r="AD81" s="161" t="s">
        <v>575</v>
      </c>
      <c r="AR81" s="393"/>
      <c r="AT81" s="393"/>
      <c r="BE81" s="393"/>
      <c r="BF81" s="393"/>
      <c r="BG81" s="393"/>
      <c r="BH81" s="393"/>
      <c r="BI81" s="393"/>
      <c r="BJ81" s="393"/>
      <c r="BK81" s="393"/>
      <c r="BT81" s="393"/>
      <c r="BU81" s="393"/>
      <c r="BV81" s="393"/>
      <c r="BW81" s="393"/>
      <c r="BX81" s="393"/>
      <c r="BZ81" s="393"/>
      <c r="CA81" s="393"/>
      <c r="CB81" s="393"/>
      <c r="CD81" s="393"/>
    </row>
    <row r="82" spans="1:82">
      <c r="A82" s="168">
        <v>51</v>
      </c>
      <c r="B82" s="167" t="s">
        <v>576</v>
      </c>
      <c r="E82" s="187">
        <f t="shared" ref="E82:J82" si="322">E88</f>
        <v>46914.553582819375</v>
      </c>
      <c r="F82" s="187">
        <f t="shared" si="322"/>
        <v>276.43023867743995</v>
      </c>
      <c r="G82" s="187">
        <f t="shared" si="322"/>
        <v>0</v>
      </c>
      <c r="H82" s="187">
        <f t="shared" si="322"/>
        <v>-304.33635046778647</v>
      </c>
      <c r="I82" s="187">
        <f t="shared" si="322"/>
        <v>-278.75722145439096</v>
      </c>
      <c r="J82" s="187">
        <f t="shared" si="322"/>
        <v>-67.191154582181582</v>
      </c>
      <c r="K82" s="187">
        <f t="shared" ref="K82" si="323">K88</f>
        <v>1425.7123112906654</v>
      </c>
      <c r="L82" s="187">
        <f t="shared" ref="L82:S82" si="324">L88</f>
        <v>957.47395279608759</v>
      </c>
      <c r="M82" s="187">
        <f t="shared" si="324"/>
        <v>875.58473314905382</v>
      </c>
      <c r="N82" s="187">
        <f t="shared" si="324"/>
        <v>-330.70646395917498</v>
      </c>
      <c r="O82" s="187">
        <f t="shared" si="324"/>
        <v>-277.74824580055281</v>
      </c>
      <c r="P82" s="187">
        <f t="shared" si="324"/>
        <v>-34.645439081437381</v>
      </c>
      <c r="Q82" s="187">
        <f t="shared" si="324"/>
        <v>-60.891983840102057</v>
      </c>
      <c r="R82" s="187">
        <f t="shared" si="324"/>
        <v>-71.390601743567927</v>
      </c>
      <c r="S82" s="187">
        <f t="shared" si="324"/>
        <v>1463.5073357431427</v>
      </c>
      <c r="T82" s="187">
        <f t="shared" ref="T82" si="325">T88</f>
        <v>-3.1495853710384081</v>
      </c>
      <c r="U82" s="365">
        <f t="shared" ref="U82:Z82" si="326">U88</f>
        <v>-1361.6707420795237</v>
      </c>
      <c r="V82" s="365">
        <f t="shared" si="326"/>
        <v>830.08897246438448</v>
      </c>
      <c r="W82" s="187">
        <f t="shared" si="326"/>
        <v>300.34020837763126</v>
      </c>
      <c r="X82" s="187">
        <f t="shared" si="326"/>
        <v>5067.223725281734</v>
      </c>
      <c r="Y82" s="187">
        <f t="shared" si="326"/>
        <v>41383.159685307248</v>
      </c>
      <c r="Z82" s="365">
        <f t="shared" si="326"/>
        <v>-15.747926855198807</v>
      </c>
      <c r="AA82" s="365">
        <f t="shared" ref="AA82" si="327">AA88</f>
        <v>350.65383797576015</v>
      </c>
      <c r="AB82" s="365">
        <f>AB88</f>
        <v>-61904.05060599617</v>
      </c>
      <c r="AC82" s="365">
        <f t="shared" ref="AC82" si="328">AC88</f>
        <v>0</v>
      </c>
      <c r="AD82" s="187">
        <f t="shared" ref="AD82:AE82" si="329">AD88</f>
        <v>35134.442262651406</v>
      </c>
      <c r="AE82" s="187">
        <f t="shared" si="329"/>
        <v>21912.71528811397</v>
      </c>
      <c r="AF82" s="187">
        <f t="shared" ref="AF82" si="330">AF88</f>
        <v>-3406.8015096746758</v>
      </c>
      <c r="AG82" s="187">
        <f>AG88</f>
        <v>-33430.748990006381</v>
      </c>
      <c r="AH82" s="187">
        <f>AH88</f>
        <v>6528.5655432702524</v>
      </c>
      <c r="AI82" s="187">
        <f>AI88</f>
        <v>122.26238571124813</v>
      </c>
      <c r="AJ82" s="365">
        <f>AJ88</f>
        <v>-3143.8880594833086</v>
      </c>
      <c r="AK82" s="365">
        <f t="shared" ref="AK82:AM82" si="331">AK88</f>
        <v>6923.5235487986392</v>
      </c>
      <c r="AL82" s="187">
        <f t="shared" si="331"/>
        <v>63.030552307038064</v>
      </c>
      <c r="AM82" s="187">
        <f t="shared" si="331"/>
        <v>-5699.2797150754832</v>
      </c>
      <c r="AN82" s="187">
        <f t="shared" ref="AN82" si="332">AN88</f>
        <v>1221.7241654263237</v>
      </c>
      <c r="AO82" s="187">
        <f t="shared" ref="AO82" si="333">AO88</f>
        <v>275.06378907080585</v>
      </c>
      <c r="AP82" s="187">
        <f>AP88</f>
        <v>399.99734212204976</v>
      </c>
      <c r="AQ82" s="187">
        <f>AQ88</f>
        <v>-194.22443121411865</v>
      </c>
      <c r="AR82" s="187">
        <f t="shared" ref="AR82" si="334">AR88</f>
        <v>5522.2730172230486</v>
      </c>
      <c r="AS82" s="187">
        <f t="shared" ref="AS82" si="335">AS88</f>
        <v>106.56097172017861</v>
      </c>
      <c r="AT82" s="187">
        <f t="shared" ref="AT82:AU82" si="336">AT88</f>
        <v>9318.5207580267906</v>
      </c>
      <c r="AU82" s="187">
        <f t="shared" si="336"/>
        <v>12238.444769900172</v>
      </c>
      <c r="AV82" s="187">
        <f t="shared" ref="AV82:AX82" si="337">AV88</f>
        <v>-787.71130129704432</v>
      </c>
      <c r="AW82" s="187">
        <f t="shared" si="337"/>
        <v>11476.971630608125</v>
      </c>
      <c r="AX82" s="187">
        <f t="shared" si="337"/>
        <v>4806.0573038486064</v>
      </c>
      <c r="AY82" s="187">
        <f t="shared" ref="AY82:AZ82" si="338">AY88</f>
        <v>591.07218796512859</v>
      </c>
      <c r="AZ82" s="187">
        <f t="shared" si="338"/>
        <v>497.52950244524766</v>
      </c>
      <c r="BA82" s="187">
        <f t="shared" ref="BA82:BD82" si="339">BA88</f>
        <v>138.58175632574952</v>
      </c>
      <c r="BB82" s="187">
        <f t="shared" si="339"/>
        <v>-350.65383797576015</v>
      </c>
      <c r="BC82" s="187">
        <f t="shared" si="339"/>
        <v>2266.6516053582818</v>
      </c>
      <c r="BD82" s="187">
        <f t="shared" si="339"/>
        <v>4258.2394216457578</v>
      </c>
      <c r="BE82" s="187">
        <f>BE88</f>
        <v>7940.6639432013617</v>
      </c>
      <c r="BF82" s="187">
        <f>BF88</f>
        <v>-7662.7417339995745</v>
      </c>
      <c r="BG82" s="187"/>
      <c r="BH82" s="187"/>
      <c r="BI82" s="187"/>
      <c r="BJ82" s="187"/>
      <c r="BK82" s="187"/>
      <c r="BL82" s="317">
        <f t="shared" ref="BL82:CC82" si="340">BL88</f>
        <v>77066.842167013776</v>
      </c>
      <c r="BM82" s="319"/>
      <c r="BN82" s="365">
        <f>BN88</f>
        <v>59511.681373591317</v>
      </c>
      <c r="BO82" s="365">
        <f>BO88</f>
        <v>0.26578779502445249</v>
      </c>
      <c r="BP82" s="365">
        <f>BP88</f>
        <v>-610.5190516691473</v>
      </c>
      <c r="BQ82" s="365">
        <f t="shared" ref="BQ82:BR82" si="341">BQ88</f>
        <v>2773.7348500956837</v>
      </c>
      <c r="BR82" s="187">
        <f t="shared" si="341"/>
        <v>486.82091218371249</v>
      </c>
      <c r="BS82" s="187">
        <f>BS88</f>
        <v>784.24675738890062</v>
      </c>
      <c r="BT82" s="187">
        <f t="shared" ref="BT82:BU82" si="342">BT88</f>
        <v>-217.32139060174356</v>
      </c>
      <c r="BU82" s="187">
        <f t="shared" si="342"/>
        <v>3727.4083032107164</v>
      </c>
      <c r="BV82" s="187">
        <f>BV88</f>
        <v>12723.689637332554</v>
      </c>
      <c r="BW82" s="187">
        <f>BW88</f>
        <v>-4036.0183260684671</v>
      </c>
      <c r="BX82" s="187">
        <f>BX88</f>
        <v>1019.2961939187752</v>
      </c>
      <c r="BY82" s="187">
        <f t="shared" ref="BY82" si="343">BY88</f>
        <v>37.795024452477143</v>
      </c>
      <c r="BZ82" s="187">
        <f>BZ88</f>
        <v>1743.8204337656814</v>
      </c>
      <c r="CA82" s="187">
        <f>CA88</f>
        <v>184.77567510099934</v>
      </c>
      <c r="CB82" s="187"/>
      <c r="CC82" s="276">
        <f t="shared" si="340"/>
        <v>155196.51834751034</v>
      </c>
      <c r="CD82" s="187">
        <f>CD88</f>
        <v>78129.676180496477</v>
      </c>
    </row>
    <row r="83" spans="1:82" ht="60" customHeight="1">
      <c r="B83" s="197"/>
      <c r="E83" s="167"/>
      <c r="AE83"/>
      <c r="AF83"/>
      <c r="AG83"/>
      <c r="AJ83" s="382"/>
      <c r="AK83" s="382"/>
      <c r="AL83" s="387"/>
      <c r="AM83" s="387"/>
      <c r="AN83" s="387"/>
      <c r="AO83" s="387"/>
      <c r="AP83" s="387"/>
      <c r="AQ83" s="387"/>
      <c r="AS83" s="387"/>
      <c r="AT83" s="394"/>
      <c r="AU83" s="228"/>
      <c r="AX83" s="387"/>
      <c r="AY83" s="387"/>
      <c r="AZ83" s="387"/>
      <c r="BA83" s="387"/>
      <c r="BB83" s="387"/>
      <c r="BC83" s="387"/>
      <c r="BD83" s="387"/>
      <c r="BE83" s="394"/>
      <c r="BG83" s="394"/>
      <c r="BH83" s="394"/>
      <c r="BI83" s="394"/>
      <c r="BJ83" s="394"/>
      <c r="BK83" s="394"/>
      <c r="BL83" s="274"/>
      <c r="BM83" s="274"/>
      <c r="BN83" s="382"/>
      <c r="BO83" s="382"/>
      <c r="BP83" s="382"/>
      <c r="BQ83" s="382"/>
      <c r="BR83" s="387"/>
      <c r="BS83" s="387"/>
      <c r="BU83" s="394"/>
      <c r="BV83" s="460"/>
      <c r="BW83" s="394"/>
      <c r="BX83" s="394"/>
      <c r="BY83" s="387"/>
      <c r="CB83" s="394"/>
      <c r="CC83" s="284"/>
      <c r="CD83" s="394"/>
    </row>
    <row r="84" spans="1:82">
      <c r="E84" s="181">
        <f>'RR Summary'!E15</f>
        <v>7.6100000000000001E-2</v>
      </c>
      <c r="AJ84" s="383"/>
      <c r="AK84" s="383"/>
      <c r="BE84" s="303"/>
      <c r="BN84" s="383"/>
      <c r="BO84" s="383"/>
      <c r="BP84" s="383"/>
      <c r="BQ84" s="383"/>
      <c r="BV84" s="303"/>
      <c r="BW84" s="303"/>
      <c r="BX84" s="303"/>
      <c r="BZ84" s="303"/>
      <c r="CA84" s="303"/>
    </row>
    <row r="85" spans="1:82">
      <c r="E85" s="181"/>
    </row>
    <row r="86" spans="1:82">
      <c r="D86" s="167" t="s">
        <v>627</v>
      </c>
      <c r="E86" s="308">
        <f>'CF '!E24</f>
        <v>0.75248000000000004</v>
      </c>
    </row>
    <row r="87" spans="1:82">
      <c r="D87" s="167" t="s">
        <v>218</v>
      </c>
      <c r="E87" s="96">
        <f>E80*$E$84-E56</f>
        <v>35302.263279999926</v>
      </c>
      <c r="F87" s="96">
        <f t="shared" ref="F87:BL87" si="344">F80*$E$84-F56</f>
        <v>208.00822600000001</v>
      </c>
      <c r="G87" s="96">
        <f t="shared" si="344"/>
        <v>0</v>
      </c>
      <c r="H87" s="96">
        <f>H80*$E$84-H56</f>
        <v>-229.00701699999999</v>
      </c>
      <c r="I87" s="96">
        <f>I80*$E$84-I56</f>
        <v>-209.75923400000011</v>
      </c>
      <c r="J87" s="96">
        <f t="shared" si="344"/>
        <v>-50.56</v>
      </c>
      <c r="K87" s="96">
        <f t="shared" si="344"/>
        <v>1072.82</v>
      </c>
      <c r="L87" s="96">
        <f t="shared" si="344"/>
        <v>720.48</v>
      </c>
      <c r="M87" s="96">
        <f t="shared" si="344"/>
        <v>658.86</v>
      </c>
      <c r="N87" s="96">
        <f t="shared" si="344"/>
        <v>-248.85000000000002</v>
      </c>
      <c r="O87" s="96">
        <f t="shared" si="344"/>
        <v>-209</v>
      </c>
      <c r="P87" s="96">
        <f t="shared" si="344"/>
        <v>-26.07</v>
      </c>
      <c r="Q87" s="96">
        <f t="shared" si="344"/>
        <v>-45.82</v>
      </c>
      <c r="R87" s="96">
        <f t="shared" si="344"/>
        <v>-53.72</v>
      </c>
      <c r="S87" s="96">
        <f t="shared" si="344"/>
        <v>1101.26</v>
      </c>
      <c r="T87" s="96">
        <f t="shared" si="344"/>
        <v>-2.3699999999989814</v>
      </c>
      <c r="U87" s="366">
        <f t="shared" si="344"/>
        <v>-1024.6300000000001</v>
      </c>
      <c r="V87" s="366">
        <f t="shared" si="344"/>
        <v>624.62535000000003</v>
      </c>
      <c r="W87" s="96">
        <f t="shared" si="344"/>
        <v>226</v>
      </c>
      <c r="X87" s="96">
        <f>X80*$E$84-X56</f>
        <v>3812.9845087999997</v>
      </c>
      <c r="Y87" s="96">
        <f t="shared" si="344"/>
        <v>31140</v>
      </c>
      <c r="Z87" s="366">
        <f t="shared" si="344"/>
        <v>-11.85</v>
      </c>
      <c r="AA87" s="366">
        <f t="shared" si="344"/>
        <v>263.86</v>
      </c>
      <c r="AB87" s="366">
        <f>AB80*$E$84-AB56</f>
        <v>-46581.56</v>
      </c>
      <c r="AC87" s="366">
        <f t="shared" ref="AC87" si="345">AC80*$E$84-AC56</f>
        <v>0</v>
      </c>
      <c r="AD87" s="96">
        <f t="shared" si="344"/>
        <v>26437.965113799932</v>
      </c>
      <c r="AE87" s="96">
        <f>AE80*$E$84-AE56</f>
        <v>16488.88</v>
      </c>
      <c r="AF87" s="96">
        <f t="shared" ref="AF87" si="346">AF80*$E$84-AF56</f>
        <v>-2563.5500000000002</v>
      </c>
      <c r="AG87" s="96">
        <f>AG80*$E$84-AG56</f>
        <v>-25155.97</v>
      </c>
      <c r="AH87" s="96">
        <f t="shared" ref="AH87" si="347">AH80*$E$84-AH56</f>
        <v>4912.6149999999998</v>
      </c>
      <c r="AI87" s="96">
        <f t="shared" ref="AI87" si="348">AI80*$E$84-AI56</f>
        <v>92</v>
      </c>
      <c r="AJ87" s="366">
        <f>AJ80*$E$84-AJ56</f>
        <v>-2365.7128870000001</v>
      </c>
      <c r="AK87" s="366">
        <f t="shared" ref="AK87:AM87" si="349">AK80*$E$84-AK56</f>
        <v>5209.8130000000001</v>
      </c>
      <c r="AL87" s="96">
        <f t="shared" si="349"/>
        <v>47.429230000000004</v>
      </c>
      <c r="AM87" s="96">
        <f t="shared" si="349"/>
        <v>-4288.5940000000001</v>
      </c>
      <c r="AN87" s="96">
        <f t="shared" ref="AN87" si="350">AN80*$E$84-AN56</f>
        <v>919.32300000000009</v>
      </c>
      <c r="AO87" s="96">
        <f t="shared" si="344"/>
        <v>206.98000000000002</v>
      </c>
      <c r="AP87" s="96">
        <f>AP80*$E$84-AP56</f>
        <v>300.99</v>
      </c>
      <c r="AQ87" s="96">
        <f>AQ80*$E$84-AQ56</f>
        <v>-146.15</v>
      </c>
      <c r="AR87" s="96">
        <f t="shared" ref="AR87:AS87" si="351">AR80*$E$84-AR56</f>
        <v>4155.3999999999996</v>
      </c>
      <c r="AS87" s="96">
        <f t="shared" si="351"/>
        <v>80.185000000000002</v>
      </c>
      <c r="AT87" s="96">
        <f>AT80*$E$84-AT56</f>
        <v>7012.0004999999992</v>
      </c>
      <c r="AU87" s="96">
        <f>AU80*$E$84-AU56</f>
        <v>9209.1849204544815</v>
      </c>
      <c r="AV87" s="96">
        <f t="shared" ref="AV87:AX87" si="352">AV80*$E$84-AV56</f>
        <v>-592.73699999999997</v>
      </c>
      <c r="AW87" s="96">
        <f t="shared" si="352"/>
        <v>8636.1916126000015</v>
      </c>
      <c r="AX87" s="96">
        <f t="shared" si="352"/>
        <v>3616.4619999999995</v>
      </c>
      <c r="AY87" s="96">
        <f t="shared" ref="AY87:AZ87" si="353">AY80*$E$84-AY56</f>
        <v>444.77</v>
      </c>
      <c r="AZ87" s="96">
        <f t="shared" si="353"/>
        <v>374.38099999999997</v>
      </c>
      <c r="BA87" s="96">
        <f t="shared" ref="BA87:BF87" si="354">BA80*$E$84-BA56</f>
        <v>104.28</v>
      </c>
      <c r="BB87" s="96">
        <f t="shared" si="354"/>
        <v>-263.86</v>
      </c>
      <c r="BC87" s="96">
        <f t="shared" si="354"/>
        <v>1705.6100000000001</v>
      </c>
      <c r="BD87" s="96">
        <f t="shared" si="354"/>
        <v>3204.24</v>
      </c>
      <c r="BE87" s="96">
        <f t="shared" si="354"/>
        <v>5975.190803980161</v>
      </c>
      <c r="BF87" s="96">
        <f t="shared" si="354"/>
        <v>-5766.0599000000002</v>
      </c>
      <c r="BG87" s="96"/>
      <c r="BH87" s="96"/>
      <c r="BI87" s="96"/>
      <c r="BJ87" s="96"/>
      <c r="BK87" s="96"/>
      <c r="BL87" s="311">
        <f t="shared" si="344"/>
        <v>57991.25739383453</v>
      </c>
      <c r="BN87" s="366">
        <f t="shared" ref="BN87" si="355">BN80*$E$84-BN56</f>
        <v>44781.35</v>
      </c>
      <c r="BO87" s="366">
        <f t="shared" ref="BO87" si="356">BO80*$E$84-BO56</f>
        <v>0.2</v>
      </c>
      <c r="BP87" s="366">
        <f t="shared" ref="BP87:BX87" si="357">BP80*$E$84-BP56</f>
        <v>-459.40337599999998</v>
      </c>
      <c r="BQ87" s="366">
        <f t="shared" si="357"/>
        <v>2087.1800000000003</v>
      </c>
      <c r="BR87" s="96">
        <f t="shared" si="357"/>
        <v>366.32299999999998</v>
      </c>
      <c r="BS87" s="96">
        <f t="shared" si="357"/>
        <v>590.13</v>
      </c>
      <c r="BT87" s="96">
        <f t="shared" si="357"/>
        <v>-163.53</v>
      </c>
      <c r="BU87" s="96">
        <f t="shared" si="357"/>
        <v>2804.8002000000001</v>
      </c>
      <c r="BV87" s="96">
        <f t="shared" si="357"/>
        <v>9574.3219783000004</v>
      </c>
      <c r="BW87" s="96">
        <f t="shared" ref="BW87" si="358">BW80*$E$84-BW56</f>
        <v>-3037.0230700000002</v>
      </c>
      <c r="BX87" s="96">
        <f t="shared" si="357"/>
        <v>767</v>
      </c>
      <c r="BY87" s="96">
        <f t="shared" ref="BY87" si="359">BY80*$E$84-BY56</f>
        <v>28.44</v>
      </c>
      <c r="BZ87" s="337">
        <f t="shared" ref="BZ87" si="360">BZ80*$E$84-BZ56</f>
        <v>1312.19</v>
      </c>
      <c r="CA87" s="337">
        <f t="shared" ref="CA87" si="361">CA80*$E$84-CA56</f>
        <v>139.04</v>
      </c>
      <c r="CB87" s="96"/>
      <c r="CC87" s="96">
        <f t="shared" ref="CC87:CD87" si="362">CC80*$E$84-CC56</f>
        <v>116782.27612613459</v>
      </c>
      <c r="CD87" s="96">
        <f t="shared" si="362"/>
        <v>58791.018732299992</v>
      </c>
    </row>
    <row r="88" spans="1:82">
      <c r="D88" s="167" t="s">
        <v>601</v>
      </c>
      <c r="E88" s="186">
        <f t="shared" ref="E88:J88" si="363">E87/$E$86</f>
        <v>46914.553582819375</v>
      </c>
      <c r="F88" s="186">
        <f t="shared" si="363"/>
        <v>276.43023867743995</v>
      </c>
      <c r="G88" s="186">
        <f t="shared" si="363"/>
        <v>0</v>
      </c>
      <c r="H88" s="186">
        <f t="shared" si="363"/>
        <v>-304.33635046778647</v>
      </c>
      <c r="I88" s="186">
        <f t="shared" si="363"/>
        <v>-278.75722145439096</v>
      </c>
      <c r="J88" s="186">
        <f t="shared" si="363"/>
        <v>-67.191154582181582</v>
      </c>
      <c r="K88" s="186">
        <f t="shared" ref="K88" si="364">K87/$E$86</f>
        <v>1425.7123112906654</v>
      </c>
      <c r="L88" s="186">
        <f t="shared" ref="L88:S88" si="365">L87/$E$86</f>
        <v>957.47395279608759</v>
      </c>
      <c r="M88" s="186">
        <f t="shared" si="365"/>
        <v>875.58473314905382</v>
      </c>
      <c r="N88" s="186">
        <f t="shared" si="365"/>
        <v>-330.70646395917498</v>
      </c>
      <c r="O88" s="186">
        <f t="shared" si="365"/>
        <v>-277.74824580055281</v>
      </c>
      <c r="P88" s="186">
        <f t="shared" si="365"/>
        <v>-34.645439081437381</v>
      </c>
      <c r="Q88" s="186">
        <f t="shared" si="365"/>
        <v>-60.891983840102057</v>
      </c>
      <c r="R88" s="186">
        <f t="shared" si="365"/>
        <v>-71.390601743567927</v>
      </c>
      <c r="S88" s="186">
        <f t="shared" si="365"/>
        <v>1463.5073357431427</v>
      </c>
      <c r="T88" s="186">
        <f t="shared" ref="T88" si="366">T87/$E$86</f>
        <v>-3.1495853710384081</v>
      </c>
      <c r="U88" s="361">
        <f>U87/$E$86</f>
        <v>-1361.6707420795237</v>
      </c>
      <c r="V88" s="361">
        <f t="shared" ref="V88" si="367">V87/$E$86</f>
        <v>830.08897246438448</v>
      </c>
      <c r="W88" s="186">
        <f>W87/$E$86</f>
        <v>300.34020837763126</v>
      </c>
      <c r="X88" s="186">
        <f>X87/$E$86</f>
        <v>5067.223725281734</v>
      </c>
      <c r="Y88" s="186">
        <f>Y87/$E$86</f>
        <v>41383.159685307248</v>
      </c>
      <c r="Z88" s="361">
        <f>Z87/$E$86</f>
        <v>-15.747926855198807</v>
      </c>
      <c r="AA88" s="361">
        <f t="shared" ref="AA88" si="368">AA87/$E$86</f>
        <v>350.65383797576015</v>
      </c>
      <c r="AB88" s="361">
        <f t="shared" ref="AB88" si="369">AB87/$E$86</f>
        <v>-61904.05060599617</v>
      </c>
      <c r="AC88" s="361">
        <f>AC87/$E$86</f>
        <v>0</v>
      </c>
      <c r="AD88" s="186">
        <f>AD87/$E$86</f>
        <v>35134.442262651406</v>
      </c>
      <c r="AE88" s="186">
        <f>AE87/$E$86</f>
        <v>21912.71528811397</v>
      </c>
      <c r="AF88" s="186">
        <f t="shared" ref="AF88" si="370">AF87/$E$86</f>
        <v>-3406.8015096746758</v>
      </c>
      <c r="AG88" s="186">
        <f t="shared" ref="AG88:AH88" si="371">AG87/$E$86</f>
        <v>-33430.748990006381</v>
      </c>
      <c r="AH88" s="186">
        <f t="shared" si="371"/>
        <v>6528.5655432702524</v>
      </c>
      <c r="AI88" s="186">
        <f>AI87/$E$86</f>
        <v>122.26238571124813</v>
      </c>
      <c r="AJ88" s="361">
        <f>AJ87/$E$86</f>
        <v>-3143.8880594833086</v>
      </c>
      <c r="AK88" s="361">
        <f t="shared" ref="AK88:AM88" si="372">AK87/$E$86</f>
        <v>6923.5235487986392</v>
      </c>
      <c r="AL88" s="186">
        <f t="shared" si="372"/>
        <v>63.030552307038064</v>
      </c>
      <c r="AM88" s="186">
        <f t="shared" si="372"/>
        <v>-5699.2797150754832</v>
      </c>
      <c r="AN88" s="186">
        <f t="shared" ref="AN88" si="373">AN87/$E$86</f>
        <v>1221.7241654263237</v>
      </c>
      <c r="AO88" s="186">
        <f t="shared" ref="AO88" si="374">AO87/$E$86</f>
        <v>275.06378907080585</v>
      </c>
      <c r="AP88" s="186">
        <f>AP87/$E$86</f>
        <v>399.99734212204976</v>
      </c>
      <c r="AQ88" s="186">
        <f>AQ87/$E$86</f>
        <v>-194.22443121411865</v>
      </c>
      <c r="AR88" s="186">
        <f t="shared" ref="AR88" si="375">AR87/$E$86</f>
        <v>5522.2730172230486</v>
      </c>
      <c r="AS88" s="186">
        <f t="shared" ref="AS88" si="376">AS87/$E$86</f>
        <v>106.56097172017861</v>
      </c>
      <c r="AT88" s="186">
        <f t="shared" ref="AT88:AU88" si="377">AT87/$E$86</f>
        <v>9318.5207580267906</v>
      </c>
      <c r="AU88" s="186">
        <f t="shared" si="377"/>
        <v>12238.444769900172</v>
      </c>
      <c r="AV88" s="186">
        <f t="shared" ref="AV88:AX88" si="378">AV87/$E$86</f>
        <v>-787.71130129704432</v>
      </c>
      <c r="AW88" s="186">
        <f t="shared" si="378"/>
        <v>11476.971630608125</v>
      </c>
      <c r="AX88" s="186">
        <f t="shared" si="378"/>
        <v>4806.0573038486064</v>
      </c>
      <c r="AY88" s="186">
        <f t="shared" ref="AY88:AZ88" si="379">AY87/$E$86</f>
        <v>591.07218796512859</v>
      </c>
      <c r="AZ88" s="186">
        <f t="shared" si="379"/>
        <v>497.52950244524766</v>
      </c>
      <c r="BA88" s="186">
        <f t="shared" ref="BA88:BD88" si="380">BA87/$E$86</f>
        <v>138.58175632574952</v>
      </c>
      <c r="BB88" s="186">
        <f t="shared" si="380"/>
        <v>-350.65383797576015</v>
      </c>
      <c r="BC88" s="186">
        <f t="shared" si="380"/>
        <v>2266.6516053582818</v>
      </c>
      <c r="BD88" s="186">
        <f t="shared" si="380"/>
        <v>4258.2394216457578</v>
      </c>
      <c r="BE88" s="186">
        <f>BE87/$E$86</f>
        <v>7940.6639432013617</v>
      </c>
      <c r="BF88" s="186">
        <f>BF87/$E$86</f>
        <v>-7662.7417339995745</v>
      </c>
      <c r="BG88" s="186"/>
      <c r="BH88" s="186"/>
      <c r="BI88" s="186"/>
      <c r="BJ88" s="186"/>
      <c r="BK88" s="186"/>
      <c r="BL88" s="84">
        <f t="shared" ref="BL88" si="381">BL87/$E$86</f>
        <v>77066.842167013776</v>
      </c>
      <c r="BN88" s="361">
        <f t="shared" ref="BN88" si="382">BN87/$E$86</f>
        <v>59511.681373591317</v>
      </c>
      <c r="BO88" s="361">
        <f t="shared" ref="BO88:BP88" si="383">BO87/$E$86</f>
        <v>0.26578779502445249</v>
      </c>
      <c r="BP88" s="361">
        <f t="shared" si="383"/>
        <v>-610.5190516691473</v>
      </c>
      <c r="BQ88" s="361">
        <f t="shared" ref="BQ88:BR88" si="384">BQ87/$E$86</f>
        <v>2773.7348500956837</v>
      </c>
      <c r="BR88" s="186">
        <f t="shared" si="384"/>
        <v>486.82091218371249</v>
      </c>
      <c r="BS88" s="186">
        <f t="shared" ref="BS88:BU88" si="385">BS87/$E$86</f>
        <v>784.24675738890062</v>
      </c>
      <c r="BT88" s="186">
        <f t="shared" si="385"/>
        <v>-217.32139060174356</v>
      </c>
      <c r="BU88" s="186">
        <f t="shared" si="385"/>
        <v>3727.4083032107164</v>
      </c>
      <c r="BV88" s="186">
        <f>BV87/$E$86</f>
        <v>12723.689637332554</v>
      </c>
      <c r="BW88" s="186">
        <f>BW87/$E$86</f>
        <v>-4036.0183260684671</v>
      </c>
      <c r="BX88" s="186">
        <f>BX87/$E$86</f>
        <v>1019.2961939187752</v>
      </c>
      <c r="BY88" s="186">
        <f t="shared" ref="BY88" si="386">BY87/$E$86</f>
        <v>37.795024452477143</v>
      </c>
      <c r="BZ88" s="186">
        <f>BZ87/$E$86</f>
        <v>1743.8204337656814</v>
      </c>
      <c r="CA88" s="186">
        <f>CA87/$E$86</f>
        <v>184.77567510099934</v>
      </c>
      <c r="CB88" s="186"/>
      <c r="CC88" s="186">
        <f t="shared" ref="CC88:CD88" si="387">CC87/$E$86</f>
        <v>155196.51834751034</v>
      </c>
      <c r="CD88" s="186">
        <f t="shared" si="387"/>
        <v>78129.676180496477</v>
      </c>
    </row>
    <row r="89" spans="1:82">
      <c r="AD89" s="183"/>
      <c r="BL89" s="183"/>
      <c r="BM89" s="183"/>
    </row>
    <row r="90" spans="1:82" ht="12.75">
      <c r="AB90"/>
      <c r="AC90"/>
      <c r="AD90"/>
      <c r="AE90"/>
      <c r="AF90"/>
      <c r="AG90"/>
      <c r="BE90" s="167"/>
      <c r="BL90" s="183"/>
      <c r="BM90" s="183"/>
      <c r="BV90" s="167"/>
      <c r="BW90" s="167"/>
      <c r="BX90" s="167"/>
    </row>
    <row r="91" spans="1:82" customFormat="1" ht="12.75"/>
    <row r="92" spans="1:82" customFormat="1" ht="12.75"/>
    <row r="93" spans="1:82" customFormat="1" ht="12.75" customHeight="1"/>
    <row r="94" spans="1:82" customFormat="1" ht="12.75"/>
    <row r="95" spans="1:82" customFormat="1" ht="12.75"/>
    <row r="96" spans="1:82" customFormat="1" ht="12.75"/>
    <row r="97" customFormat="1" ht="12.75"/>
    <row r="98" customFormat="1" ht="12.75"/>
    <row r="99" customFormat="1" ht="12.75"/>
    <row r="100" customFormat="1" ht="12.75"/>
    <row r="101" customFormat="1" ht="12.75"/>
    <row r="102" customFormat="1" ht="12.75"/>
    <row r="103" customFormat="1" ht="12.75"/>
    <row r="104" customFormat="1" ht="12.75"/>
    <row r="105" customFormat="1" ht="12.75"/>
    <row r="106" customFormat="1" ht="12.75"/>
    <row r="107" customFormat="1" ht="12.75"/>
    <row r="108" customFormat="1" ht="12.75"/>
    <row r="109" customFormat="1" ht="12.75"/>
    <row r="110" customFormat="1" ht="12.75"/>
    <row r="111" customFormat="1" ht="12.75"/>
    <row r="112" customFormat="1" ht="12.75"/>
    <row r="113" customFormat="1" ht="12.75"/>
    <row r="114" customFormat="1" ht="12.75"/>
    <row r="115" customFormat="1" ht="12.75"/>
    <row r="116" customFormat="1" ht="12.75"/>
    <row r="117" customFormat="1" ht="12.75"/>
    <row r="118" customFormat="1" ht="12.75"/>
    <row r="119" customFormat="1" ht="12.75"/>
  </sheetData>
  <customSheetViews>
    <customSheetView guid="{6E1B8C45-B07F-11D2-B0DC-0000832CDFF0}" scale="75" showPageBreaks="1" showGridLines="0" printArea="1" hiddenColumns="1" showRuler="0">
      <selection sqref="A1:IV65536"/>
      <colBreaks count="5" manualBreakCount="5">
        <brk id="11" max="70" man="1"/>
        <brk id="18" max="70" man="1"/>
        <brk id="25" max="70" man="1"/>
        <brk id="32" max="1048575" man="1"/>
        <brk id="40" max="1048575" man="1"/>
      </colBreaks>
      <pageMargins left="0.75" right="0.51" top="0.75" bottom="0.5" header="0.5" footer="0.5"/>
      <pageSetup scale="76" orientation="portrait" horizontalDpi="300" verticalDpi="300" r:id="rId1"/>
      <headerFooter alignWithMargins="0">
        <oddHeader>&amp;L&amp;"Times,Regular"&amp;9KM  File: &amp;F&amp;R&amp;"Times,Regular"&amp;9Page &amp;P of &amp;N  &amp;D</oddHeader>
      </headerFooter>
    </customSheetView>
    <customSheetView guid="{A15D1962-B049-11D2-8670-0000832CEEE8}" scale="75" showPageBreaks="1" showGridLines="0" hiddenColumns="1" showRuler="0" topLeftCell="AF1">
      <selection activeCell="AG1" sqref="AG1:AO65536"/>
      <colBreaks count="5" manualBreakCount="5">
        <brk id="11" max="70" man="1"/>
        <brk id="18" max="70" man="1"/>
        <brk id="25" max="70" man="1"/>
        <brk id="32" max="1048575" man="1"/>
        <brk id="52" max="1048575" man="1"/>
      </colBreaks>
      <pageMargins left="0.75" right="0.51" top="0.75" bottom="0.5" header="0.5" footer="0.5"/>
      <pageSetup scale="76" orientation="portrait" horizontalDpi="300" verticalDpi="300" r:id="rId2"/>
      <headerFooter alignWithMargins="0">
        <oddHeader>&amp;L&amp;"Times,Regular"&amp;9KM  File: &amp;F&amp;R&amp;"Times,Regular"&amp;9Page &amp;P of &amp;N  &amp;D</oddHeader>
      </headerFooter>
    </customSheetView>
  </customSheetViews>
  <mergeCells count="2">
    <mergeCell ref="CC3:CC4"/>
    <mergeCell ref="BL3:BL4"/>
  </mergeCells>
  <phoneticPr fontId="0" type="noConversion"/>
  <pageMargins left="0.9" right="0.9" top="1" bottom="0.75" header="0.5" footer="0.5"/>
  <pageSetup scale="66" firstPageNumber="4" fitToWidth="9" orientation="portrait" r:id="rId3"/>
  <headerFooter scaleWithDoc="0" alignWithMargins="0">
    <oddHeader>&amp;R Exh. KJS-2</oddHeader>
    <oddFooter>&amp;RPage &amp;P of &amp;N</oddFooter>
  </headerFooter>
  <colBreaks count="7" manualBreakCount="7">
    <brk id="13" max="82" man="1"/>
    <brk id="21" max="82" man="1"/>
    <brk id="30" max="82" man="1"/>
    <brk id="46" max="82" man="1"/>
    <brk id="53" max="82" man="1"/>
    <brk id="64" max="82" man="1"/>
    <brk id="74" max="82" man="1"/>
  </colBreaks>
  <ignoredErrors>
    <ignoredError sqref="CC6 BL6" numberStoredAsText="1"/>
    <ignoredError sqref="BN16:CD88 AD76:AD80 AD16" formula="1"/>
    <ignoredError sqref="AD81" numberStoredAsText="1" formula="1"/>
  </ignoredErrors>
  <drawing r:id="rId4"/>
  <legacy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
  <sheetViews>
    <sheetView workbookViewId="0"/>
  </sheetViews>
  <sheetFormatPr defaultColWidth="9.28515625" defaultRowHeight="12.75"/>
  <cols>
    <col min="1" max="16384" width="9.28515625" style="224"/>
  </cols>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A1:J90"/>
  <sheetViews>
    <sheetView zoomScale="85" zoomScaleNormal="85" zoomScaleSheetLayoutView="85" workbookViewId="0">
      <pane xSplit="3" ySplit="8" topLeftCell="D54" activePane="bottomRight" state="frozen"/>
      <selection sqref="A1:I1"/>
      <selection pane="topRight" sqref="A1:I1"/>
      <selection pane="bottomLeft" sqref="A1:I1"/>
      <selection pane="bottomRight" activeCell="F90" sqref="F90"/>
    </sheetView>
  </sheetViews>
  <sheetFormatPr defaultColWidth="11.42578125" defaultRowHeight="12.75" outlineLevelRow="1"/>
  <cols>
    <col min="1" max="1" width="10.140625" style="5" customWidth="1"/>
    <col min="2" max="2" width="9.42578125" style="5" customWidth="1"/>
    <col min="3" max="3" width="42.42578125" style="5" bestFit="1" customWidth="1"/>
    <col min="4" max="4" width="10" style="90" bestFit="1" customWidth="1"/>
    <col min="5" max="5" width="11.5703125" style="90" bestFit="1" customWidth="1"/>
    <col min="6" max="6" width="10.85546875" style="90" bestFit="1" customWidth="1"/>
    <col min="7" max="7" width="7.42578125" style="18" bestFit="1" customWidth="1"/>
    <col min="8" max="8" width="8.42578125" style="6" bestFit="1" customWidth="1"/>
    <col min="9" max="9" width="16.28515625" style="6" bestFit="1" customWidth="1"/>
    <col min="10" max="10" width="10.28515625" style="5" bestFit="1" customWidth="1"/>
    <col min="11" max="16384" width="11.42578125" style="5"/>
  </cols>
  <sheetData>
    <row r="1" spans="1:10">
      <c r="A1" s="704" t="str">
        <f>'ADJ DETAIL-INPUT'!A1</f>
        <v xml:space="preserve">AVISTA UTILITIES  </v>
      </c>
      <c r="B1" s="704"/>
      <c r="C1" s="704"/>
      <c r="D1" s="704"/>
      <c r="E1" s="704"/>
      <c r="F1" s="704"/>
      <c r="G1" s="704"/>
    </row>
    <row r="2" spans="1:10">
      <c r="A2" s="705" t="s">
        <v>76</v>
      </c>
      <c r="B2" s="705"/>
      <c r="C2" s="705"/>
      <c r="D2" s="705"/>
      <c r="E2" s="705"/>
      <c r="F2" s="705"/>
      <c r="G2" s="705"/>
    </row>
    <row r="3" spans="1:10">
      <c r="A3" s="705" t="s">
        <v>77</v>
      </c>
      <c r="B3" s="705"/>
      <c r="C3" s="705"/>
      <c r="D3" s="705"/>
      <c r="E3" s="705"/>
      <c r="F3" s="705"/>
      <c r="G3" s="705"/>
    </row>
    <row r="4" spans="1:10">
      <c r="A4" s="706" t="str">
        <f>'ADJ DETAIL-INPUT'!A3</f>
        <v>TWELVE MONTHS ENDED JUNE 30, 2023</v>
      </c>
      <c r="B4" s="706"/>
      <c r="C4" s="706"/>
      <c r="D4" s="706"/>
      <c r="E4" s="706"/>
      <c r="F4" s="706"/>
      <c r="G4" s="706"/>
    </row>
    <row r="5" spans="1:10" ht="5.25" customHeight="1"/>
    <row r="6" spans="1:10" ht="5.25" customHeight="1"/>
    <row r="7" spans="1:10">
      <c r="D7" s="707" t="s">
        <v>77</v>
      </c>
      <c r="E7" s="707"/>
      <c r="F7" s="707"/>
      <c r="G7" s="425">
        <f>'RR Summary'!M16</f>
        <v>7.6100000000000001E-2</v>
      </c>
      <c r="H7" s="434" t="s">
        <v>238</v>
      </c>
      <c r="I7" s="434" t="s">
        <v>237</v>
      </c>
      <c r="J7" s="434" t="s">
        <v>551</v>
      </c>
    </row>
    <row r="8" spans="1:10" ht="25.5">
      <c r="A8" s="8" t="s">
        <v>78</v>
      </c>
      <c r="B8" s="8" t="s">
        <v>528</v>
      </c>
      <c r="C8" s="19" t="s">
        <v>134</v>
      </c>
      <c r="D8" s="91" t="s">
        <v>80</v>
      </c>
      <c r="E8" s="91" t="s">
        <v>23</v>
      </c>
      <c r="F8" s="419" t="s">
        <v>743</v>
      </c>
      <c r="G8" s="8" t="s">
        <v>81</v>
      </c>
      <c r="H8" s="5"/>
      <c r="I8" s="5"/>
    </row>
    <row r="9" spans="1:10">
      <c r="A9" s="76" t="s">
        <v>597</v>
      </c>
      <c r="B9" s="76"/>
      <c r="C9" s="18"/>
      <c r="D9" s="92"/>
      <c r="E9" s="92"/>
      <c r="F9" s="92"/>
    </row>
    <row r="10" spans="1:10">
      <c r="A10" s="85">
        <f>'ADJ DETAIL-INPUT'!E$9</f>
        <v>1</v>
      </c>
      <c r="B10" s="153" t="str">
        <f>'ADJ DETAIL-INPUT'!E$10</f>
        <v>E-ROO</v>
      </c>
      <c r="C10" s="11" t="str">
        <f>TRIM(CONCATENATE('ADJ DETAIL-INPUT'!E$6," ",'ADJ DETAIL-INPUT'!E$7," ",'ADJ DETAIL-INPUT'!E$8))</f>
        <v>Results of Operations</v>
      </c>
      <c r="D10" s="421">
        <f>'ADJ DETAIL-INPUT'!E$56</f>
        <v>125206.70000000007</v>
      </c>
      <c r="E10" s="421">
        <f>'ADJ DETAIL-INPUT'!E$80</f>
        <v>2109184.7999999998</v>
      </c>
      <c r="F10" s="421">
        <f t="shared" ref="F10:F34" si="0">((E10*$G$7)-D10)/$G$71</f>
        <v>46914.553582819375</v>
      </c>
      <c r="G10" s="20">
        <f>D10/E10</f>
        <v>5.9362603030327206E-2</v>
      </c>
      <c r="I10" s="6" t="s">
        <v>791</v>
      </c>
      <c r="J10" s="6" t="s">
        <v>793</v>
      </c>
    </row>
    <row r="11" spans="1:10" s="16" customFormat="1">
      <c r="A11" s="85">
        <f>'ADJ DETAIL-INPUT'!F$9</f>
        <v>1.01</v>
      </c>
      <c r="B11" s="153" t="str">
        <f>'ADJ DETAIL-INPUT'!F$10</f>
        <v>E-DFIT</v>
      </c>
      <c r="C11" s="11" t="str">
        <f>TRIM(CONCATENATE('ADJ DETAIL-INPUT'!F$6," ",'ADJ DETAIL-INPUT'!F$7," ",'ADJ DETAIL-INPUT'!F$8))</f>
        <v>Deferred FIT Rate Base</v>
      </c>
      <c r="D11" s="42">
        <f>'ADJ DETAIL-INPUT'!F$56</f>
        <v>15.877974000000002</v>
      </c>
      <c r="E11" s="42">
        <f>'ADJ DETAIL-INPUT'!F$80</f>
        <v>2942</v>
      </c>
      <c r="F11" s="90">
        <f t="shared" si="0"/>
        <v>276.43023867743995</v>
      </c>
      <c r="G11" s="54"/>
      <c r="H11" s="6"/>
      <c r="I11" s="6" t="s">
        <v>862</v>
      </c>
      <c r="J11" s="6" t="s">
        <v>793</v>
      </c>
    </row>
    <row r="12" spans="1:10" s="16" customFormat="1">
      <c r="A12" s="85">
        <f>'ADJ DETAIL-INPUT'!G$9</f>
        <v>1.02</v>
      </c>
      <c r="B12" s="153" t="str">
        <f>'ADJ DETAIL-INPUT'!G$10</f>
        <v>E-DDC</v>
      </c>
      <c r="C12" s="11" t="str">
        <f>TRIM(CONCATENATE('ADJ DETAIL-INPUT'!G$6," ",'ADJ DETAIL-INPUT'!G$7," ",'ADJ DETAIL-INPUT'!G$8))</f>
        <v>Deferred Debits and Credits</v>
      </c>
      <c r="D12" s="42">
        <f>'ADJ DETAIL-INPUT'!G$56</f>
        <v>0</v>
      </c>
      <c r="E12" s="42">
        <f>'ADJ DETAIL-INPUT'!G$80</f>
        <v>0</v>
      </c>
      <c r="F12" s="90">
        <f t="shared" si="0"/>
        <v>0</v>
      </c>
      <c r="G12" s="54"/>
      <c r="H12" s="6"/>
      <c r="I12" s="6" t="s">
        <v>609</v>
      </c>
      <c r="J12" s="6" t="s">
        <v>793</v>
      </c>
    </row>
    <row r="13" spans="1:10" s="53" customFormat="1">
      <c r="A13" s="85">
        <f>'ADJ DETAIL-INPUT'!H$9</f>
        <v>1.03</v>
      </c>
      <c r="B13" s="153" t="str">
        <f>'ADJ DETAIL-INPUT'!H$10</f>
        <v xml:space="preserve">E-WC </v>
      </c>
      <c r="C13" s="11" t="str">
        <f>TRIM(CONCATENATE('ADJ DETAIL-INPUT'!H$6," ",'ADJ DETAIL-INPUT'!H$7," ",'ADJ DETAIL-INPUT'!H$8))</f>
        <v>Working Capital</v>
      </c>
      <c r="D13" s="42">
        <f>'ADJ DETAIL-INPUT'!H$56</f>
        <v>-17.480882999999999</v>
      </c>
      <c r="E13" s="42">
        <f>'ADJ DETAIL-INPUT'!H$80</f>
        <v>-3239</v>
      </c>
      <c r="F13" s="90">
        <f t="shared" si="0"/>
        <v>-304.33635046778647</v>
      </c>
      <c r="G13" s="54"/>
      <c r="I13" s="6" t="s">
        <v>855</v>
      </c>
      <c r="J13" s="6" t="s">
        <v>793</v>
      </c>
    </row>
    <row r="14" spans="1:10" s="53" customFormat="1">
      <c r="A14" s="85">
        <f>'ADJ DETAIL-INPUT'!I$9</f>
        <v>1.04</v>
      </c>
      <c r="B14" s="153" t="str">
        <f>'ADJ DETAIL-INPUT'!I$10</f>
        <v>E-Col</v>
      </c>
      <c r="C14" s="11" t="str">
        <f>TRIM(CONCATENATE('ADJ DETAIL-INPUT'!I$6," ",'ADJ DETAIL-INPUT'!I$7," ",'ADJ DETAIL-INPUT'!I$8))</f>
        <v>Remove Colstrip</v>
      </c>
      <c r="D14" s="42">
        <f>'ADJ DETAIL-INPUT'!I$56</f>
        <v>-1683.4565659999998</v>
      </c>
      <c r="E14" s="42">
        <f>'ADJ DETAIL-INPUT'!I$80</f>
        <v>-24878</v>
      </c>
      <c r="F14" s="90">
        <f t="shared" si="0"/>
        <v>-278.75722145439096</v>
      </c>
      <c r="G14" s="54"/>
      <c r="I14" s="6" t="s">
        <v>648</v>
      </c>
      <c r="J14" s="6" t="s">
        <v>648</v>
      </c>
    </row>
    <row r="15" spans="1:10" s="15" customFormat="1">
      <c r="A15" s="85">
        <f>'ADJ DETAIL-INPUT'!J$9</f>
        <v>2.0099999999999998</v>
      </c>
      <c r="B15" s="153" t="str">
        <f>'ADJ DETAIL-INPUT'!J$10</f>
        <v>E-EBO</v>
      </c>
      <c r="C15" s="11" t="str">
        <f>TRIM(CONCATENATE('ADJ DETAIL-INPUT'!J$6," ",'ADJ DETAIL-INPUT'!J$7," ",'ADJ DETAIL-INPUT'!J$8))</f>
        <v>Eliminate B &amp; O Taxes</v>
      </c>
      <c r="D15" s="42">
        <f>'ADJ DETAIL-INPUT'!J$56</f>
        <v>50.56</v>
      </c>
      <c r="E15" s="42">
        <f>'ADJ DETAIL-INPUT'!J$80</f>
        <v>0</v>
      </c>
      <c r="F15" s="90">
        <f t="shared" si="0"/>
        <v>-67.191154582181582</v>
      </c>
      <c r="G15" s="54"/>
      <c r="H15" s="6"/>
      <c r="I15" s="6" t="s">
        <v>703</v>
      </c>
      <c r="J15" s="6" t="s">
        <v>793</v>
      </c>
    </row>
    <row r="16" spans="1:10" s="15" customFormat="1">
      <c r="A16" s="85">
        <f>'ADJ DETAIL-INPUT'!K$9</f>
        <v>2.0199999999999996</v>
      </c>
      <c r="B16" s="153" t="str">
        <f>'ADJ DETAIL-INPUT'!K$10</f>
        <v>E-RPT</v>
      </c>
      <c r="C16" s="11" t="str">
        <f>TRIM(CONCATENATE('ADJ DETAIL-INPUT'!K$6," ",'ADJ DETAIL-INPUT'!K$7," ",'ADJ DETAIL-INPUT'!K$8))</f>
        <v>Restate Property Tax</v>
      </c>
      <c r="D16" s="42">
        <f>'ADJ DETAIL-INPUT'!K$56</f>
        <v>-1072.82</v>
      </c>
      <c r="E16" s="42">
        <f>'ADJ DETAIL-INPUT'!K$80</f>
        <v>0</v>
      </c>
      <c r="F16" s="90">
        <f t="shared" si="0"/>
        <v>1425.7123112906654</v>
      </c>
      <c r="G16" s="54"/>
      <c r="H16" s="6"/>
      <c r="I16" s="6" t="s">
        <v>703</v>
      </c>
      <c r="J16" s="6" t="s">
        <v>793</v>
      </c>
    </row>
    <row r="17" spans="1:10" s="15" customFormat="1">
      <c r="A17" s="85">
        <f>'ADJ DETAIL-INPUT'!L$9</f>
        <v>2.0299999999999994</v>
      </c>
      <c r="B17" s="153" t="str">
        <f>'ADJ DETAIL-INPUT'!L$10</f>
        <v>E-UE</v>
      </c>
      <c r="C17" s="11" t="str">
        <f>TRIM(CONCATENATE('ADJ DETAIL-INPUT'!L$6," ",'ADJ DETAIL-INPUT'!L$7," ",'ADJ DETAIL-INPUT'!L$8))</f>
        <v>Uncollectible Expense</v>
      </c>
      <c r="D17" s="42">
        <f>'ADJ DETAIL-INPUT'!L$56</f>
        <v>-720.48</v>
      </c>
      <c r="E17" s="42">
        <f>'ADJ DETAIL-INPUT'!L$80</f>
        <v>0</v>
      </c>
      <c r="F17" s="90">
        <f t="shared" si="0"/>
        <v>957.47395279608759</v>
      </c>
      <c r="G17" s="54"/>
      <c r="I17" s="6" t="s">
        <v>703</v>
      </c>
      <c r="J17" s="6" t="s">
        <v>793</v>
      </c>
    </row>
    <row r="18" spans="1:10" s="15" customFormat="1">
      <c r="A18" s="85">
        <f>'ADJ DETAIL-INPUT'!M$9</f>
        <v>2.0399999999999991</v>
      </c>
      <c r="B18" s="153" t="str">
        <f>'ADJ DETAIL-INPUT'!M$10</f>
        <v>E-RE</v>
      </c>
      <c r="C18" s="11" t="str">
        <f>TRIM(CONCATENATE('ADJ DETAIL-INPUT'!M$6," ",'ADJ DETAIL-INPUT'!M$7," ",'ADJ DETAIL-INPUT'!M$8))</f>
        <v>Regulatory Expense</v>
      </c>
      <c r="D18" s="42">
        <f>'ADJ DETAIL-INPUT'!M$56</f>
        <v>-658.86</v>
      </c>
      <c r="E18" s="42">
        <f>'ADJ DETAIL-INPUT'!M$80</f>
        <v>0</v>
      </c>
      <c r="F18" s="90">
        <f t="shared" si="0"/>
        <v>875.58473314905382</v>
      </c>
      <c r="G18" s="54"/>
      <c r="H18" s="6"/>
      <c r="I18" s="6" t="s">
        <v>609</v>
      </c>
      <c r="J18" s="6" t="s">
        <v>793</v>
      </c>
    </row>
    <row r="19" spans="1:10" s="15" customFormat="1">
      <c r="A19" s="85">
        <f>'ADJ DETAIL-INPUT'!N$9</f>
        <v>2.0499999999999989</v>
      </c>
      <c r="B19" s="153" t="str">
        <f>'ADJ DETAIL-INPUT'!N$10</f>
        <v>E-ID</v>
      </c>
      <c r="C19" s="11" t="str">
        <f>TRIM(CONCATENATE('ADJ DETAIL-INPUT'!N$6," ",'ADJ DETAIL-INPUT'!N$7," ",'ADJ DETAIL-INPUT'!N$8))</f>
        <v>Injuries and Damages</v>
      </c>
      <c r="D19" s="42">
        <f>'ADJ DETAIL-INPUT'!N$56</f>
        <v>248.85000000000002</v>
      </c>
      <c r="E19" s="42">
        <f>'ADJ DETAIL-INPUT'!N$80</f>
        <v>0</v>
      </c>
      <c r="F19" s="90">
        <f t="shared" si="0"/>
        <v>-330.70646395917498</v>
      </c>
      <c r="G19" s="54"/>
      <c r="H19" s="6"/>
      <c r="I19" s="6" t="s">
        <v>609</v>
      </c>
      <c r="J19" s="6" t="s">
        <v>793</v>
      </c>
    </row>
    <row r="20" spans="1:10" s="53" customFormat="1">
      <c r="A20" s="85">
        <f>'ADJ DETAIL-INPUT'!O$9</f>
        <v>2.0599999999999987</v>
      </c>
      <c r="B20" s="153" t="str">
        <f>'ADJ DETAIL-INPUT'!O$10</f>
        <v xml:space="preserve">E-FIT </v>
      </c>
      <c r="C20" s="11" t="str">
        <f>TRIM(CONCATENATE('ADJ DETAIL-INPUT'!O$6," ",'ADJ DETAIL-INPUT'!O$7," ",'ADJ DETAIL-INPUT'!O$8))</f>
        <v>FIT/DFIT/ ITC Expense</v>
      </c>
      <c r="D20" s="42">
        <f>'ADJ DETAIL-INPUT'!O$56</f>
        <v>209</v>
      </c>
      <c r="E20" s="42">
        <f>'ADJ DETAIL-INPUT'!O$80</f>
        <v>0</v>
      </c>
      <c r="F20" s="90">
        <f t="shared" si="0"/>
        <v>-277.74824580055281</v>
      </c>
      <c r="G20" s="54"/>
      <c r="H20" s="6"/>
      <c r="I20" s="6" t="s">
        <v>703</v>
      </c>
      <c r="J20" s="6" t="s">
        <v>793</v>
      </c>
    </row>
    <row r="21" spans="1:10">
      <c r="A21" s="85">
        <f>'ADJ DETAIL-INPUT'!P$9</f>
        <v>2.0699999999999985</v>
      </c>
      <c r="B21" s="153" t="str">
        <f>'ADJ DETAIL-INPUT'!P$10</f>
        <v>E-OSC</v>
      </c>
      <c r="C21" s="11" t="str">
        <f>TRIM(CONCATENATE('ADJ DETAIL-INPUT'!P$6," ",'ADJ DETAIL-INPUT'!P$7," ",'ADJ DETAIL-INPUT'!P$8))</f>
        <v>Office Space Charges to Non-Utility</v>
      </c>
      <c r="D21" s="42">
        <f>'ADJ DETAIL-INPUT'!P$56</f>
        <v>26.07</v>
      </c>
      <c r="E21" s="42">
        <f>'ADJ DETAIL-INPUT'!P$80</f>
        <v>0</v>
      </c>
      <c r="F21" s="90">
        <f t="shared" si="0"/>
        <v>-34.645439081437381</v>
      </c>
      <c r="G21" s="54"/>
      <c r="I21" s="6" t="s">
        <v>609</v>
      </c>
      <c r="J21" s="6" t="s">
        <v>793</v>
      </c>
    </row>
    <row r="22" spans="1:10" s="53" customFormat="1">
      <c r="A22" s="85">
        <f>'ADJ DETAIL-INPUT'!Q$9</f>
        <v>2.0799999999999983</v>
      </c>
      <c r="B22" s="153" t="str">
        <f>'ADJ DETAIL-INPUT'!Q$10</f>
        <v>E-RET</v>
      </c>
      <c r="C22" s="11" t="str">
        <f>TRIM(CONCATENATE('ADJ DETAIL-INPUT'!Q$6," ",'ADJ DETAIL-INPUT'!Q$7," ",'ADJ DETAIL-INPUT'!Q$8))</f>
        <v>Restate Excise Taxes</v>
      </c>
      <c r="D22" s="42">
        <f>'ADJ DETAIL-INPUT'!Q$56</f>
        <v>45.82</v>
      </c>
      <c r="E22" s="42">
        <f>'ADJ DETAIL-INPUT'!Q$80</f>
        <v>0</v>
      </c>
      <c r="F22" s="90">
        <f t="shared" si="0"/>
        <v>-60.891983840102057</v>
      </c>
      <c r="G22" s="54"/>
      <c r="H22" s="6"/>
      <c r="I22" s="6" t="s">
        <v>703</v>
      </c>
      <c r="J22" s="6" t="s">
        <v>793</v>
      </c>
    </row>
    <row r="23" spans="1:10" s="53" customFormat="1">
      <c r="A23" s="85">
        <f>'ADJ DETAIL-INPUT'!R$9</f>
        <v>2.0899999999999981</v>
      </c>
      <c r="B23" s="153" t="str">
        <f>'ADJ DETAIL-INPUT'!R$10</f>
        <v>E-NGL</v>
      </c>
      <c r="C23" s="11" t="str">
        <f>TRIM(CONCATENATE('ADJ DETAIL-INPUT'!R$6," ",'ADJ DETAIL-INPUT'!R$7," ",'ADJ DETAIL-INPUT'!R$8))</f>
        <v>Net Gains &amp; Losses</v>
      </c>
      <c r="D23" s="42">
        <f>'ADJ DETAIL-INPUT'!R$56</f>
        <v>53.72</v>
      </c>
      <c r="E23" s="42">
        <f>'ADJ DETAIL-INPUT'!R$80</f>
        <v>0</v>
      </c>
      <c r="F23" s="90">
        <f t="shared" si="0"/>
        <v>-71.390601743567927</v>
      </c>
      <c r="G23" s="54"/>
      <c r="H23" s="6"/>
      <c r="I23" s="6" t="s">
        <v>609</v>
      </c>
      <c r="J23" s="6" t="s">
        <v>793</v>
      </c>
    </row>
    <row r="24" spans="1:10">
      <c r="A24" s="85">
        <f>'ADJ DETAIL-INPUT'!S$9</f>
        <v>2.0999999999999979</v>
      </c>
      <c r="B24" s="153" t="str">
        <f>'ADJ DETAIL-INPUT'!S$10</f>
        <v>E-WN</v>
      </c>
      <c r="C24" s="11" t="str">
        <f>TRIM(CONCATENATE('ADJ DETAIL-INPUT'!S$6," ",'ADJ DETAIL-INPUT'!S$7," ",'ADJ DETAIL-INPUT'!S$8))</f>
        <v>Weather Normalization</v>
      </c>
      <c r="D24" s="42">
        <f>'ADJ DETAIL-INPUT'!S$56</f>
        <v>-1101.26</v>
      </c>
      <c r="E24" s="42">
        <f>'ADJ DETAIL-INPUT'!S$80</f>
        <v>0</v>
      </c>
      <c r="F24" s="90">
        <f t="shared" si="0"/>
        <v>1463.5073357431427</v>
      </c>
      <c r="G24" s="54"/>
      <c r="I24" s="6" t="s">
        <v>703</v>
      </c>
      <c r="J24" s="6" t="s">
        <v>793</v>
      </c>
    </row>
    <row r="25" spans="1:10" s="53" customFormat="1">
      <c r="A25" s="85">
        <f>'ADJ DETAIL-INPUT'!T$9</f>
        <v>2.1099999999999977</v>
      </c>
      <c r="B25" s="153" t="str">
        <f>'ADJ DETAIL-INPUT'!T$10</f>
        <v>E-EAS</v>
      </c>
      <c r="C25" s="11" t="str">
        <f>TRIM(CONCATENATE('ADJ DETAIL-INPUT'!T$6," ",'ADJ DETAIL-INPUT'!T$7," ",'ADJ DETAIL-INPUT'!T$8))</f>
        <v>Eliminate Adder Schedules</v>
      </c>
      <c r="D25" s="42">
        <f>'ADJ DETAIL-INPUT'!T$56</f>
        <v>2.3699999999989814</v>
      </c>
      <c r="E25" s="42">
        <f>'ADJ DETAIL-INPUT'!U$80</f>
        <v>0</v>
      </c>
      <c r="F25" s="90">
        <f t="shared" si="0"/>
        <v>-3.1495853710384081</v>
      </c>
      <c r="G25" s="54"/>
      <c r="H25" s="6"/>
      <c r="I25" s="6" t="s">
        <v>703</v>
      </c>
      <c r="J25" s="6" t="s">
        <v>793</v>
      </c>
    </row>
    <row r="26" spans="1:10" s="53" customFormat="1">
      <c r="A26" s="85">
        <f>'ADJ DETAIL-INPUT'!U$9</f>
        <v>2.1199999999999974</v>
      </c>
      <c r="B26" s="153" t="str">
        <f>'ADJ DETAIL-INPUT'!U$10</f>
        <v>E-MR</v>
      </c>
      <c r="C26" s="11" t="str">
        <f>TRIM(CONCATENATE('ADJ DETAIL-INPUT'!U$6," ",'ADJ DETAIL-INPUT'!U$7," ",'ADJ DETAIL-INPUT'!U$8))</f>
        <v>Misc. Restating Non-Util / Non- Recurring Expenses</v>
      </c>
      <c r="D26" s="42">
        <f>'ADJ DETAIL-INPUT'!U$56</f>
        <v>1024.6300000000001</v>
      </c>
      <c r="E26" s="42">
        <f>'ADJ DETAIL-INPUT'!U$80</f>
        <v>0</v>
      </c>
      <c r="F26" s="90">
        <f t="shared" si="0"/>
        <v>-1361.6707420795237</v>
      </c>
      <c r="G26" s="54"/>
      <c r="H26" s="6"/>
      <c r="I26" s="6" t="s">
        <v>609</v>
      </c>
      <c r="J26" s="6" t="s">
        <v>793</v>
      </c>
    </row>
    <row r="27" spans="1:10" s="15" customFormat="1">
      <c r="A27" s="85">
        <f>'ADJ DETAIL-INPUT'!V$9</f>
        <v>2.1299999999999972</v>
      </c>
      <c r="B27" s="153" t="str">
        <f>'ADJ DETAIL-INPUT'!V$10</f>
        <v>E-RI</v>
      </c>
      <c r="C27" s="11" t="str">
        <f>TRIM(CONCATENATE('ADJ DETAIL-INPUT'!V$6," ",'ADJ DETAIL-INPUT'!V$7," ",'ADJ DETAIL-INPUT'!V$8))</f>
        <v>Restating Incentives Expense</v>
      </c>
      <c r="D27" s="42">
        <f>'ADJ DETAIL-INPUT'!V$56</f>
        <v>-624.62535000000003</v>
      </c>
      <c r="E27" s="42">
        <f>'ADJ DETAIL-INPUT'!V$80</f>
        <v>0</v>
      </c>
      <c r="F27" s="90">
        <f t="shared" si="0"/>
        <v>830.08897246438448</v>
      </c>
      <c r="G27" s="54"/>
      <c r="I27" s="6" t="s">
        <v>704</v>
      </c>
      <c r="J27" s="6" t="s">
        <v>793</v>
      </c>
    </row>
    <row r="28" spans="1:10" s="53" customFormat="1">
      <c r="A28" s="85">
        <f>'ADJ DETAIL-INPUT'!W$9</f>
        <v>2.139999999999997</v>
      </c>
      <c r="B28" s="153" t="str">
        <f>'ADJ DETAIL-INPUT'!W$10</f>
        <v>E-RDI</v>
      </c>
      <c r="C28" s="11" t="str">
        <f>TRIM(CONCATENATE('ADJ DETAIL-INPUT'!W$6," ",'ADJ DETAIL-INPUT'!W$7," ",'ADJ DETAIL-INPUT'!W$8))</f>
        <v>Restate Debt Interest</v>
      </c>
      <c r="D28" s="42">
        <f>'ADJ DETAIL-INPUT'!W$56</f>
        <v>-226</v>
      </c>
      <c r="E28" s="42">
        <f>'ADJ DETAIL-INPUT'!W$80</f>
        <v>0</v>
      </c>
      <c r="F28" s="90">
        <f t="shared" si="0"/>
        <v>300.34020837763126</v>
      </c>
      <c r="G28" s="54"/>
      <c r="I28" s="6" t="s">
        <v>791</v>
      </c>
      <c r="J28" s="6" t="s">
        <v>793</v>
      </c>
    </row>
    <row r="29" spans="1:10" s="53" customFormat="1">
      <c r="A29" s="85">
        <f>'ADJ DETAIL-INPUT'!X$9</f>
        <v>2.1499999999999968</v>
      </c>
      <c r="B29" s="153" t="str">
        <f>'ADJ DETAIL-INPUT'!X$10</f>
        <v>E-RCAP</v>
      </c>
      <c r="C29" s="11" t="str">
        <f>TRIM(CONCATENATE('ADJ DETAIL-INPUT'!X$6," ",'ADJ DETAIL-INPUT'!X$7," ",'ADJ DETAIL-INPUT'!X$8))</f>
        <v>Restate Capital 06.2023 EOP</v>
      </c>
      <c r="D29" s="42">
        <f>'ADJ DETAIL-INPUT'!X$56</f>
        <v>291.05805119999997</v>
      </c>
      <c r="E29" s="42">
        <f>'ADJ DETAIL-INPUT'!X$80</f>
        <v>53929.599999999999</v>
      </c>
      <c r="F29" s="90">
        <f t="shared" si="0"/>
        <v>5067.223725281734</v>
      </c>
      <c r="G29" s="54"/>
      <c r="I29" s="6" t="s">
        <v>704</v>
      </c>
      <c r="J29" s="6" t="s">
        <v>793</v>
      </c>
    </row>
    <row r="30" spans="1:10" s="15" customFormat="1">
      <c r="A30" s="85">
        <f>'ADJ DETAIL-INPUT'!Y$9</f>
        <v>2.1599999999999966</v>
      </c>
      <c r="B30" s="153" t="str">
        <f>'ADJ DETAIL-INPUT'!Y$10</f>
        <v>E-EWPC</v>
      </c>
      <c r="C30" s="11" t="str">
        <f>TRIM(CONCATENATE('ADJ DETAIL-INPUT'!Y$6," ",'ADJ DETAIL-INPUT'!Y$7," ",'ADJ DETAIL-INPUT'!Y$8))</f>
        <v>Eliminate WA Power Cost Defer</v>
      </c>
      <c r="D30" s="42">
        <f>'ADJ DETAIL-INPUT'!Y$56</f>
        <v>-31140</v>
      </c>
      <c r="E30" s="42">
        <f>'ADJ DETAIL-INPUT'!Y$80</f>
        <v>0</v>
      </c>
      <c r="F30" s="90">
        <f t="shared" si="0"/>
        <v>41383.159685307248</v>
      </c>
      <c r="G30" s="54"/>
      <c r="I30" s="6" t="s">
        <v>792</v>
      </c>
      <c r="J30" s="6" t="s">
        <v>648</v>
      </c>
    </row>
    <row r="31" spans="1:10" s="15" customFormat="1">
      <c r="A31" s="85">
        <f>'ADJ DETAIL-INPUT'!Z$9</f>
        <v>2.1699999999999964</v>
      </c>
      <c r="B31" s="153" t="str">
        <f>'ADJ DETAIL-INPUT'!Z$10</f>
        <v>E-NPS</v>
      </c>
      <c r="C31" s="11" t="str">
        <f>TRIM(CONCATENATE('ADJ DETAIL-INPUT'!Z$6," ",'ADJ DETAIL-INPUT'!Z$7," ",'ADJ DETAIL-INPUT'!Z$8))</f>
        <v>Nez Perce Settlement Adjustment</v>
      </c>
      <c r="D31" s="42">
        <f>'ADJ DETAIL-INPUT'!Z$56</f>
        <v>11.85</v>
      </c>
      <c r="E31" s="42">
        <f>'ADJ DETAIL-INPUT'!Z$80</f>
        <v>0</v>
      </c>
      <c r="F31" s="90">
        <f t="shared" si="0"/>
        <v>-15.747926855198807</v>
      </c>
      <c r="G31" s="54"/>
      <c r="H31" s="6"/>
      <c r="I31" s="6" t="s">
        <v>609</v>
      </c>
      <c r="J31" s="6" t="s">
        <v>793</v>
      </c>
    </row>
    <row r="32" spans="1:10">
      <c r="A32" s="85">
        <f>'ADJ DETAIL-INPUT'!AA$9</f>
        <v>2.1799999999999962</v>
      </c>
      <c r="B32" s="153" t="str">
        <f>'ADJ DETAIL-INPUT'!AA$10</f>
        <v>E-RMM</v>
      </c>
      <c r="C32" s="11" t="str">
        <f>TRIM(CONCATENATE('ADJ DETAIL-INPUT'!AA$6," ",'ADJ DETAIL-INPUT'!AA$7," ",'ADJ DETAIL-INPUT'!AA$8))</f>
        <v>Normalize CS2 Major Maint</v>
      </c>
      <c r="D32" s="42">
        <f>'ADJ DETAIL-INPUT'!AA$56</f>
        <v>-263.86</v>
      </c>
      <c r="E32" s="42">
        <f>'ADJ DETAIL-INPUT'!AA$80</f>
        <v>0</v>
      </c>
      <c r="F32" s="90">
        <f t="shared" si="0"/>
        <v>350.65383797576015</v>
      </c>
      <c r="G32" s="54"/>
      <c r="H32" s="5"/>
      <c r="I32" s="6" t="s">
        <v>791</v>
      </c>
      <c r="J32" s="6" t="s">
        <v>793</v>
      </c>
    </row>
    <row r="33" spans="1:10" s="53" customFormat="1">
      <c r="A33" s="85">
        <f>'ADJ DETAIL-INPUT'!AB$9</f>
        <v>2.1899999999999959</v>
      </c>
      <c r="B33" s="153" t="str">
        <f>'ADJ DETAIL-INPUT'!AB$10</f>
        <v>E-APS</v>
      </c>
      <c r="C33" s="11" t="str">
        <f>TRIM(CONCATENATE('ADJ DETAIL-INPUT'!AB$6," ",'ADJ DETAIL-INPUT'!AB$7," ",'ADJ DETAIL-INPUT'!AB$8))</f>
        <v>Authorized Power Supply</v>
      </c>
      <c r="D33" s="42">
        <f>'ADJ DETAIL-INPUT'!AB$56</f>
        <v>46581.56</v>
      </c>
      <c r="E33" s="42">
        <f>'ADJ DETAIL-INPUT'!AB$80</f>
        <v>0</v>
      </c>
      <c r="F33" s="90">
        <f t="shared" si="0"/>
        <v>-61904.05060599617</v>
      </c>
      <c r="G33" s="54"/>
      <c r="I33" s="6" t="s">
        <v>792</v>
      </c>
      <c r="J33" s="6" t="s">
        <v>648</v>
      </c>
    </row>
    <row r="34" spans="1:10" s="53" customFormat="1" hidden="1" outlineLevel="1">
      <c r="A34" s="85">
        <f>'ADJ DETAIL-INPUT'!AC$9</f>
        <v>0</v>
      </c>
      <c r="B34" s="153">
        <f>'ADJ DETAIL-INPUT'!AC$10</f>
        <v>0</v>
      </c>
      <c r="C34" s="11" t="str">
        <f>TRIM(CONCATENATE('ADJ DETAIL-INPUT'!AC$6," ",'ADJ DETAIL-INPUT'!AC$7," ",'ADJ DETAIL-INPUT'!AC$8))</f>
        <v/>
      </c>
      <c r="D34" s="42">
        <f>'ADJ DETAIL-INPUT'!AC$56</f>
        <v>0</v>
      </c>
      <c r="E34" s="42">
        <f>'ADJ DETAIL-INPUT'!AC$80</f>
        <v>0</v>
      </c>
      <c r="F34" s="90">
        <f t="shared" si="0"/>
        <v>0</v>
      </c>
      <c r="G34" s="54"/>
      <c r="H34" s="5"/>
      <c r="I34" s="6"/>
      <c r="J34" s="6"/>
    </row>
    <row r="35" spans="1:10" ht="15" customHeight="1" collapsed="1">
      <c r="A35" s="6"/>
      <c r="B35" s="6"/>
      <c r="C35" s="5" t="s">
        <v>83</v>
      </c>
      <c r="D35" s="422">
        <f>SUM(D10:D34)</f>
        <v>136259.22322620009</v>
      </c>
      <c r="E35" s="422">
        <f>SUM(E10:E34)</f>
        <v>2137939.4</v>
      </c>
      <c r="F35" s="422">
        <f>SUM(F10:F34)</f>
        <v>35134.442262651392</v>
      </c>
      <c r="G35" s="426">
        <f>D35/E35</f>
        <v>6.3733903414755391E-2</v>
      </c>
    </row>
    <row r="36" spans="1:10">
      <c r="A36" s="76" t="s">
        <v>823</v>
      </c>
      <c r="B36" s="76"/>
      <c r="D36" s="93"/>
      <c r="G36" s="20"/>
    </row>
    <row r="37" spans="1:10">
      <c r="A37" s="85" t="str">
        <f>'ADJ DETAIL-INPUT'!AE$9</f>
        <v>3.00P</v>
      </c>
      <c r="B37" s="153" t="str">
        <f>'ADJ DETAIL-INPUT'!AE$10</f>
        <v>E-PPS</v>
      </c>
      <c r="C37" s="11" t="str">
        <f>TRIM(CONCATENATE('ADJ DETAIL-INPUT'!AE$6," ",'ADJ DETAIL-INPUT'!AE$7," ",'ADJ DETAIL-INPUT'!AE$8))</f>
        <v>Pro Forma Power Supply</v>
      </c>
      <c r="D37" s="421">
        <f>'ADJ DETAIL-INPUT'!AE$56</f>
        <v>-16488.88</v>
      </c>
      <c r="E37" s="421">
        <f>'ADJ DETAIL-INPUT'!AE$80</f>
        <v>0</v>
      </c>
      <c r="F37" s="421">
        <f t="shared" ref="F37:F69" si="1">((E37*$G$7)-D37)/$G$71</f>
        <v>21912.71528811397</v>
      </c>
      <c r="G37" s="20"/>
      <c r="I37" s="6" t="s">
        <v>792</v>
      </c>
      <c r="J37" s="6" t="s">
        <v>648</v>
      </c>
    </row>
    <row r="38" spans="1:10">
      <c r="A38" s="85" t="str">
        <f>'ADJ DETAIL-INPUT'!AF$9</f>
        <v>3.00T</v>
      </c>
      <c r="B38" s="153" t="str">
        <f>'ADJ DETAIL-INPUT'!AF$10</f>
        <v>E-PTRAN</v>
      </c>
      <c r="C38" s="11" t="str">
        <f>TRIM(CONCATENATE('ADJ DETAIL-INPUT'!AF$6," ",'ADJ DETAIL-INPUT'!AF$7," ",'ADJ DETAIL-INPUT'!AF$8))</f>
        <v>Pro Forma Transmission Revenue/Expense</v>
      </c>
      <c r="D38" s="42">
        <f>'ADJ DETAIL-INPUT'!AF$56</f>
        <v>2563.5500000000002</v>
      </c>
      <c r="E38" s="42">
        <f>'ADJ DETAIL-INPUT'!AF$80</f>
        <v>0</v>
      </c>
      <c r="F38" s="90">
        <f t="shared" si="1"/>
        <v>-3406.8015096746758</v>
      </c>
      <c r="G38" s="54"/>
      <c r="I38" s="6" t="s">
        <v>648</v>
      </c>
      <c r="J38" s="6" t="s">
        <v>648</v>
      </c>
    </row>
    <row r="39" spans="1:10">
      <c r="A39" s="85">
        <f>'ADJ DETAIL-INPUT'!AG$9</f>
        <v>3.01</v>
      </c>
      <c r="B39" s="153" t="str">
        <f>'ADJ DETAIL-INPUT'!AG$10</f>
        <v>E-PREV</v>
      </c>
      <c r="C39" s="11" t="str">
        <f>TRIM(CONCATENATE('ADJ DETAIL-INPUT'!AG$6," ",'ADJ DETAIL-INPUT'!AG$7," ",'ADJ DETAIL-INPUT'!AG$8))</f>
        <v>Pro Forma Revenue Normalization</v>
      </c>
      <c r="D39" s="42">
        <f>'ADJ DETAIL-INPUT'!AG$56</f>
        <v>25155.97</v>
      </c>
      <c r="E39" s="42">
        <f>'ADJ DETAIL-INPUT'!AG$80</f>
        <v>0</v>
      </c>
      <c r="F39" s="90">
        <f t="shared" si="1"/>
        <v>-33430.748990006381</v>
      </c>
      <c r="G39" s="54"/>
      <c r="I39" s="6" t="s">
        <v>856</v>
      </c>
      <c r="J39" s="6" t="s">
        <v>793</v>
      </c>
    </row>
    <row r="40" spans="1:10">
      <c r="A40" s="85">
        <f>'ADJ DETAIL-INPUT'!AH$9</f>
        <v>3.0199999999999996</v>
      </c>
      <c r="B40" s="153" t="str">
        <f>'ADJ DETAIL-INPUT'!AH$10</f>
        <v>E-PRA</v>
      </c>
      <c r="C40" s="11" t="str">
        <f>TRIM(CONCATENATE('ADJ DETAIL-INPUT'!AH$6," ",'ADJ DETAIL-INPUT'!AH$7," ",'ADJ DETAIL-INPUT'!AH$8))</f>
        <v>Pro Forma Def. Debits, Credits &amp; Regulatory Amorts</v>
      </c>
      <c r="D40" s="42">
        <f>'ADJ DETAIL-INPUT'!AH$56</f>
        <v>-4912.6149999999998</v>
      </c>
      <c r="E40" s="42">
        <f>'ADJ DETAIL-INPUT'!AH$80</f>
        <v>0</v>
      </c>
      <c r="F40" s="90">
        <f t="shared" si="1"/>
        <v>6528.5655432702524</v>
      </c>
      <c r="G40" s="54"/>
      <c r="I40" s="6" t="s">
        <v>609</v>
      </c>
      <c r="J40" s="6" t="s">
        <v>793</v>
      </c>
    </row>
    <row r="41" spans="1:10">
      <c r="A41" s="85">
        <f>'ADJ DETAIL-INPUT'!AI$9</f>
        <v>3.0299999999999994</v>
      </c>
      <c r="B41" s="153" t="str">
        <f>'ADJ DETAIL-INPUT'!AI$10</f>
        <v>E-EDIT</v>
      </c>
      <c r="C41" s="11" t="str">
        <f>TRIM(CONCATENATE('ADJ DETAIL-INPUT'!AI$6," ",'ADJ DETAIL-INPUT'!AI$7," ",'ADJ DETAIL-INPUT'!AI$8))</f>
        <v>Pro Forma EDIT (RSGM)</v>
      </c>
      <c r="D41" s="42">
        <f>'ADJ DETAIL-INPUT'!AI$56</f>
        <v>-92</v>
      </c>
      <c r="E41" s="42">
        <f>'ADJ DETAIL-INPUT'!AI$80</f>
        <v>0</v>
      </c>
      <c r="F41" s="90">
        <f t="shared" si="1"/>
        <v>122.26238571124813</v>
      </c>
      <c r="G41" s="54"/>
      <c r="I41" s="6" t="s">
        <v>872</v>
      </c>
      <c r="J41" s="6" t="s">
        <v>793</v>
      </c>
    </row>
    <row r="42" spans="1:10" s="53" customFormat="1">
      <c r="A42" s="85">
        <f>'ADJ DETAIL-INPUT'!AJ$9</f>
        <v>3.0399999999999991</v>
      </c>
      <c r="B42" s="153" t="str">
        <f>'ADJ DETAIL-INPUT'!AJ$10</f>
        <v>E-PAMI</v>
      </c>
      <c r="C42" s="11" t="str">
        <f>TRIM(CONCATENATE('ADJ DETAIL-INPUT'!AJ$6," ",'ADJ DETAIL-INPUT'!AJ$7," ",'ADJ DETAIL-INPUT'!AJ$8))</f>
        <v>Pro Forma AMI Amortization</v>
      </c>
      <c r="D42" s="42">
        <f>'ADJ DETAIL-INPUT'!AJ$56</f>
        <v>1792.755987</v>
      </c>
      <c r="E42" s="42">
        <f>'ADJ DETAIL-INPUT'!AJ$80</f>
        <v>-7529</v>
      </c>
      <c r="F42" s="90">
        <f t="shared" si="1"/>
        <v>-3143.8880594833086</v>
      </c>
      <c r="G42" s="54"/>
      <c r="I42" s="6" t="s">
        <v>648</v>
      </c>
      <c r="J42" s="6" t="s">
        <v>648</v>
      </c>
    </row>
    <row r="43" spans="1:10" s="53" customFormat="1">
      <c r="A43" s="85">
        <f>'ADJ DETAIL-INPUT'!AK$9</f>
        <v>3.0499999999999989</v>
      </c>
      <c r="B43" s="153" t="str">
        <f>'ADJ DETAIL-INPUT'!AK$10</f>
        <v>E-PLN</v>
      </c>
      <c r="C43" s="11" t="str">
        <f>TRIM(CONCATENATE('ADJ DETAIL-INPUT'!AK$6," ",'ADJ DETAIL-INPUT'!AK$7," ",'ADJ DETAIL-INPUT'!AK$8))</f>
        <v>Pro Forma Labor Non-Exec</v>
      </c>
      <c r="D43" s="42">
        <f>'ADJ DETAIL-INPUT'!AK$56</f>
        <v>-5209.8130000000001</v>
      </c>
      <c r="E43" s="42">
        <f>'ADJ DETAIL-INPUT'!AK$80</f>
        <v>0</v>
      </c>
      <c r="F43" s="90">
        <f t="shared" si="1"/>
        <v>6923.5235487986392</v>
      </c>
      <c r="G43" s="54"/>
      <c r="I43" s="6" t="s">
        <v>800</v>
      </c>
      <c r="J43" s="6" t="s">
        <v>793</v>
      </c>
    </row>
    <row r="44" spans="1:10" s="53" customFormat="1">
      <c r="A44" s="85">
        <f>'ADJ DETAIL-INPUT'!AL$9</f>
        <v>3.0599999999999987</v>
      </c>
      <c r="B44" s="153" t="str">
        <f>'ADJ DETAIL-INPUT'!AL$10</f>
        <v>E-PLE</v>
      </c>
      <c r="C44" s="11" t="str">
        <f>TRIM(CONCATENATE('ADJ DETAIL-INPUT'!AL$6," ",'ADJ DETAIL-INPUT'!AL$7," ",'ADJ DETAIL-INPUT'!AL$8))</f>
        <v>Pro Forma Labor Exec</v>
      </c>
      <c r="D44" s="42">
        <f>'ADJ DETAIL-INPUT'!AL$56</f>
        <v>-47.429230000000004</v>
      </c>
      <c r="E44" s="42">
        <f>'ADJ DETAIL-INPUT'!AL$80</f>
        <v>0</v>
      </c>
      <c r="F44" s="90">
        <f t="shared" si="1"/>
        <v>63.030552307038064</v>
      </c>
      <c r="G44" s="54"/>
      <c r="I44" s="6" t="s">
        <v>800</v>
      </c>
      <c r="J44" s="6" t="s">
        <v>793</v>
      </c>
    </row>
    <row r="45" spans="1:10">
      <c r="A45" s="85">
        <f>'ADJ DETAIL-INPUT'!AM$9</f>
        <v>3.0699999999999985</v>
      </c>
      <c r="B45" s="153" t="str">
        <f>'ADJ DETAIL-INPUT'!AM$10</f>
        <v>E-PEB</v>
      </c>
      <c r="C45" s="11" t="str">
        <f>TRIM(CONCATENATE('ADJ DETAIL-INPUT'!AM$6," ",'ADJ DETAIL-INPUT'!AM$7," ",'ADJ DETAIL-INPUT'!AM$8))</f>
        <v>Pro Forma Employee Benefits</v>
      </c>
      <c r="D45" s="42">
        <f>'ADJ DETAIL-INPUT'!AM$56</f>
        <v>4288.5940000000001</v>
      </c>
      <c r="E45" s="42">
        <f>'ADJ DETAIL-INPUT'!AM$80</f>
        <v>0</v>
      </c>
      <c r="F45" s="90">
        <f t="shared" si="1"/>
        <v>-5699.2797150754832</v>
      </c>
      <c r="G45" s="54"/>
      <c r="H45" s="5"/>
      <c r="I45" s="6" t="s">
        <v>800</v>
      </c>
      <c r="J45" s="6" t="s">
        <v>793</v>
      </c>
    </row>
    <row r="46" spans="1:10">
      <c r="A46" s="85">
        <f>'ADJ DETAIL-INPUT'!AN$9</f>
        <v>3.0799999999999983</v>
      </c>
      <c r="B46" s="153" t="str">
        <f>'ADJ DETAIL-INPUT'!AN$10</f>
        <v>E-PI</v>
      </c>
      <c r="C46" s="11" t="str">
        <f>TRIM(CONCATENATE('ADJ DETAIL-INPUT'!AN$6," ",'ADJ DETAIL-INPUT'!AN$7," ",'ADJ DETAIL-INPUT'!AN$8))</f>
        <v>Pro Forma Incentives</v>
      </c>
      <c r="D46" s="42">
        <f>'ADJ DETAIL-INPUT'!AN$56</f>
        <v>-919.32300000000009</v>
      </c>
      <c r="E46" s="42">
        <f>'ADJ DETAIL-INPUT'!AN$80</f>
        <v>0</v>
      </c>
      <c r="F46" s="90">
        <f t="shared" si="1"/>
        <v>1221.7241654263237</v>
      </c>
      <c r="G46" s="54"/>
      <c r="H46" s="5"/>
      <c r="I46" s="6" t="s">
        <v>648</v>
      </c>
      <c r="J46" s="6" t="s">
        <v>793</v>
      </c>
    </row>
    <row r="47" spans="1:10">
      <c r="A47" s="85">
        <f>'ADJ DETAIL-INPUT'!AO$9</f>
        <v>3.0899999999999981</v>
      </c>
      <c r="B47" s="153" t="str">
        <f>'ADJ DETAIL-INPUT'!AO$10</f>
        <v>E-LIRAP</v>
      </c>
      <c r="C47" s="11" t="str">
        <f>TRIM(CONCATENATE('ADJ DETAIL-INPUT'!AO$6," ",'ADJ DETAIL-INPUT'!AO$7," ",'ADJ DETAIL-INPUT'!AO$8))</f>
        <v>Pro Forma LIRAP Labor</v>
      </c>
      <c r="D47" s="42">
        <f>'ADJ DETAIL-INPUT'!AO$56</f>
        <v>-206.98000000000002</v>
      </c>
      <c r="E47" s="42">
        <f>'ADJ DETAIL-INPUT'!AO$80</f>
        <v>0</v>
      </c>
      <c r="F47" s="90">
        <f t="shared" si="1"/>
        <v>275.06378907080585</v>
      </c>
      <c r="G47" s="458"/>
      <c r="I47" s="6" t="s">
        <v>648</v>
      </c>
      <c r="J47" s="6" t="s">
        <v>793</v>
      </c>
    </row>
    <row r="48" spans="1:10">
      <c r="A48" s="85">
        <f>'ADJ DETAIL-INPUT'!AP$9</f>
        <v>3.0999999999999979</v>
      </c>
      <c r="B48" s="153" t="str">
        <f>'ADJ DETAIL-INPUT'!AP$10</f>
        <v>E-CCA</v>
      </c>
      <c r="C48" s="11" t="str">
        <f>TRIM(CONCATENATE('ADJ DETAIL-INPUT'!AP$6," ",'ADJ DETAIL-INPUT'!AP$7," ",'ADJ DETAIL-INPUT'!AP$8))</f>
        <v>Pro Forma CCA Labor</v>
      </c>
      <c r="D48" s="42">
        <f>'ADJ DETAIL-INPUT'!AP$56</f>
        <v>-300.99</v>
      </c>
      <c r="E48" s="42">
        <f>'ADJ DETAIL-INPUT'!AP$80</f>
        <v>0</v>
      </c>
      <c r="F48" s="90">
        <f t="shared" si="1"/>
        <v>399.99734212204976</v>
      </c>
      <c r="G48" s="458"/>
      <c r="H48" s="5"/>
      <c r="I48" s="6" t="s">
        <v>864</v>
      </c>
      <c r="J48" s="6" t="s">
        <v>793</v>
      </c>
    </row>
    <row r="49" spans="1:10" s="53" customFormat="1">
      <c r="A49" s="85">
        <f>'ADJ DETAIL-INPUT'!AQ$9</f>
        <v>3.1099999999999977</v>
      </c>
      <c r="B49" s="153" t="str">
        <f>'ADJ DETAIL-INPUT'!AQ$10</f>
        <v>E-PPT</v>
      </c>
      <c r="C49" s="11" t="str">
        <f>TRIM(CONCATENATE('ADJ DETAIL-INPUT'!AQ$6," ",'ADJ DETAIL-INPUT'!AQ$7," ",'ADJ DETAIL-INPUT'!AQ$8))</f>
        <v>Pro Forma Property Tax</v>
      </c>
      <c r="D49" s="42">
        <f>'ADJ DETAIL-INPUT'!AQ$56</f>
        <v>146.15</v>
      </c>
      <c r="E49" s="42">
        <f>'ADJ DETAIL-INPUT'!AQ$80</f>
        <v>0</v>
      </c>
      <c r="F49" s="90">
        <f t="shared" si="1"/>
        <v>-194.22443121411865</v>
      </c>
      <c r="G49" s="54"/>
      <c r="H49" s="6"/>
      <c r="I49" s="6" t="s">
        <v>703</v>
      </c>
      <c r="J49" s="6" t="s">
        <v>793</v>
      </c>
    </row>
    <row r="50" spans="1:10" s="15" customFormat="1">
      <c r="A50" s="85">
        <f>'ADJ DETAIL-INPUT'!AR$9</f>
        <v>3.1199999999999974</v>
      </c>
      <c r="B50" s="153" t="str">
        <f>'ADJ DETAIL-INPUT'!AR$10</f>
        <v>E-PINS</v>
      </c>
      <c r="C50" s="11" t="str">
        <f>TRIM(CONCATENATE('ADJ DETAIL-INPUT'!AR$6," ",'ADJ DETAIL-INPUT'!AR$7," ",'ADJ DETAIL-INPUT'!AR$8))</f>
        <v>Pro Forma Insurance Expense</v>
      </c>
      <c r="D50" s="42">
        <f>'ADJ DETAIL-INPUT'!AR$56</f>
        <v>-4155.3999999999996</v>
      </c>
      <c r="E50" s="42">
        <f>'ADJ DETAIL-INPUT'!AR$80</f>
        <v>0</v>
      </c>
      <c r="F50" s="90">
        <f t="shared" si="1"/>
        <v>5522.2730172230486</v>
      </c>
      <c r="G50" s="54"/>
      <c r="H50" s="6"/>
      <c r="I50" s="6" t="s">
        <v>865</v>
      </c>
      <c r="J50" s="6" t="s">
        <v>793</v>
      </c>
    </row>
    <row r="51" spans="1:10">
      <c r="A51" s="85">
        <f>'ADJ DETAIL-INPUT'!AS$9</f>
        <v>3.1299999999999972</v>
      </c>
      <c r="B51" s="153" t="str">
        <f>'ADJ DETAIL-INPUT'!AS$10</f>
        <v>E-PIT</v>
      </c>
      <c r="C51" s="11" t="str">
        <f>TRIM(CONCATENATE('ADJ DETAIL-INPUT'!AS$6," ",'ADJ DETAIL-INPUT'!AS$7," ",'ADJ DETAIL-INPUT'!AS$8))</f>
        <v>Pro Forma IS/IT Expense</v>
      </c>
      <c r="D51" s="42">
        <f>'ADJ DETAIL-INPUT'!AS$56</f>
        <v>-80.185000000000002</v>
      </c>
      <c r="E51" s="42">
        <f>'ADJ DETAIL-INPUT'!AS$80</f>
        <v>0</v>
      </c>
      <c r="F51" s="90">
        <f t="shared" si="1"/>
        <v>106.56097172017861</v>
      </c>
      <c r="G51" s="54"/>
      <c r="I51" s="6" t="s">
        <v>609</v>
      </c>
      <c r="J51" s="6" t="s">
        <v>793</v>
      </c>
    </row>
    <row r="52" spans="1:10" s="15" customFormat="1">
      <c r="A52" s="85">
        <f>'ADJ DETAIL-INPUT'!AT$9</f>
        <v>3.139999999999997</v>
      </c>
      <c r="B52" s="153" t="str">
        <f>'ADJ DETAIL-INPUT'!AT$10</f>
        <v>E-PMisc</v>
      </c>
      <c r="C52" s="11" t="str">
        <f>TRIM(CONCATENATE('ADJ DETAIL-INPUT'!AT$6," ",'ADJ DETAIL-INPUT'!AT$7," ",'ADJ DETAIL-INPUT'!AT$8))</f>
        <v>Pro Forma Misc O&amp;M Exp</v>
      </c>
      <c r="D52" s="42">
        <f>'ADJ DETAIL-INPUT'!AT$56</f>
        <v>-7012.0004999999992</v>
      </c>
      <c r="E52" s="42">
        <f>'ADJ DETAIL-INPUT'!AT$80</f>
        <v>0</v>
      </c>
      <c r="F52" s="90">
        <f t="shared" si="1"/>
        <v>9318.5207580267906</v>
      </c>
      <c r="G52" s="54"/>
      <c r="I52" s="6" t="s">
        <v>648</v>
      </c>
      <c r="J52" s="6" t="s">
        <v>648</v>
      </c>
    </row>
    <row r="53" spans="1:10" s="15" customFormat="1">
      <c r="A53" s="85">
        <f>'ADJ DETAIL-INPUT'!AU$9</f>
        <v>3.1499999999999968</v>
      </c>
      <c r="B53" s="153" t="str">
        <f>'ADJ DETAIL-INPUT'!AU$10</f>
        <v>E-CAP23E</v>
      </c>
      <c r="C53" s="11" t="str">
        <f>TRIM(CONCATENATE('ADJ DETAIL-INPUT'!AU$6," ",'ADJ DETAIL-INPUT'!AU$7," ",'ADJ DETAIL-INPUT'!AU$8))</f>
        <v>Pro Forma Capital Additions to 12.31.2023 EOP</v>
      </c>
      <c r="D53" s="42">
        <f>'ADJ DETAIL-INPUT'!AU$56</f>
        <v>-2860.8231869129622</v>
      </c>
      <c r="E53" s="42">
        <f>'ADJ DETAIL-INPUT'!AU$80</f>
        <v>83421.310559021265</v>
      </c>
      <c r="F53" s="90">
        <f t="shared" si="1"/>
        <v>12238.444769900172</v>
      </c>
      <c r="G53" s="54"/>
      <c r="I53" s="6" t="s">
        <v>704</v>
      </c>
      <c r="J53" s="6" t="s">
        <v>793</v>
      </c>
    </row>
    <row r="54" spans="1:10" s="15" customFormat="1">
      <c r="A54" s="85">
        <f>'ADJ DETAIL-INPUT'!AV$9</f>
        <v>3.1599999999999966</v>
      </c>
      <c r="B54" s="153" t="str">
        <f>'ADJ DETAIL-INPUT'!AV$10</f>
        <v>E-DEP</v>
      </c>
      <c r="C54" s="11" t="str">
        <f>TRIM(CONCATENATE('ADJ DETAIL-INPUT'!AV$6," ",'ADJ DETAIL-INPUT'!AV$7," ",'ADJ DETAIL-INPUT'!AV$8))</f>
        <v>Pro Forma Depreciation Expense</v>
      </c>
      <c r="D54" s="42">
        <f>'ADJ DETAIL-INPUT'!AV$56</f>
        <v>592.73699999999997</v>
      </c>
      <c r="E54" s="42">
        <f>'ADJ DETAIL-INPUT'!AV$80</f>
        <v>0</v>
      </c>
      <c r="F54" s="90">
        <f t="shared" si="1"/>
        <v>-787.71130129704432</v>
      </c>
      <c r="G54" s="54"/>
      <c r="I54" s="6" t="s">
        <v>704</v>
      </c>
      <c r="J54" s="6" t="s">
        <v>793</v>
      </c>
    </row>
    <row r="55" spans="1:10" s="53" customFormat="1">
      <c r="A55" s="85">
        <f>'ADJ DETAIL-INPUT'!AW$9</f>
        <v>3.1699999999999964</v>
      </c>
      <c r="B55" s="153" t="str">
        <f>'ADJ DETAIL-INPUT'!AW$10</f>
        <v>E-CAP24E</v>
      </c>
      <c r="C55" s="11" t="str">
        <f>TRIM(CONCATENATE('ADJ DETAIL-INPUT'!AW$6," ",'ADJ DETAIL-INPUT'!AW$7," ",'ADJ DETAIL-INPUT'!AW$8))</f>
        <v>Pro Forma Capital Additions to 12.31.2024 EOP</v>
      </c>
      <c r="D55" s="42">
        <f>'ADJ DETAIL-INPUT'!AW$56</f>
        <v>-3292.1299926000002</v>
      </c>
      <c r="E55" s="42">
        <f>'ADJ DETAIL-INPUT'!AW$80</f>
        <v>70224.200000000012</v>
      </c>
      <c r="F55" s="90">
        <f t="shared" si="1"/>
        <v>11476.971630608125</v>
      </c>
      <c r="G55" s="54"/>
      <c r="I55" s="6" t="s">
        <v>704</v>
      </c>
      <c r="J55" s="6" t="s">
        <v>793</v>
      </c>
    </row>
    <row r="56" spans="1:10">
      <c r="A56" s="85">
        <f>'ADJ DETAIL-INPUT'!AX$9</f>
        <v>3.1799999999999962</v>
      </c>
      <c r="B56" s="153" t="str">
        <f>'ADJ DETAIL-INPUT'!AX$10</f>
        <v>E-NRA</v>
      </c>
      <c r="C56" s="11" t="str">
        <f>TRIM(CONCATENATE('ADJ DETAIL-INPUT'!AX$6," ",'ADJ DETAIL-INPUT'!AX$7," ",'ADJ DETAIL-INPUT'!AX$8))</f>
        <v>Pro Forma New Regulatory Amortizations</v>
      </c>
      <c r="D56" s="42">
        <f>'ADJ DETAIL-INPUT'!AX$56</f>
        <v>-3616.4619999999995</v>
      </c>
      <c r="E56" s="42">
        <f>'ADJ DETAIL-INPUT'!AX$80</f>
        <v>0</v>
      </c>
      <c r="F56" s="90">
        <f t="shared" si="1"/>
        <v>4806.0573038486064</v>
      </c>
      <c r="G56" s="54"/>
      <c r="I56" s="6" t="s">
        <v>793</v>
      </c>
      <c r="J56" s="6" t="s">
        <v>793</v>
      </c>
    </row>
    <row r="57" spans="1:10" s="53" customFormat="1" ht="14.25" customHeight="1">
      <c r="A57" s="85">
        <f>'ADJ DETAIL-INPUT'!AY$9</f>
        <v>3.1899999999999959</v>
      </c>
      <c r="B57" s="153" t="str">
        <f>'ADJ DETAIL-INPUT'!AY$10</f>
        <v>E-ETRM</v>
      </c>
      <c r="C57" s="11" t="str">
        <f>TRIM(CONCATENATE('ADJ DETAIL-INPUT'!AY$6," ",'ADJ DETAIL-INPUT'!AY$7," ",'ADJ DETAIL-INPUT'!AY$8))</f>
        <v>Pro Forma Nucleus/ETRM Expense</v>
      </c>
      <c r="D57" s="80">
        <f>'ADJ DETAIL-INPUT'!AY$56</f>
        <v>-444.77</v>
      </c>
      <c r="E57" s="80">
        <f>'ADJ DETAIL-INPUT'!AY$80</f>
        <v>0</v>
      </c>
      <c r="F57" s="90">
        <f t="shared" si="1"/>
        <v>591.07218796512859</v>
      </c>
      <c r="G57" s="54"/>
      <c r="I57" s="6" t="s">
        <v>648</v>
      </c>
      <c r="J57" s="6" t="s">
        <v>793</v>
      </c>
    </row>
    <row r="58" spans="1:10" s="53" customFormat="1" ht="14.25" customHeight="1">
      <c r="A58" s="85">
        <f>'ADJ DETAIL-INPUT'!AZ$9</f>
        <v>3.1999999999999957</v>
      </c>
      <c r="B58" s="153" t="str">
        <f>'ADJ DETAIL-INPUT'!AZ$10</f>
        <v>E-PBOD</v>
      </c>
      <c r="C58" s="11" t="str">
        <f>TRIM(CONCATENATE('ADJ DETAIL-INPUT'!AZ$6," ",'ADJ DETAIL-INPUT'!AZ$7," ",'ADJ DETAIL-INPUT'!AZ$8))</f>
        <v>Pro Forma BOD Fees Expense</v>
      </c>
      <c r="D58" s="80">
        <f>'ADJ DETAIL-INPUT'!AZ$56</f>
        <v>-374.38099999999997</v>
      </c>
      <c r="E58" s="80">
        <f>'ADJ DETAIL-INPUT'!AZ$80</f>
        <v>0</v>
      </c>
      <c r="F58" s="90">
        <f t="shared" si="1"/>
        <v>497.52950244524766</v>
      </c>
      <c r="G58" s="54"/>
      <c r="I58" s="6" t="s">
        <v>791</v>
      </c>
      <c r="J58" s="6" t="s">
        <v>791</v>
      </c>
    </row>
    <row r="59" spans="1:10" s="53" customFormat="1">
      <c r="A59" s="85">
        <f>'ADJ DETAIL-INPUT'!BA$9</f>
        <v>3.2099999999999955</v>
      </c>
      <c r="B59" s="153" t="str">
        <f>'ADJ DETAIL-INPUT'!BA$10</f>
        <v>E-TER</v>
      </c>
      <c r="C59" s="11" t="str">
        <f>TRIM(CONCATENATE('ADJ DETAIL-INPUT'!BA$6," ",'ADJ DETAIL-INPUT'!BA$7," ",'ADJ DETAIL-INPUT'!BA$8))</f>
        <v>PF Transportation Electrification Return (Kicker)</v>
      </c>
      <c r="D59" s="80">
        <f>'ADJ DETAIL-INPUT'!BA$56</f>
        <v>-104.28</v>
      </c>
      <c r="E59" s="80">
        <f>'ADJ DETAIL-INPUT'!BA$80</f>
        <v>0</v>
      </c>
      <c r="F59" s="90">
        <f t="shared" si="1"/>
        <v>138.58175632574952</v>
      </c>
      <c r="G59" s="54"/>
      <c r="H59" s="6"/>
      <c r="I59" s="6" t="s">
        <v>648</v>
      </c>
      <c r="J59" s="6" t="s">
        <v>793</v>
      </c>
    </row>
    <row r="60" spans="1:10">
      <c r="A60" s="85">
        <f>'ADJ DETAIL-INPUT'!BB$9</f>
        <v>3.2199999999999953</v>
      </c>
      <c r="B60" s="153" t="str">
        <f>'ADJ DETAIL-INPUT'!BB$10</f>
        <v>E-PMM</v>
      </c>
      <c r="C60" s="11" t="str">
        <f>TRIM(CONCATENATE('ADJ DETAIL-INPUT'!BB$6," ",'ADJ DETAIL-INPUT'!BB$7," ",'ADJ DETAIL-INPUT'!BB$8))</f>
        <v>Pro Forma Remove Normalize CS2 Major Maint</v>
      </c>
      <c r="D60" s="42">
        <f>'ADJ DETAIL-INPUT'!BB$56</f>
        <v>263.86</v>
      </c>
      <c r="E60" s="42">
        <f>'ADJ DETAIL-INPUT'!BB$80</f>
        <v>0</v>
      </c>
      <c r="F60" s="90">
        <f t="shared" si="1"/>
        <v>-350.65383797576015</v>
      </c>
      <c r="G60" s="54"/>
      <c r="I60" s="6" t="s">
        <v>791</v>
      </c>
      <c r="J60" s="6" t="s">
        <v>793</v>
      </c>
    </row>
    <row r="61" spans="1:10">
      <c r="A61" s="85">
        <f>'ADJ DETAIL-INPUT'!BC$9</f>
        <v>3.2299999999999951</v>
      </c>
      <c r="B61" s="153" t="str">
        <f>'ADJ DETAIL-INPUT'!BC$10</f>
        <v>E-PPAI</v>
      </c>
      <c r="C61" s="11" t="str">
        <f>TRIM(CONCATENATE('ADJ DETAIL-INPUT'!BC$6," ",'ADJ DETAIL-INPUT'!BC$7," ",'ADJ DETAIL-INPUT'!BC$8))</f>
        <v>Pro Forma PPA Interest</v>
      </c>
      <c r="D61" s="42">
        <f>'ADJ DETAIL-INPUT'!BC$56</f>
        <v>-1705.6100000000001</v>
      </c>
      <c r="E61" s="42">
        <f>'ADJ DETAIL-INPUT'!BC$80</f>
        <v>0</v>
      </c>
      <c r="F61" s="90">
        <f t="shared" si="1"/>
        <v>2266.6516053582818</v>
      </c>
      <c r="G61" s="54"/>
      <c r="I61" s="6" t="s">
        <v>648</v>
      </c>
      <c r="J61" s="6" t="s">
        <v>793</v>
      </c>
    </row>
    <row r="62" spans="1:10" s="53" customFormat="1" collapsed="1">
      <c r="A62" s="85">
        <f>'ADJ DETAIL-INPUT'!BD$9</f>
        <v>3.2399999999999949</v>
      </c>
      <c r="B62" s="153" t="str">
        <f>'ADJ DETAIL-INPUT'!BD$10</f>
        <v>E-PWF</v>
      </c>
      <c r="C62" s="11" t="str">
        <f>TRIM(CONCATENATE('ADJ DETAIL-INPUT'!BD$6," ",'ADJ DETAIL-INPUT'!BD$7," ",'ADJ DETAIL-INPUT'!BD$8))</f>
        <v>Pro Forma Wildfire Expense</v>
      </c>
      <c r="D62" s="42">
        <f>'ADJ DETAIL-INPUT'!BD$56</f>
        <v>-3204.24</v>
      </c>
      <c r="E62" s="42">
        <f>'ADJ DETAIL-INPUT'!BD$80</f>
        <v>0</v>
      </c>
      <c r="F62" s="90">
        <f t="shared" si="1"/>
        <v>4258.2394216457578</v>
      </c>
      <c r="G62" s="54"/>
      <c r="H62" s="6"/>
      <c r="I62" s="6" t="s">
        <v>648</v>
      </c>
      <c r="J62" s="6" t="s">
        <v>648</v>
      </c>
    </row>
    <row r="63" spans="1:10" s="15" customFormat="1">
      <c r="A63" s="85">
        <f>'ADJ DETAIL-INPUT'!BE$9</f>
        <v>4.01</v>
      </c>
      <c r="B63" s="153" t="str">
        <f>'ADJ DETAIL-INPUT'!BE$10</f>
        <v>E-CAP25A</v>
      </c>
      <c r="C63" s="11" t="str">
        <f>TRIM(CONCATENATE('ADJ DETAIL-INPUT'!BE$6," ",'ADJ DETAIL-INPUT'!BE$7," ",'ADJ DETAIL-INPUT'!BE$8))</f>
        <v>Provisional Capital Additions to 12.31.2025 AMA</v>
      </c>
      <c r="D63" s="42">
        <f>'ADJ DETAIL-INPUT'!BE$56</f>
        <v>-4014.7885836657433</v>
      </c>
      <c r="E63" s="42">
        <f>'ADJ DETAIL-INPUT'!BE$80</f>
        <v>25760.870174959498</v>
      </c>
      <c r="F63" s="90">
        <f t="shared" si="1"/>
        <v>7940.6639432013617</v>
      </c>
      <c r="G63" s="54"/>
      <c r="I63" s="6" t="s">
        <v>819</v>
      </c>
      <c r="J63" s="6" t="s">
        <v>793</v>
      </c>
    </row>
    <row r="64" spans="1:10" s="53" customFormat="1">
      <c r="A64" s="85">
        <f>'ADJ DETAIL-INPUT'!BF$9</f>
        <v>4.0199999999999996</v>
      </c>
      <c r="B64" s="153" t="str">
        <f>'ADJ DETAIL-INPUT'!BF$10</f>
        <v>E-Offsets25</v>
      </c>
      <c r="C64" s="11" t="str">
        <f>TRIM(CONCATENATE('ADJ DETAIL-INPUT'!BF$6," ",'ADJ DETAIL-INPUT'!BF$7," ",'ADJ DETAIL-INPUT'!BF$8))</f>
        <v>2024-2025 Capital Adds O&amp;M &amp; Revenue Offsets</v>
      </c>
      <c r="D64" s="42">
        <f>'ADJ DETAIL-INPUT'!BF$56</f>
        <v>5766.0599000000002</v>
      </c>
      <c r="E64" s="42">
        <f>'ADJ DETAIL-INPUT'!BF$80</f>
        <v>0</v>
      </c>
      <c r="F64" s="90">
        <f t="shared" si="1"/>
        <v>-7662.7417339995745</v>
      </c>
      <c r="G64" s="54"/>
      <c r="I64" s="227" t="s">
        <v>871</v>
      </c>
      <c r="J64" s="6" t="s">
        <v>648</v>
      </c>
    </row>
    <row r="65" spans="1:10" s="53" customFormat="1" hidden="1" outlineLevel="1">
      <c r="A65" s="85">
        <f>'ADJ DETAIL-INPUT'!BG$9</f>
        <v>0</v>
      </c>
      <c r="B65" s="153">
        <f>'ADJ DETAIL-INPUT'!BG$10</f>
        <v>0</v>
      </c>
      <c r="C65" s="11" t="str">
        <f>TRIM(CONCATENATE('ADJ DETAIL-INPUT'!BG$6," ",'ADJ DETAIL-INPUT'!BG$7," ",'ADJ DETAIL-INPUT'!BG$8))</f>
        <v/>
      </c>
      <c r="D65" s="42">
        <f>'ADJ DETAIL-INPUT'!BG$56</f>
        <v>0</v>
      </c>
      <c r="E65" s="42">
        <f>'ADJ DETAIL-INPUT'!BG$80</f>
        <v>0</v>
      </c>
      <c r="F65" s="90">
        <f t="shared" si="1"/>
        <v>0</v>
      </c>
      <c r="G65" s="54"/>
      <c r="H65" s="5"/>
      <c r="I65" s="6"/>
      <c r="J65" s="6"/>
    </row>
    <row r="66" spans="1:10" s="53" customFormat="1" hidden="1" outlineLevel="1">
      <c r="A66" s="85">
        <f>'ADJ DETAIL-INPUT'!BH$9</f>
        <v>0</v>
      </c>
      <c r="B66" s="153">
        <f>'ADJ DETAIL-INPUT'!BH$10</f>
        <v>0</v>
      </c>
      <c r="C66" s="11" t="str">
        <f>TRIM(CONCATENATE('ADJ DETAIL-INPUT'!BH$6," ",'ADJ DETAIL-INPUT'!BH$7," ",'ADJ DETAIL-INPUT'!BH$8))</f>
        <v/>
      </c>
      <c r="D66" s="42">
        <f>'ADJ DETAIL-INPUT'!BH$56</f>
        <v>0</v>
      </c>
      <c r="E66" s="42">
        <f>'ADJ DETAIL-INPUT'!BH$80</f>
        <v>0</v>
      </c>
      <c r="F66" s="90">
        <f t="shared" si="1"/>
        <v>0</v>
      </c>
      <c r="G66" s="54"/>
      <c r="H66" s="5"/>
      <c r="I66" s="6"/>
      <c r="J66" s="6"/>
    </row>
    <row r="67" spans="1:10" s="53" customFormat="1" hidden="1" outlineLevel="1">
      <c r="A67" s="85">
        <f>'ADJ DETAIL-INPUT'!BI$9</f>
        <v>0</v>
      </c>
      <c r="B67" s="153">
        <f>'ADJ DETAIL-INPUT'!BI$10</f>
        <v>0</v>
      </c>
      <c r="C67" s="11" t="str">
        <f>TRIM(CONCATENATE('ADJ DETAIL-INPUT'!BI$6," ",'ADJ DETAIL-INPUT'!BI$7," ",'ADJ DETAIL-INPUT'!BI$8))</f>
        <v/>
      </c>
      <c r="D67" s="42">
        <f>'ADJ DETAIL-INPUT'!BI$56</f>
        <v>0</v>
      </c>
      <c r="E67" s="42">
        <f>'ADJ DETAIL-INPUT'!BI$80</f>
        <v>0</v>
      </c>
      <c r="F67" s="90">
        <f t="shared" si="1"/>
        <v>0</v>
      </c>
      <c r="G67" s="54"/>
      <c r="H67" s="6"/>
      <c r="I67" s="6"/>
      <c r="J67" s="6"/>
    </row>
    <row r="68" spans="1:10" hidden="1" outlineLevel="1">
      <c r="A68" s="85">
        <f>'ADJ DETAIL-INPUT'!BJ$9</f>
        <v>0</v>
      </c>
      <c r="B68" s="153">
        <f>'ADJ DETAIL-INPUT'!BJ$10</f>
        <v>0</v>
      </c>
      <c r="C68" s="11" t="str">
        <f>TRIM(CONCATENATE('ADJ DETAIL-INPUT'!BJ$6," ",'ADJ DETAIL-INPUT'!BJ$7," ",'ADJ DETAIL-INPUT'!BJ$8))</f>
        <v/>
      </c>
      <c r="D68" s="42">
        <f>'ADJ DETAIL-INPUT'!BJ$56</f>
        <v>0</v>
      </c>
      <c r="E68" s="42">
        <f>'ADJ DETAIL-INPUT'!BJ$80</f>
        <v>0</v>
      </c>
      <c r="F68" s="90">
        <f t="shared" si="1"/>
        <v>0</v>
      </c>
      <c r="G68" s="54"/>
      <c r="J68" s="6"/>
    </row>
    <row r="69" spans="1:10" hidden="1" outlineLevel="1">
      <c r="A69" s="85">
        <f>'ADJ DETAIL-INPUT'!BK$9</f>
        <v>0</v>
      </c>
      <c r="B69" s="153">
        <f>'ADJ DETAIL-INPUT'!BK$10</f>
        <v>0</v>
      </c>
      <c r="C69" s="11" t="str">
        <f>TRIM(CONCATENATE('ADJ DETAIL-INPUT'!BK$6," ",'ADJ DETAIL-INPUT'!BK$7," ",'ADJ DETAIL-INPUT'!BK$8))</f>
        <v/>
      </c>
      <c r="D69" s="42">
        <f>'ADJ DETAIL-INPUT'!BK$56</f>
        <v>0</v>
      </c>
      <c r="E69" s="42">
        <f>'ADJ DETAIL-INPUT'!BK$80</f>
        <v>0</v>
      </c>
      <c r="F69" s="90">
        <f t="shared" si="1"/>
        <v>0</v>
      </c>
      <c r="G69" s="54"/>
      <c r="J69" s="6"/>
    </row>
    <row r="70" spans="1:10" ht="13.5" collapsed="1" thickBot="1">
      <c r="A70" s="6"/>
      <c r="B70" s="6"/>
      <c r="C70" s="18" t="s">
        <v>812</v>
      </c>
      <c r="D70" s="423">
        <f>SUM(D35:D69)</f>
        <v>117785.79962002143</v>
      </c>
      <c r="E70" s="423">
        <f>SUM(E35:E69)</f>
        <v>2309816.7807339807</v>
      </c>
      <c r="F70" s="423">
        <f>SUM(F35:F69)</f>
        <v>77066.84216701382</v>
      </c>
      <c r="G70" s="67">
        <f>D70/E70</f>
        <v>5.0993568235569373E-2</v>
      </c>
      <c r="H70" s="5"/>
      <c r="I70" s="5"/>
    </row>
    <row r="71" spans="1:10" s="53" customFormat="1" ht="13.5" thickTop="1">
      <c r="A71" s="76" t="s">
        <v>553</v>
      </c>
      <c r="B71" s="153" t="s">
        <v>554</v>
      </c>
      <c r="C71" s="5" t="s">
        <v>132</v>
      </c>
      <c r="D71" s="90"/>
      <c r="E71" s="90"/>
      <c r="F71" s="90"/>
      <c r="G71" s="420">
        <f>'CF '!E24</f>
        <v>0.75248000000000004</v>
      </c>
      <c r="I71" s="6" t="s">
        <v>609</v>
      </c>
      <c r="J71" s="6" t="s">
        <v>793</v>
      </c>
    </row>
    <row r="72" spans="1:10" s="53" customFormat="1">
      <c r="A72" s="76"/>
      <c r="B72" s="227"/>
      <c r="C72" s="5"/>
      <c r="D72" s="90"/>
      <c r="E72" s="90"/>
      <c r="F72" s="90"/>
      <c r="G72" s="18"/>
      <c r="H72" s="6"/>
      <c r="I72" s="5"/>
      <c r="J72" s="6"/>
    </row>
    <row r="73" spans="1:10" s="53" customFormat="1">
      <c r="A73" s="76" t="s">
        <v>834</v>
      </c>
      <c r="B73" s="227"/>
      <c r="C73" s="5"/>
      <c r="D73" s="90"/>
      <c r="E73" s="90"/>
      <c r="F73" s="90"/>
      <c r="G73" s="18"/>
      <c r="H73" s="6"/>
      <c r="I73" s="5"/>
      <c r="J73" s="6"/>
    </row>
    <row r="74" spans="1:10" s="53" customFormat="1">
      <c r="A74" s="85" t="str">
        <f>'ADJ DETAIL-INPUT'!BN$9</f>
        <v>5.00P</v>
      </c>
      <c r="B74" s="153" t="str">
        <f>'ADJ DETAIL-INPUT'!BN$10</f>
        <v>E-PPS26</v>
      </c>
      <c r="C74" s="11" t="str">
        <f>TRIM(CONCATENATE('ADJ DETAIL-INPUT'!BN$6," ",'ADJ DETAIL-INPUT'!BN$7," ",'ADJ DETAIL-INPUT'!BN$8))</f>
        <v>Pro Forma Power Supply - Remove Colstrip</v>
      </c>
      <c r="D74" s="421">
        <f>'ADJ DETAIL-INPUT'!BN$56</f>
        <v>-44781.35</v>
      </c>
      <c r="E74" s="421">
        <f>'ADJ DETAIL-INPUT'!BN$80</f>
        <v>0</v>
      </c>
      <c r="F74" s="421">
        <f t="shared" ref="F74:F88" si="2">((E74*$G$7)-D74)/$G$71</f>
        <v>59511.681373591317</v>
      </c>
      <c r="G74" s="20"/>
      <c r="I74" s="6" t="s">
        <v>792</v>
      </c>
      <c r="J74" s="6" t="s">
        <v>648</v>
      </c>
    </row>
    <row r="75" spans="1:10" s="53" customFormat="1" hidden="1" outlineLevel="1">
      <c r="A75" s="85">
        <f>'ADJ DETAIL-INPUT'!BO$9</f>
        <v>0</v>
      </c>
      <c r="B75" s="153">
        <f>'ADJ DETAIL-INPUT'!BO$10</f>
        <v>0</v>
      </c>
      <c r="C75" s="11" t="str">
        <f>TRIM(CONCATENATE('ADJ DETAIL-INPUT'!BO$6," ",'ADJ DETAIL-INPUT'!BO$7," ",'ADJ DETAIL-INPUT'!BO$8))</f>
        <v/>
      </c>
      <c r="D75" s="80">
        <f>'ADJ DETAIL-INPUT'!BO$56</f>
        <v>-0.2</v>
      </c>
      <c r="E75" s="80">
        <f>'ADJ DETAIL-INPUT'!BO$80</f>
        <v>0</v>
      </c>
      <c r="F75" s="90">
        <f t="shared" si="2"/>
        <v>0.26578779502445249</v>
      </c>
      <c r="G75" s="20"/>
      <c r="H75" s="6"/>
      <c r="I75" s="6"/>
      <c r="J75" s="6"/>
    </row>
    <row r="76" spans="1:10" s="53" customFormat="1" collapsed="1">
      <c r="A76" s="85">
        <f>'ADJ DETAIL-INPUT'!BP$9</f>
        <v>5.01</v>
      </c>
      <c r="B76" s="153" t="str">
        <f>'ADJ DETAIL-INPUT'!BP$10</f>
        <v>E-AMI26</v>
      </c>
      <c r="C76" s="11" t="str">
        <f>TRIM(CONCATENATE('ADJ DETAIL-INPUT'!BP$6," ",'ADJ DETAIL-INPUT'!BP$7," ",'ADJ DETAIL-INPUT'!BP$8))</f>
        <v>Pro Forma AMI Amortization</v>
      </c>
      <c r="D76" s="42">
        <f>'ADJ DETAIL-INPUT'!BP$56</f>
        <v>231.712176</v>
      </c>
      <c r="E76" s="42">
        <f>'ADJ DETAIL-INPUT'!BP$80</f>
        <v>-2992</v>
      </c>
      <c r="F76" s="90">
        <f t="shared" si="2"/>
        <v>-610.5190516691473</v>
      </c>
      <c r="G76" s="54"/>
      <c r="I76" s="6" t="s">
        <v>648</v>
      </c>
      <c r="J76" s="6" t="s">
        <v>648</v>
      </c>
    </row>
    <row r="77" spans="1:10" s="53" customFormat="1">
      <c r="A77" s="85">
        <f>'ADJ DETAIL-INPUT'!BQ$9</f>
        <v>5.0199999999999996</v>
      </c>
      <c r="B77" s="153" t="str">
        <f>'ADJ DETAIL-INPUT'!BQ$10</f>
        <v>E-PLN26</v>
      </c>
      <c r="C77" s="11" t="str">
        <f>TRIM(CONCATENATE('ADJ DETAIL-INPUT'!BQ$6," ",'ADJ DETAIL-INPUT'!BQ$7," ",'ADJ DETAIL-INPUT'!BQ$8))</f>
        <v>Pro Forma Labor Non-Exec</v>
      </c>
      <c r="D77" s="42">
        <f>'ADJ DETAIL-INPUT'!BQ$56</f>
        <v>-2087.1800000000003</v>
      </c>
      <c r="E77" s="42">
        <f>'ADJ DETAIL-INPUT'!BQ$80</f>
        <v>0</v>
      </c>
      <c r="F77" s="90">
        <f t="shared" si="2"/>
        <v>2773.7348500956837</v>
      </c>
      <c r="G77" s="54"/>
      <c r="I77" s="6" t="s">
        <v>704</v>
      </c>
      <c r="J77" s="6" t="s">
        <v>793</v>
      </c>
    </row>
    <row r="78" spans="1:10" s="53" customFormat="1">
      <c r="A78" s="85">
        <f>'ADJ DETAIL-INPUT'!BR$9</f>
        <v>5.0299999999999994</v>
      </c>
      <c r="B78" s="153" t="str">
        <f>'ADJ DETAIL-INPUT'!BR$10</f>
        <v>E-PEB26</v>
      </c>
      <c r="C78" s="11" t="str">
        <f>TRIM(CONCATENATE('ADJ DETAIL-INPUT'!BR$6," ",'ADJ DETAIL-INPUT'!BR$7," ",'ADJ DETAIL-INPUT'!BR$8))</f>
        <v>Pro Forma Employee Benefits</v>
      </c>
      <c r="D78" s="42">
        <f>'ADJ DETAIL-INPUT'!BR$56</f>
        <v>-366.32299999999998</v>
      </c>
      <c r="E78" s="42">
        <f>'ADJ DETAIL-INPUT'!BR$80</f>
        <v>0</v>
      </c>
      <c r="F78" s="90">
        <f t="shared" si="2"/>
        <v>486.82091218371249</v>
      </c>
      <c r="G78" s="54"/>
      <c r="I78" s="6" t="s">
        <v>704</v>
      </c>
      <c r="J78" s="6" t="s">
        <v>793</v>
      </c>
    </row>
    <row r="79" spans="1:10" s="53" customFormat="1">
      <c r="A79" s="85">
        <f>'ADJ DETAIL-INPUT'!BS$9</f>
        <v>5.0399999999999991</v>
      </c>
      <c r="B79" s="153" t="str">
        <f>'ADJ DETAIL-INPUT'!BS$10</f>
        <v>E-PPT26</v>
      </c>
      <c r="C79" s="11" t="str">
        <f>TRIM(CONCATENATE('ADJ DETAIL-INPUT'!BS$6," ",'ADJ DETAIL-INPUT'!BS$7," ",'ADJ DETAIL-INPUT'!BS$8))</f>
        <v>Pro Forma Property Tax</v>
      </c>
      <c r="D79" s="42">
        <f>'ADJ DETAIL-INPUT'!BS$56</f>
        <v>-590.13</v>
      </c>
      <c r="E79" s="42">
        <f>'ADJ DETAIL-INPUT'!BS$80</f>
        <v>0</v>
      </c>
      <c r="F79" s="90">
        <f t="shared" si="2"/>
        <v>784.24675738890062</v>
      </c>
      <c r="G79" s="54"/>
      <c r="H79" s="6"/>
      <c r="I79" s="6" t="s">
        <v>703</v>
      </c>
      <c r="J79" s="6" t="s">
        <v>793</v>
      </c>
    </row>
    <row r="80" spans="1:10" s="53" customFormat="1">
      <c r="A80" s="85">
        <f>'ADJ DETAIL-INPUT'!BT$9</f>
        <v>5.0499999999999989</v>
      </c>
      <c r="B80" s="153" t="str">
        <f>'ADJ DETAIL-INPUT'!BT$10</f>
        <v>E-ETRM26</v>
      </c>
      <c r="C80" s="11" t="str">
        <f>TRIM(CONCATENATE('ADJ DETAIL-INPUT'!BT$6," ",'ADJ DETAIL-INPUT'!BT$7," ",'ADJ DETAIL-INPUT'!BT$8))</f>
        <v>Pro Forma Nucleus/ETRM Expense</v>
      </c>
      <c r="D80" s="42">
        <f>'ADJ DETAIL-INPUT'!BT$56</f>
        <v>163.53</v>
      </c>
      <c r="E80" s="42">
        <f>'ADJ DETAIL-INPUT'!BT$80</f>
        <v>0</v>
      </c>
      <c r="F80" s="90">
        <f t="shared" si="2"/>
        <v>-217.32139060174356</v>
      </c>
      <c r="G80" s="54"/>
      <c r="I80" s="6" t="s">
        <v>648</v>
      </c>
      <c r="J80" s="6" t="s">
        <v>793</v>
      </c>
    </row>
    <row r="81" spans="1:10" s="53" customFormat="1">
      <c r="A81" s="85">
        <f>'ADJ DETAIL-INPUT'!BU$9</f>
        <v>5.0599999999999987</v>
      </c>
      <c r="B81" s="153" t="str">
        <f>'ADJ DETAIL-INPUT'!BU$10</f>
        <v>E-PMisc26</v>
      </c>
      <c r="C81" s="11" t="str">
        <f>TRIM(CONCATENATE('ADJ DETAIL-INPUT'!BU$6," ",'ADJ DETAIL-INPUT'!BU$7," ",'ADJ DETAIL-INPUT'!BU$8))</f>
        <v>Pro Forma Misc O&amp;M Exp</v>
      </c>
      <c r="D81" s="42">
        <f>'ADJ DETAIL-INPUT'!BU$56</f>
        <v>-2804.8002000000001</v>
      </c>
      <c r="E81" s="42">
        <f>'ADJ DETAIL-INPUT'!BU$80</f>
        <v>0</v>
      </c>
      <c r="F81" s="90">
        <f t="shared" si="2"/>
        <v>3727.4083032107164</v>
      </c>
      <c r="G81" s="54"/>
      <c r="H81" s="6"/>
      <c r="I81" s="6" t="s">
        <v>648</v>
      </c>
      <c r="J81" s="6" t="s">
        <v>648</v>
      </c>
    </row>
    <row r="82" spans="1:10" s="53" customFormat="1">
      <c r="A82" s="85">
        <f>'ADJ DETAIL-INPUT'!BV$9</f>
        <v>5.0699999999999985</v>
      </c>
      <c r="B82" s="153" t="str">
        <f>'ADJ DETAIL-INPUT'!BV$10</f>
        <v>E-CAP26A</v>
      </c>
      <c r="C82" s="11" t="str">
        <f>TRIM(CONCATENATE('ADJ DETAIL-INPUT'!BV$6," ",'ADJ DETAIL-INPUT'!BV$7," ",'ADJ DETAIL-INPUT'!BV$8))</f>
        <v>Provisional Capital Adds to 12.31.2026 AMA</v>
      </c>
      <c r="D82" s="42">
        <f>'ADJ DETAIL-INPUT'!BV$56</f>
        <v>-2479.0547683</v>
      </c>
      <c r="E82" s="42">
        <f>'ADJ DETAIL-INPUT'!BV$80</f>
        <v>93236.1</v>
      </c>
      <c r="F82" s="90">
        <f t="shared" si="2"/>
        <v>12723.689637332554</v>
      </c>
      <c r="G82" s="54"/>
      <c r="I82" s="6" t="s">
        <v>704</v>
      </c>
      <c r="J82" s="6" t="s">
        <v>793</v>
      </c>
    </row>
    <row r="83" spans="1:10" s="53" customFormat="1">
      <c r="A83" s="85">
        <f>'ADJ DETAIL-INPUT'!BW$9</f>
        <v>5.0799999999999983</v>
      </c>
      <c r="B83" s="153" t="str">
        <f>'ADJ DETAIL-INPUT'!BW$10</f>
        <v>E-Offsets26</v>
      </c>
      <c r="C83" s="11" t="str">
        <f>TRIM(CONCATENATE('ADJ DETAIL-INPUT'!BW$6," ",'ADJ DETAIL-INPUT'!BW$7," ",'ADJ DETAIL-INPUT'!BW$8))</f>
        <v>2026 Capital Adds O&amp;M &amp; Revenue Offsets</v>
      </c>
      <c r="D83" s="42">
        <f>'ADJ DETAIL-INPUT'!BW$56</f>
        <v>3037.0230700000002</v>
      </c>
      <c r="E83" s="42">
        <f>'ADJ DETAIL-INPUT'!BW$80</f>
        <v>0</v>
      </c>
      <c r="F83" s="90">
        <f t="shared" si="2"/>
        <v>-4036.0183260684671</v>
      </c>
      <c r="G83" s="54"/>
      <c r="H83" s="6"/>
      <c r="I83" s="227" t="s">
        <v>871</v>
      </c>
      <c r="J83" s="6" t="s">
        <v>648</v>
      </c>
    </row>
    <row r="84" spans="1:10" s="53" customFormat="1">
      <c r="A84" s="85">
        <f>'ADJ DETAIL-INPUT'!BX$9</f>
        <v>5.0899999999999981</v>
      </c>
      <c r="B84" s="153" t="str">
        <f>'ADJ DETAIL-INPUT'!BX$10</f>
        <v>E-EDIT26</v>
      </c>
      <c r="C84" s="11" t="str">
        <f>TRIM(CONCATENATE('ADJ DETAIL-INPUT'!BX$6," ",'ADJ DETAIL-INPUT'!BX$7," ",'ADJ DETAIL-INPUT'!BX$8))</f>
        <v>Pro Forma EDIT</v>
      </c>
      <c r="D84" s="80">
        <f>'ADJ DETAIL-INPUT'!BX$56</f>
        <v>-767</v>
      </c>
      <c r="E84" s="80">
        <f>'ADJ DETAIL-INPUT'!BX$80</f>
        <v>0</v>
      </c>
      <c r="F84" s="90">
        <f t="shared" si="2"/>
        <v>1019.2961939187752</v>
      </c>
      <c r="G84" s="54"/>
      <c r="H84" s="6"/>
      <c r="I84" s="6" t="s">
        <v>862</v>
      </c>
      <c r="J84" s="6" t="s">
        <v>793</v>
      </c>
    </row>
    <row r="85" spans="1:10" s="53" customFormat="1">
      <c r="A85" s="85">
        <f>'ADJ DETAIL-INPUT'!BY$9</f>
        <v>5.0999999999999979</v>
      </c>
      <c r="B85" s="153" t="str">
        <f>'ADJ DETAIL-INPUT'!BY$10</f>
        <v>E-TER26</v>
      </c>
      <c r="C85" s="11" t="str">
        <f>TRIM(CONCATENATE('ADJ DETAIL-INPUT'!BY$6," ",'ADJ DETAIL-INPUT'!BY$7," ",'ADJ DETAIL-INPUT'!BY$8))</f>
        <v>PF Transportation Electrification Return (Kicker)</v>
      </c>
      <c r="D85" s="42">
        <f>'ADJ DETAIL-INPUT'!BY$56</f>
        <v>-28.44</v>
      </c>
      <c r="E85" s="42">
        <f>'ADJ DETAIL-INPUT'!BY$80</f>
        <v>0</v>
      </c>
      <c r="F85" s="90">
        <f t="shared" si="2"/>
        <v>37.795024452477143</v>
      </c>
      <c r="G85" s="54"/>
      <c r="I85" s="6" t="s">
        <v>648</v>
      </c>
      <c r="J85" s="6" t="s">
        <v>793</v>
      </c>
    </row>
    <row r="86" spans="1:10" s="53" customFormat="1">
      <c r="A86" s="85">
        <f>'ADJ DETAIL-INPUT'!BZ$9</f>
        <v>5.1099999999999977</v>
      </c>
      <c r="B86" s="153" t="str">
        <f>'ADJ DETAIL-INPUT'!BZ$10</f>
        <v>E-CS2A</v>
      </c>
      <c r="C86" s="11" t="str">
        <f>TRIM(CONCATENATE('ADJ DETAIL-INPUT'!BZ$6," ",'ADJ DETAIL-INPUT'!BZ$7," ",'ADJ DETAIL-INPUT'!BZ$8))</f>
        <v>Pro Forma CS2 Amortization</v>
      </c>
      <c r="D86" s="80">
        <f>'ADJ DETAIL-INPUT'!BZ$56</f>
        <v>-1312.19</v>
      </c>
      <c r="E86" s="80">
        <f>'ADJ DETAIL-INPUT'!BZ$80</f>
        <v>0</v>
      </c>
      <c r="F86" s="90">
        <f t="shared" si="2"/>
        <v>1743.8204337656814</v>
      </c>
      <c r="G86" s="54"/>
      <c r="H86" s="6"/>
      <c r="I86" s="6" t="s">
        <v>648</v>
      </c>
      <c r="J86" s="6" t="s">
        <v>648</v>
      </c>
    </row>
    <row r="87" spans="1:10" s="53" customFormat="1">
      <c r="A87" s="85">
        <f>'ADJ DETAIL-INPUT'!CA$9</f>
        <v>5.1199999999999974</v>
      </c>
      <c r="B87" s="153" t="str">
        <f>'ADJ DETAIL-INPUT'!CA$10</f>
        <v>E-PPAI26</v>
      </c>
      <c r="C87" s="11" t="str">
        <f>TRIM(CONCATENATE('ADJ DETAIL-INPUT'!CA$6," ",'ADJ DETAIL-INPUT'!CA$7," ",'ADJ DETAIL-INPUT'!CA$8))</f>
        <v>Pro Forma PPA Interest</v>
      </c>
      <c r="D87" s="42">
        <f>'ADJ DETAIL-INPUT'!CA$56</f>
        <v>-139.04</v>
      </c>
      <c r="E87" s="42">
        <f>'ADJ DETAIL-INPUT'!CA$80</f>
        <v>0</v>
      </c>
      <c r="F87" s="90">
        <f t="shared" si="2"/>
        <v>184.77567510099934</v>
      </c>
      <c r="G87" s="54"/>
      <c r="I87" s="6" t="s">
        <v>648</v>
      </c>
      <c r="J87" s="6" t="s">
        <v>793</v>
      </c>
    </row>
    <row r="88" spans="1:10" s="53" customFormat="1" hidden="1" outlineLevel="1">
      <c r="A88" s="85">
        <f>'ADJ DETAIL-INPUT'!CB$9</f>
        <v>0</v>
      </c>
      <c r="B88" s="153">
        <f>'ADJ DETAIL-INPUT'!CB$10</f>
        <v>0</v>
      </c>
      <c r="C88" s="11" t="str">
        <f>TRIM(CONCATENATE('ADJ DETAIL-INPUT'!CB$6," ",'ADJ DETAIL-INPUT'!CB$7," ",'ADJ DETAIL-INPUT'!CB$8))</f>
        <v/>
      </c>
      <c r="D88" s="42">
        <f>'ADJ DETAIL-INPUT'!CB$56</f>
        <v>0</v>
      </c>
      <c r="E88" s="42">
        <f>'ADJ DETAIL-INPUT'!CB$80</f>
        <v>0</v>
      </c>
      <c r="F88" s="90">
        <f t="shared" si="2"/>
        <v>0</v>
      </c>
      <c r="G88" s="54"/>
      <c r="H88" s="6"/>
      <c r="I88" s="6"/>
      <c r="J88" s="6"/>
    </row>
    <row r="89" spans="1:10" ht="13.5" collapsed="1" thickBot="1">
      <c r="A89" s="6"/>
      <c r="B89" s="6"/>
      <c r="C89" s="18" t="s">
        <v>814</v>
      </c>
      <c r="D89" s="423">
        <f>SUM(D70:D88)</f>
        <v>65862.356897721416</v>
      </c>
      <c r="E89" s="423">
        <f>SUM(E70:E88)</f>
        <v>2400060.8807339808</v>
      </c>
      <c r="F89" s="423">
        <f>SUM(F70:F88)</f>
        <v>155196.51834751025</v>
      </c>
      <c r="G89" s="67">
        <f>D89/E89</f>
        <v>2.7441952588127493E-2</v>
      </c>
      <c r="H89" s="5"/>
      <c r="I89" s="5"/>
    </row>
    <row r="90" spans="1:10" s="53" customFormat="1" ht="14.25" thickTop="1" thickBot="1">
      <c r="A90" s="76"/>
      <c r="B90" s="227"/>
      <c r="C90" s="227" t="s">
        <v>813</v>
      </c>
      <c r="D90" s="158"/>
      <c r="E90" s="158"/>
      <c r="F90" s="424">
        <f>F89-F70</f>
        <v>78129.676180496434</v>
      </c>
      <c r="G90" s="18"/>
      <c r="H90" s="6"/>
      <c r="I90" s="5"/>
      <c r="J90" s="6"/>
    </row>
  </sheetData>
  <customSheetViews>
    <customSheetView guid="{6E1B8C45-B07F-11D2-B0DC-0000832CDFF0}" scale="75" showPageBreaks="1" printArea="1" hiddenRows="1" showRuler="0" topLeftCell="A49">
      <selection activeCell="O30" sqref="O30"/>
      <rowBreaks count="1" manualBreakCount="1">
        <brk id="48" max="65535" man="1"/>
      </rowBreaks>
      <pageMargins left="0.75" right="0.75" top="1" bottom="1" header="0.5" footer="0.5"/>
      <pageSetup orientation="portrait" horizontalDpi="4294967292" verticalDpi="0" r:id="rId1"/>
      <headerFooter alignWithMargins="0">
        <oddHeader xml:space="preserve">&amp;C
</oddHeader>
        <oddFooter xml:space="preserve">&amp;C
</oddFooter>
      </headerFooter>
    </customSheetView>
    <customSheetView guid="{A15D1962-B049-11D2-8670-0000832CEEE8}" scale="75" showPageBreaks="1" hiddenRows="1" showRuler="0" topLeftCell="A20">
      <selection activeCell="A42" sqref="A42:IV47"/>
      <rowBreaks count="1" manualBreakCount="1">
        <brk id="48" max="65535" man="1"/>
      </rowBreaks>
      <pageMargins left="0.75" right="0.75" top="1" bottom="1" header="0.5" footer="0.5"/>
      <pageSetup orientation="portrait" horizontalDpi="4294967292" verticalDpi="0" r:id="rId2"/>
      <headerFooter alignWithMargins="0">
        <oddHeader xml:space="preserve">&amp;C
</oddHeader>
        <oddFooter xml:space="preserve">&amp;C
</oddFooter>
      </headerFooter>
    </customSheetView>
  </customSheetViews>
  <mergeCells count="5">
    <mergeCell ref="A1:G1"/>
    <mergeCell ref="A2:G2"/>
    <mergeCell ref="A3:G3"/>
    <mergeCell ref="A4:G4"/>
    <mergeCell ref="D7:F7"/>
  </mergeCells>
  <phoneticPr fontId="0" type="noConversion"/>
  <printOptions horizontalCentered="1"/>
  <pageMargins left="0.75" right="1" top="0.75" bottom="0.75" header="0.5" footer="0.5"/>
  <pageSetup scale="66" orientation="portrait" r:id="rId3"/>
  <headerFooter scaleWithDoc="0" alignWithMargins="0">
    <oddHeader>&amp;RExh. KJS-2</oddHeader>
    <oddFooter>&amp;C
&amp;RPage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66AB6-CBB4-45D0-B9F3-288A842A7696}">
  <sheetPr codeName="Sheet9">
    <pageSetUpPr fitToPage="1"/>
  </sheetPr>
  <dimension ref="A1:E44"/>
  <sheetViews>
    <sheetView zoomScaleNormal="100" workbookViewId="0"/>
  </sheetViews>
  <sheetFormatPr defaultColWidth="9.28515625" defaultRowHeight="12.75"/>
  <cols>
    <col min="1" max="1" width="30.7109375" style="294" customWidth="1"/>
    <col min="2" max="2" width="9.28515625" style="294" customWidth="1"/>
    <col min="3" max="3" width="9.5703125" style="294" customWidth="1"/>
    <col min="4" max="4" width="15.28515625" style="294" customWidth="1"/>
    <col min="5" max="5" width="12" style="294" customWidth="1"/>
    <col min="6" max="9" width="9.28515625" style="294"/>
    <col min="10" max="10" width="9.42578125" style="294" customWidth="1"/>
    <col min="11" max="16384" width="9.28515625" style="294"/>
  </cols>
  <sheetData>
    <row r="1" spans="1:5" s="291" customFormat="1">
      <c r="A1" s="289" t="s">
        <v>114</v>
      </c>
      <c r="B1" s="289"/>
      <c r="C1" s="289"/>
      <c r="D1" s="289"/>
      <c r="E1" s="290"/>
    </row>
    <row r="2" spans="1:5" s="291" customFormat="1">
      <c r="A2" s="289" t="s">
        <v>680</v>
      </c>
      <c r="B2" s="289"/>
      <c r="C2" s="289"/>
      <c r="D2" s="289"/>
      <c r="E2" s="292"/>
    </row>
    <row r="3" spans="1:5" s="291" customFormat="1">
      <c r="A3" s="454" t="s">
        <v>761</v>
      </c>
      <c r="B3" s="289"/>
      <c r="C3" s="289"/>
      <c r="D3" s="289"/>
      <c r="E3" s="289"/>
    </row>
    <row r="4" spans="1:5">
      <c r="A4" s="293"/>
      <c r="B4" s="293"/>
      <c r="C4" s="293"/>
      <c r="E4" s="293"/>
    </row>
    <row r="5" spans="1:5">
      <c r="A5" s="293" t="s">
        <v>681</v>
      </c>
      <c r="B5" s="293"/>
      <c r="C5" s="293"/>
      <c r="E5" s="293">
        <v>1</v>
      </c>
    </row>
    <row r="6" spans="1:5">
      <c r="A6" s="293"/>
      <c r="B6" s="293"/>
      <c r="C6" s="293"/>
      <c r="E6" s="293"/>
    </row>
    <row r="7" spans="1:5">
      <c r="A7" s="293" t="s">
        <v>165</v>
      </c>
      <c r="B7" s="293"/>
      <c r="C7" s="293"/>
      <c r="E7" s="293"/>
    </row>
    <row r="8" spans="1:5">
      <c r="A8" s="293"/>
      <c r="B8" s="293"/>
      <c r="C8" s="293"/>
      <c r="E8" s="293"/>
    </row>
    <row r="9" spans="1:5">
      <c r="A9" s="293" t="s">
        <v>682</v>
      </c>
      <c r="B9" s="293"/>
      <c r="C9" s="293"/>
      <c r="E9" s="293">
        <f>E30</f>
        <v>4.9516574516858527E-3</v>
      </c>
    </row>
    <row r="10" spans="1:5">
      <c r="A10" s="293"/>
      <c r="B10" s="293"/>
      <c r="C10" s="293"/>
      <c r="E10" s="293"/>
    </row>
    <row r="11" spans="1:5">
      <c r="A11" s="293" t="s">
        <v>683</v>
      </c>
      <c r="B11" s="293"/>
      <c r="C11" s="293"/>
      <c r="E11" s="451">
        <v>4.0000000000000001E-3</v>
      </c>
    </row>
    <row r="12" spans="1:5">
      <c r="A12" s="293"/>
      <c r="B12" s="293"/>
      <c r="C12" s="293"/>
      <c r="E12" s="293"/>
    </row>
    <row r="13" spans="1:5">
      <c r="A13" s="293" t="s">
        <v>684</v>
      </c>
      <c r="B13" s="293"/>
      <c r="C13" s="293"/>
      <c r="E13" s="293">
        <f>E43</f>
        <v>3.8542202500266402E-2</v>
      </c>
    </row>
    <row r="14" spans="1:5">
      <c r="A14" s="293"/>
      <c r="B14" s="293"/>
      <c r="C14" s="293"/>
      <c r="E14" s="293"/>
    </row>
    <row r="15" spans="1:5">
      <c r="A15" s="293"/>
      <c r="B15" s="293"/>
      <c r="C15" s="293"/>
      <c r="E15" s="293"/>
    </row>
    <row r="16" spans="1:5">
      <c r="A16" s="293" t="s">
        <v>169</v>
      </c>
      <c r="B16" s="293"/>
      <c r="C16" s="293"/>
      <c r="E16" s="295">
        <f>SUM(E8:E14)</f>
        <v>4.7493859951952253E-2</v>
      </c>
    </row>
    <row r="18" spans="1:5">
      <c r="A18" s="293" t="s">
        <v>170</v>
      </c>
      <c r="B18" s="293"/>
      <c r="C18" s="293"/>
      <c r="E18" s="293">
        <f>E5-E16</f>
        <v>0.95250614004804779</v>
      </c>
    </row>
    <row r="19" spans="1:5">
      <c r="A19" s="293"/>
      <c r="B19" s="293"/>
      <c r="C19" s="293"/>
      <c r="E19" s="293"/>
    </row>
    <row r="20" spans="1:5">
      <c r="A20" s="293" t="s">
        <v>685</v>
      </c>
      <c r="B20" s="455">
        <v>0.21</v>
      </c>
      <c r="C20" s="296" t="s">
        <v>686</v>
      </c>
      <c r="E20" s="293">
        <f>E18*$B$20</f>
        <v>0.20002628941009004</v>
      </c>
    </row>
    <row r="21" spans="1:5">
      <c r="A21" s="293"/>
      <c r="B21" s="293"/>
      <c r="C21" s="293"/>
      <c r="E21" s="293"/>
    </row>
    <row r="22" spans="1:5">
      <c r="A22" s="293" t="s">
        <v>171</v>
      </c>
      <c r="B22" s="293"/>
      <c r="C22" s="293"/>
      <c r="E22" s="297">
        <f>E18-E20</f>
        <v>0.75247985063795775</v>
      </c>
    </row>
    <row r="23" spans="1:5">
      <c r="A23" s="293"/>
      <c r="B23" s="293"/>
      <c r="C23" s="293"/>
      <c r="E23" s="293"/>
    </row>
    <row r="24" spans="1:5">
      <c r="A24" s="293"/>
      <c r="B24" s="293"/>
      <c r="C24" s="293"/>
      <c r="E24" s="293"/>
    </row>
    <row r="25" spans="1:5">
      <c r="A25" s="293" t="s">
        <v>677</v>
      </c>
      <c r="B25" s="293"/>
      <c r="C25" s="293"/>
      <c r="E25" s="293"/>
    </row>
    <row r="26" spans="1:5">
      <c r="A26" s="293" t="s">
        <v>687</v>
      </c>
      <c r="B26" s="293"/>
      <c r="C26" s="293"/>
      <c r="E26" s="293"/>
    </row>
    <row r="27" spans="1:5">
      <c r="A27" s="293" t="s">
        <v>688</v>
      </c>
      <c r="B27" s="293"/>
      <c r="C27" s="298" t="s">
        <v>679</v>
      </c>
      <c r="D27" s="452">
        <v>2978288</v>
      </c>
      <c r="E27" s="299"/>
    </row>
    <row r="28" spans="1:5">
      <c r="A28" s="293" t="s">
        <v>689</v>
      </c>
      <c r="B28" s="293"/>
      <c r="C28" s="293"/>
      <c r="D28" s="450"/>
      <c r="E28" s="299"/>
    </row>
    <row r="29" spans="1:5">
      <c r="A29" s="293" t="s">
        <v>690</v>
      </c>
      <c r="B29" s="293"/>
      <c r="C29" s="298" t="s">
        <v>686</v>
      </c>
      <c r="D29" s="453">
        <v>601472947</v>
      </c>
      <c r="E29" s="299"/>
    </row>
    <row r="30" spans="1:5">
      <c r="A30" s="293" t="s">
        <v>691</v>
      </c>
      <c r="B30" s="293"/>
      <c r="C30" s="293"/>
      <c r="E30" s="295">
        <f>D27/D29</f>
        <v>4.9516574516858527E-3</v>
      </c>
    </row>
    <row r="31" spans="1:5">
      <c r="A31" s="293" t="s">
        <v>692</v>
      </c>
      <c r="B31" s="293"/>
      <c r="C31" s="293"/>
      <c r="E31" s="293"/>
    </row>
    <row r="32" spans="1:5">
      <c r="A32" s="293" t="s">
        <v>693</v>
      </c>
      <c r="B32" s="293"/>
      <c r="E32" s="293"/>
    </row>
    <row r="34" spans="1:5" ht="24" customHeight="1">
      <c r="A34" s="708" t="s">
        <v>852</v>
      </c>
      <c r="B34" s="708"/>
      <c r="C34" s="708"/>
      <c r="D34" s="708"/>
      <c r="E34" s="708"/>
    </row>
    <row r="35" spans="1:5">
      <c r="A35" s="293"/>
      <c r="B35" s="293"/>
      <c r="C35" s="293"/>
      <c r="E35" s="293"/>
    </row>
    <row r="36" spans="1:5">
      <c r="A36" s="293" t="s">
        <v>694</v>
      </c>
      <c r="B36" s="293"/>
      <c r="C36" s="293"/>
      <c r="E36" s="293"/>
    </row>
    <row r="37" spans="1:5">
      <c r="A37" s="293" t="s">
        <v>695</v>
      </c>
      <c r="B37" s="293"/>
      <c r="C37" s="293"/>
      <c r="D37" s="293">
        <v>3.8733999999999998E-2</v>
      </c>
      <c r="E37" s="293"/>
    </row>
    <row r="38" spans="1:5">
      <c r="A38" s="293" t="s">
        <v>696</v>
      </c>
      <c r="B38" s="293"/>
      <c r="C38" s="293"/>
      <c r="D38" s="293"/>
      <c r="E38" s="293"/>
    </row>
    <row r="39" spans="1:5">
      <c r="A39" s="293" t="s">
        <v>697</v>
      </c>
      <c r="B39" s="293"/>
      <c r="C39" s="293"/>
      <c r="D39" s="293"/>
      <c r="E39" s="293"/>
    </row>
    <row r="40" spans="1:5">
      <c r="A40" s="293" t="s">
        <v>698</v>
      </c>
      <c r="C40" s="293">
        <v>1</v>
      </c>
      <c r="D40" s="293"/>
      <c r="E40" s="293"/>
    </row>
    <row r="41" spans="1:5">
      <c r="A41" s="293" t="s">
        <v>699</v>
      </c>
      <c r="C41" s="293"/>
      <c r="D41" s="293"/>
      <c r="E41" s="293"/>
    </row>
    <row r="42" spans="1:5">
      <c r="A42" s="293" t="s">
        <v>700</v>
      </c>
      <c r="C42" s="300">
        <f>E30</f>
        <v>4.9516574516858527E-3</v>
      </c>
      <c r="D42" s="300">
        <f>C40-C42</f>
        <v>0.9950483425483142</v>
      </c>
      <c r="E42" s="300"/>
    </row>
    <row r="43" spans="1:5">
      <c r="A43" s="293" t="s">
        <v>701</v>
      </c>
      <c r="B43" s="293"/>
      <c r="C43" s="293"/>
      <c r="D43" s="293"/>
      <c r="E43" s="300">
        <f>D37*D42</f>
        <v>3.8542202500266402E-2</v>
      </c>
    </row>
    <row r="44" spans="1:5">
      <c r="A44" s="293" t="s">
        <v>702</v>
      </c>
      <c r="B44" s="293"/>
      <c r="C44" s="293"/>
      <c r="D44" s="293"/>
      <c r="E44" s="293"/>
    </row>
  </sheetData>
  <mergeCells count="1">
    <mergeCell ref="A34:E34"/>
  </mergeCells>
  <printOptions horizontalCentered="1"/>
  <pageMargins left="0.75" right="0.75" top="0.75" bottom="0.75" header="0.5" footer="0.5"/>
  <pageSetup scale="10" orientation="portrait" horizontalDpi="300" verticalDpi="300" r:id="rId1"/>
  <headerFooter alignWithMargins="0">
    <oddFooter>&amp;L&amp;F&amp;RPage &amp;P of &amp;N</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S504"/>
  <sheetViews>
    <sheetView topLeftCell="A107" zoomScaleNormal="100" workbookViewId="0">
      <selection activeCell="C136" sqref="C136"/>
    </sheetView>
  </sheetViews>
  <sheetFormatPr defaultColWidth="12.42578125" defaultRowHeight="12.75"/>
  <cols>
    <col min="1" max="1" width="7.7109375" style="98" customWidth="1"/>
    <col min="2" max="2" width="26.28515625" style="97" customWidth="1"/>
    <col min="3" max="3" width="12.42578125" style="97" customWidth="1"/>
    <col min="4" max="4" width="5.5703125" style="97" bestFit="1" customWidth="1"/>
    <col min="5" max="5" width="14.5703125" style="97" customWidth="1"/>
    <col min="6" max="8" width="12.42578125" style="97" customWidth="1"/>
    <col min="9" max="9" width="12.42578125" style="97"/>
    <col min="20" max="16384" width="12.42578125" style="97"/>
  </cols>
  <sheetData>
    <row r="1" spans="1:8">
      <c r="A1" s="120" t="s">
        <v>114</v>
      </c>
      <c r="B1" s="121"/>
      <c r="C1" s="120"/>
    </row>
    <row r="2" spans="1:8">
      <c r="A2" s="120" t="s">
        <v>84</v>
      </c>
      <c r="B2" s="121"/>
      <c r="C2" s="120"/>
    </row>
    <row r="3" spans="1:8">
      <c r="A3" s="121" t="s">
        <v>761</v>
      </c>
      <c r="B3" s="121"/>
      <c r="C3" s="120"/>
    </row>
    <row r="4" spans="1:8">
      <c r="A4" s="120" t="s">
        <v>0</v>
      </c>
      <c r="B4" s="121"/>
      <c r="C4" s="120"/>
      <c r="F4" s="159"/>
    </row>
    <row r="5" spans="1:8">
      <c r="A5" s="120"/>
      <c r="B5" s="121"/>
      <c r="C5" s="120"/>
    </row>
    <row r="6" spans="1:8">
      <c r="A6" s="120"/>
      <c r="B6" s="121"/>
      <c r="C6" s="120"/>
      <c r="E6" s="120" t="s">
        <v>85</v>
      </c>
      <c r="F6" s="120"/>
      <c r="G6" s="120"/>
    </row>
    <row r="7" spans="1:8">
      <c r="A7" s="120"/>
      <c r="B7" s="121"/>
      <c r="C7" s="120"/>
      <c r="E7" s="120" t="s">
        <v>86</v>
      </c>
      <c r="F7" s="120"/>
      <c r="G7" s="120"/>
    </row>
    <row r="8" spans="1:8">
      <c r="A8" s="120"/>
      <c r="B8" s="121"/>
      <c r="C8" s="120"/>
      <c r="E8" s="119" t="s">
        <v>87</v>
      </c>
      <c r="F8" s="119"/>
      <c r="G8" s="118"/>
    </row>
    <row r="9" spans="1:8">
      <c r="A9" s="98" t="s">
        <v>8</v>
      </c>
    </row>
    <row r="10" spans="1:8" s="98" customFormat="1" ht="12">
      <c r="A10" s="98" t="s">
        <v>88</v>
      </c>
      <c r="B10" s="117" t="s">
        <v>21</v>
      </c>
      <c r="C10" s="117"/>
      <c r="E10" s="117" t="s">
        <v>89</v>
      </c>
      <c r="F10" s="117" t="s">
        <v>90</v>
      </c>
      <c r="G10" s="117" t="s">
        <v>74</v>
      </c>
      <c r="H10" s="116" t="s">
        <v>91</v>
      </c>
    </row>
    <row r="11" spans="1:8" s="98" customFormat="1" ht="5.25" customHeight="1">
      <c r="H11" s="116"/>
    </row>
    <row r="12" spans="1:8" s="98" customFormat="1" ht="5.25" customHeight="1">
      <c r="H12" s="116"/>
    </row>
    <row r="13" spans="1:8">
      <c r="B13" s="100" t="s">
        <v>39</v>
      </c>
    </row>
    <row r="14" spans="1:8" s="104" customFormat="1" ht="12">
      <c r="A14" s="107">
        <v>1</v>
      </c>
      <c r="B14" s="106" t="s">
        <v>40</v>
      </c>
      <c r="E14" s="111">
        <f>F14+G14</f>
        <v>600149.4</v>
      </c>
      <c r="F14" s="111">
        <f>SUM(F86:F89)+F91+1.4</f>
        <v>600149.4</v>
      </c>
      <c r="G14" s="111">
        <f>SUM(G86:G90)</f>
        <v>0</v>
      </c>
      <c r="H14" s="104" t="str">
        <f t="shared" ref="H14:H18" si="0">IF(E14=F14+G14," ","ERROR")</f>
        <v xml:space="preserve"> </v>
      </c>
    </row>
    <row r="15" spans="1:8">
      <c r="A15" s="98">
        <v>2</v>
      </c>
      <c r="B15" s="100" t="s">
        <v>41</v>
      </c>
      <c r="E15" s="109">
        <f>F15+G15</f>
        <v>1324</v>
      </c>
      <c r="F15" s="109">
        <f>SUM(F90)</f>
        <v>1324</v>
      </c>
      <c r="G15" s="109">
        <f>SUM(G91)</f>
        <v>0</v>
      </c>
      <c r="H15" s="104" t="str">
        <f t="shared" si="0"/>
        <v xml:space="preserve"> </v>
      </c>
    </row>
    <row r="16" spans="1:8">
      <c r="A16" s="98">
        <v>3</v>
      </c>
      <c r="B16" s="100" t="s">
        <v>92</v>
      </c>
      <c r="E16" s="109">
        <f>F16+G16</f>
        <v>149694</v>
      </c>
      <c r="F16" s="109">
        <f>SUM(F94)</f>
        <v>149694</v>
      </c>
      <c r="G16" s="109">
        <f>SUM(G94)</f>
        <v>0</v>
      </c>
      <c r="H16" s="104" t="str">
        <f t="shared" si="0"/>
        <v xml:space="preserve"> </v>
      </c>
    </row>
    <row r="17" spans="1:8">
      <c r="A17" s="98">
        <v>4</v>
      </c>
      <c r="B17" s="100" t="s">
        <v>93</v>
      </c>
      <c r="E17" s="115">
        <f>E14+E15+E16</f>
        <v>751167.4</v>
      </c>
      <c r="F17" s="115">
        <f>F14+F15+F16</f>
        <v>751167.4</v>
      </c>
      <c r="G17" s="115">
        <f>G14+G15+G16</f>
        <v>0</v>
      </c>
      <c r="H17" s="104">
        <f>F17-(H95/1000)</f>
        <v>7.7000000048428774E-2</v>
      </c>
    </row>
    <row r="18" spans="1:8">
      <c r="A18" s="98">
        <v>5</v>
      </c>
      <c r="B18" s="100" t="s">
        <v>44</v>
      </c>
      <c r="E18" s="110">
        <f>F18+G18</f>
        <v>24101</v>
      </c>
      <c r="F18" s="109">
        <f>SUM(F98:F104)</f>
        <v>24101</v>
      </c>
      <c r="G18" s="109">
        <f>SUM(G100:G104)</f>
        <v>0</v>
      </c>
      <c r="H18" s="104" t="str">
        <f t="shared" si="0"/>
        <v xml:space="preserve"> </v>
      </c>
    </row>
    <row r="19" spans="1:8">
      <c r="A19" s="98">
        <v>6</v>
      </c>
      <c r="B19" s="100" t="s">
        <v>94</v>
      </c>
      <c r="E19" s="115">
        <f>E17+E18</f>
        <v>775268.4</v>
      </c>
      <c r="F19" s="115">
        <f>F17+F18</f>
        <v>775268.4</v>
      </c>
      <c r="G19" s="115">
        <f>G17+G18</f>
        <v>0</v>
      </c>
      <c r="H19" s="104">
        <f>F19-(H106/1000)</f>
        <v>-1.5000000013969839E-2</v>
      </c>
    </row>
    <row r="20" spans="1:8">
      <c r="E20" s="110"/>
      <c r="F20" s="110"/>
      <c r="G20" s="110"/>
      <c r="H20" s="104"/>
    </row>
    <row r="21" spans="1:8">
      <c r="B21" s="100" t="s">
        <v>46</v>
      </c>
      <c r="E21" s="110"/>
      <c r="F21" s="110"/>
      <c r="G21" s="110"/>
      <c r="H21" s="104"/>
    </row>
    <row r="22" spans="1:8">
      <c r="B22" s="100" t="s">
        <v>47</v>
      </c>
      <c r="E22" s="110"/>
      <c r="F22" s="110"/>
      <c r="G22" s="110"/>
      <c r="H22" s="104"/>
    </row>
    <row r="23" spans="1:8">
      <c r="A23" s="98">
        <v>7</v>
      </c>
      <c r="B23" s="100" t="s">
        <v>95</v>
      </c>
      <c r="E23" s="109">
        <f>F23+G23</f>
        <v>193745.7</v>
      </c>
      <c r="F23" s="109">
        <f>SUM(F165-F161+F186)+0.7</f>
        <v>193745.7</v>
      </c>
      <c r="G23" s="109">
        <f>SUM(G165-G161+G186)</f>
        <v>0</v>
      </c>
      <c r="H23" s="104" t="str">
        <f>IF(E23=F23+G23," ","ERROR")</f>
        <v xml:space="preserve"> </v>
      </c>
    </row>
    <row r="24" spans="1:8">
      <c r="A24" s="98">
        <v>8</v>
      </c>
      <c r="B24" s="100" t="s">
        <v>96</v>
      </c>
      <c r="E24" s="109">
        <f>F24+G24</f>
        <v>133893</v>
      </c>
      <c r="F24" s="109">
        <f>SUM(F161)</f>
        <v>133893</v>
      </c>
      <c r="G24" s="109">
        <f>SUM(G161)</f>
        <v>0</v>
      </c>
      <c r="H24" s="104" t="str">
        <f>IF(E24=F24+G24," ","ERROR")</f>
        <v xml:space="preserve"> </v>
      </c>
    </row>
    <row r="25" spans="1:8">
      <c r="A25" s="98">
        <v>9</v>
      </c>
      <c r="B25" s="100" t="s">
        <v>513</v>
      </c>
      <c r="E25" s="109">
        <f>F25+G25</f>
        <v>45659.5</v>
      </c>
      <c r="F25" s="109">
        <f>SUM(F188:F190)+0.5</f>
        <v>45659.5</v>
      </c>
      <c r="G25" s="109">
        <f>SUM(G188:G190)</f>
        <v>0</v>
      </c>
      <c r="H25" s="104" t="str">
        <f>IF(E25=F25+G25," ","ERROR")</f>
        <v xml:space="preserve"> </v>
      </c>
    </row>
    <row r="26" spans="1:8">
      <c r="A26" s="98">
        <v>10</v>
      </c>
      <c r="B26" s="100" t="s">
        <v>632</v>
      </c>
      <c r="E26" s="109">
        <f>F26+G26</f>
        <v>-12767</v>
      </c>
      <c r="F26" s="109">
        <f>SUM(F191:F207)</f>
        <v>-12767</v>
      </c>
      <c r="G26" s="109">
        <f>SUM(G192:G207)</f>
        <v>0</v>
      </c>
      <c r="H26" s="104"/>
    </row>
    <row r="27" spans="1:8">
      <c r="A27" s="98">
        <v>11</v>
      </c>
      <c r="B27" s="100" t="s">
        <v>97</v>
      </c>
      <c r="E27" s="108">
        <f>F27+G27</f>
        <v>12505</v>
      </c>
      <c r="F27" s="109">
        <f>SUM(F208)</f>
        <v>12505</v>
      </c>
      <c r="G27" s="109">
        <f>SUM(G208)</f>
        <v>0</v>
      </c>
      <c r="H27" s="104" t="str">
        <f>IF(E27=F27+G27," ","ERROR")</f>
        <v xml:space="preserve"> </v>
      </c>
    </row>
    <row r="28" spans="1:8">
      <c r="A28" s="98">
        <v>12</v>
      </c>
      <c r="B28" s="100" t="s">
        <v>98</v>
      </c>
      <c r="E28" s="115">
        <f>SUM(E23:E27)</f>
        <v>373036.2</v>
      </c>
      <c r="F28" s="115">
        <f>SUM(F23:F27)</f>
        <v>373036.2</v>
      </c>
      <c r="G28" s="115">
        <f>SUM(G23:G27)</f>
        <v>0</v>
      </c>
      <c r="H28" s="104">
        <f>F28-H211/1000</f>
        <v>-0.39699999999720603</v>
      </c>
    </row>
    <row r="29" spans="1:8">
      <c r="E29" s="109"/>
      <c r="F29" s="110"/>
      <c r="G29" s="110"/>
      <c r="H29" s="104"/>
    </row>
    <row r="30" spans="1:8">
      <c r="B30" s="100" t="s">
        <v>51</v>
      </c>
      <c r="E30" s="109"/>
      <c r="F30" s="110"/>
      <c r="G30" s="110"/>
      <c r="H30" s="104"/>
    </row>
    <row r="31" spans="1:8">
      <c r="A31" s="98">
        <v>13</v>
      </c>
      <c r="B31" s="100" t="s">
        <v>95</v>
      </c>
      <c r="E31" s="109">
        <f>F31+G31</f>
        <v>35176</v>
      </c>
      <c r="F31" s="109">
        <f>SUM(F237)</f>
        <v>35176</v>
      </c>
      <c r="G31" s="109">
        <f>SUM(G237)</f>
        <v>0</v>
      </c>
      <c r="H31" s="104" t="str">
        <f>IF(E31=F31+G31," ","ERROR")</f>
        <v xml:space="preserve"> </v>
      </c>
    </row>
    <row r="32" spans="1:8">
      <c r="A32" s="98">
        <v>14</v>
      </c>
      <c r="B32" s="100" t="s">
        <v>513</v>
      </c>
      <c r="E32" s="109">
        <f>F32+G32</f>
        <v>38618.5</v>
      </c>
      <c r="F32" s="109">
        <f>SUM(F239:F240)-0.5</f>
        <v>38618.5</v>
      </c>
      <c r="G32" s="109">
        <f>SUM(G239:G240)</f>
        <v>0</v>
      </c>
      <c r="H32" s="104" t="str">
        <f>IF(E32=F32+G32," ","ERROR")</f>
        <v xml:space="preserve"> </v>
      </c>
    </row>
    <row r="33" spans="1:8">
      <c r="B33" s="100" t="s">
        <v>649</v>
      </c>
      <c r="E33" s="109"/>
      <c r="F33" s="109"/>
      <c r="G33" s="109"/>
      <c r="H33" s="104"/>
    </row>
    <row r="34" spans="1:8">
      <c r="A34" s="98">
        <v>15</v>
      </c>
      <c r="B34" s="100" t="s">
        <v>97</v>
      </c>
      <c r="E34" s="108">
        <f>F34+G34</f>
        <v>50732</v>
      </c>
      <c r="F34" s="109">
        <f>SUM(F241)</f>
        <v>50732</v>
      </c>
      <c r="G34" s="109">
        <f>SUM(G241)</f>
        <v>0</v>
      </c>
      <c r="H34" s="104" t="str">
        <f>IF(E34=F34+G34," ","ERROR")</f>
        <v xml:space="preserve"> </v>
      </c>
    </row>
    <row r="35" spans="1:8">
      <c r="A35" s="98">
        <v>16</v>
      </c>
      <c r="B35" s="100" t="s">
        <v>99</v>
      </c>
      <c r="E35" s="109">
        <f>E31+E32+E34</f>
        <v>124526.5</v>
      </c>
      <c r="F35" s="115">
        <f>F31+F32+F34</f>
        <v>124526.5</v>
      </c>
      <c r="G35" s="115">
        <f>G31+G32+G34</f>
        <v>0</v>
      </c>
      <c r="H35" s="104">
        <f>F35-H244/1000</f>
        <v>0.11000000000058208</v>
      </c>
    </row>
    <row r="36" spans="1:8">
      <c r="E36" s="110"/>
      <c r="F36" s="110"/>
      <c r="G36" s="110"/>
      <c r="H36" s="104"/>
    </row>
    <row r="37" spans="1:8">
      <c r="A37" s="98">
        <v>17</v>
      </c>
      <c r="B37" s="100" t="s">
        <v>53</v>
      </c>
      <c r="E37" s="109">
        <f>F37+G37</f>
        <v>5749</v>
      </c>
      <c r="F37" s="109">
        <f>SUM(F252)</f>
        <v>5749</v>
      </c>
      <c r="G37" s="109">
        <f>SUM(G252)</f>
        <v>0</v>
      </c>
      <c r="H37" s="104">
        <f>F37-H252/1000</f>
        <v>-0.13500000000021828</v>
      </c>
    </row>
    <row r="38" spans="1:8">
      <c r="A38" s="98">
        <v>18</v>
      </c>
      <c r="B38" s="100" t="s">
        <v>54</v>
      </c>
      <c r="E38" s="109">
        <f>F38+G38</f>
        <v>24545</v>
      </c>
      <c r="F38" s="109">
        <f>SUM(F258)</f>
        <v>24545</v>
      </c>
      <c r="G38" s="109">
        <f>SUM(G258)</f>
        <v>0</v>
      </c>
      <c r="H38" s="104">
        <f>F38-H258/1000</f>
        <v>0.18200000000069849</v>
      </c>
    </row>
    <row r="39" spans="1:8">
      <c r="A39" s="98">
        <v>19</v>
      </c>
      <c r="B39" s="100" t="s">
        <v>55</v>
      </c>
      <c r="E39" s="109">
        <f>F39+G39</f>
        <v>73</v>
      </c>
      <c r="F39" s="109">
        <f>SUM(F264)</f>
        <v>73</v>
      </c>
      <c r="G39" s="109">
        <f>SUM(G264)</f>
        <v>0</v>
      </c>
      <c r="H39" s="104">
        <f>F39-H264/1000</f>
        <v>-0.46099999999999852</v>
      </c>
    </row>
    <row r="40" spans="1:8">
      <c r="E40" s="110"/>
      <c r="F40" s="110"/>
      <c r="G40" s="110"/>
      <c r="H40" s="104"/>
    </row>
    <row r="41" spans="1:8">
      <c r="B41" s="100" t="s">
        <v>56</v>
      </c>
      <c r="E41" s="110"/>
      <c r="F41" s="110"/>
      <c r="G41" s="110"/>
      <c r="H41" s="104"/>
    </row>
    <row r="42" spans="1:8">
      <c r="A42" s="98">
        <v>20</v>
      </c>
      <c r="B42" s="100" t="s">
        <v>95</v>
      </c>
      <c r="E42" s="109">
        <f>F42+G42</f>
        <v>87937</v>
      </c>
      <c r="F42" s="109">
        <f>SUM(F279)</f>
        <v>87937</v>
      </c>
      <c r="G42" s="109">
        <f>SUM(G279)</f>
        <v>0</v>
      </c>
      <c r="H42" s="104" t="str">
        <f>IF(E42=F42+G42," ","ERROR")</f>
        <v xml:space="preserve"> </v>
      </c>
    </row>
    <row r="43" spans="1:8">
      <c r="A43" s="98">
        <v>21</v>
      </c>
      <c r="B43" s="100" t="s">
        <v>513</v>
      </c>
      <c r="E43" s="109">
        <f>F43+G43</f>
        <v>45673</v>
      </c>
      <c r="F43" s="109">
        <f>SUM(F281:F284)</f>
        <v>45673</v>
      </c>
      <c r="G43" s="109">
        <f>SUM(G307)</f>
        <v>0</v>
      </c>
      <c r="H43" s="104" t="str">
        <f>IF(E43=F43+G43," ","ERROR")</f>
        <v xml:space="preserve"> </v>
      </c>
    </row>
    <row r="44" spans="1:8">
      <c r="A44" s="98">
        <v>22</v>
      </c>
      <c r="B44" s="100" t="s">
        <v>632</v>
      </c>
      <c r="E44" s="109">
        <f>F44+G44</f>
        <v>-2229</v>
      </c>
      <c r="F44" s="109">
        <f>SUM(F285:F305)</f>
        <v>-2229</v>
      </c>
      <c r="G44" s="109">
        <f>G285+G286+G293+G295+G296+G298+G299+G304</f>
        <v>0</v>
      </c>
      <c r="H44" s="104"/>
    </row>
    <row r="45" spans="1:8">
      <c r="A45" s="98">
        <v>23</v>
      </c>
      <c r="B45" s="100" t="s">
        <v>97</v>
      </c>
      <c r="E45" s="109">
        <f>F45+G45</f>
        <v>4307</v>
      </c>
      <c r="F45" s="109">
        <f>F306+1</f>
        <v>4307</v>
      </c>
      <c r="G45" s="109">
        <v>0</v>
      </c>
      <c r="H45" s="104" t="str">
        <f>IF(E45=F45+G45," ","ERROR")</f>
        <v xml:space="preserve"> </v>
      </c>
    </row>
    <row r="46" spans="1:8" ht="18.75" customHeight="1">
      <c r="A46" s="98">
        <v>24</v>
      </c>
      <c r="B46" s="100" t="s">
        <v>100</v>
      </c>
      <c r="E46" s="114">
        <f>E42+E43+E44+E45</f>
        <v>135688</v>
      </c>
      <c r="F46" s="114">
        <f>F42+F43+F44+F45</f>
        <v>135688</v>
      </c>
      <c r="G46" s="114">
        <f>G42+G43+G44+G45</f>
        <v>0</v>
      </c>
      <c r="H46" s="104">
        <f>F46-H309/1000</f>
        <v>0.32699999999022111</v>
      </c>
    </row>
    <row r="47" spans="1:8">
      <c r="A47" s="98">
        <v>25</v>
      </c>
      <c r="B47" s="100" t="s">
        <v>58</v>
      </c>
      <c r="E47" s="113">
        <f>E28+E35+E37+E38+E39+E46</f>
        <v>663617.69999999995</v>
      </c>
      <c r="F47" s="113">
        <f>F28+F35+F37+F38+F39+F46</f>
        <v>663617.69999999995</v>
      </c>
      <c r="G47" s="113">
        <f>G28+G35+G37+G38+G39+G46</f>
        <v>0</v>
      </c>
      <c r="H47" s="104">
        <f>F47/H311/1000</f>
        <v>9.9999943642282405E-7</v>
      </c>
    </row>
    <row r="49" spans="1:8">
      <c r="A49" s="98">
        <v>26</v>
      </c>
      <c r="B49" s="100" t="s">
        <v>101</v>
      </c>
      <c r="E49" s="110">
        <f>E19-E47</f>
        <v>111650.70000000007</v>
      </c>
      <c r="F49" s="110">
        <f>F19-F47</f>
        <v>111650.70000000007</v>
      </c>
      <c r="G49" s="110">
        <f>G19-G47</f>
        <v>0</v>
      </c>
      <c r="H49" s="104">
        <f>F49-H313/1000</f>
        <v>0.35900000006949995</v>
      </c>
    </row>
    <row r="50" spans="1:8">
      <c r="B50" s="100"/>
      <c r="E50" s="110"/>
      <c r="F50" s="110"/>
      <c r="G50" s="110"/>
      <c r="H50" s="104"/>
    </row>
    <row r="51" spans="1:8">
      <c r="B51" s="100" t="s">
        <v>102</v>
      </c>
      <c r="E51" s="110"/>
      <c r="F51" s="110"/>
      <c r="G51" s="110"/>
      <c r="H51" s="104"/>
    </row>
    <row r="52" spans="1:8">
      <c r="A52" s="98">
        <v>27</v>
      </c>
      <c r="B52" s="100" t="s">
        <v>103</v>
      </c>
      <c r="D52" s="112">
        <v>0.21</v>
      </c>
      <c r="E52" s="109">
        <f>F52+G52</f>
        <v>-6746</v>
      </c>
      <c r="F52" s="109">
        <f>SUM(F315)</f>
        <v>-6746</v>
      </c>
      <c r="G52" s="109">
        <f>SUM(G315)</f>
        <v>0</v>
      </c>
      <c r="H52" s="104">
        <f>F52-H315/1000</f>
        <v>-1.2999999999919964E-2</v>
      </c>
    </row>
    <row r="53" spans="1:8">
      <c r="A53" s="98">
        <v>28</v>
      </c>
      <c r="B53" s="100" t="s">
        <v>522</v>
      </c>
      <c r="D53" s="112"/>
      <c r="E53" s="109"/>
      <c r="F53" s="109"/>
      <c r="G53" s="109"/>
      <c r="H53" s="104"/>
    </row>
    <row r="54" spans="1:8">
      <c r="A54" s="98">
        <v>29</v>
      </c>
      <c r="B54" s="100" t="s">
        <v>104</v>
      </c>
      <c r="E54" s="109">
        <f>F54+G54</f>
        <v>-6498</v>
      </c>
      <c r="F54" s="109">
        <f t="shared" ref="F54:G55" si="1">SUM(F316)</f>
        <v>-6498</v>
      </c>
      <c r="G54" s="109">
        <f t="shared" si="1"/>
        <v>0</v>
      </c>
      <c r="H54" s="104">
        <f>F54-H316/1000</f>
        <v>7.9999999998108251E-3</v>
      </c>
    </row>
    <row r="55" spans="1:8">
      <c r="A55" s="98">
        <v>30</v>
      </c>
      <c r="B55" s="100" t="s">
        <v>105</v>
      </c>
      <c r="E55" s="108">
        <f>F55+G55</f>
        <v>-312</v>
      </c>
      <c r="F55" s="108">
        <f t="shared" si="1"/>
        <v>-312</v>
      </c>
      <c r="G55" s="108">
        <f t="shared" si="1"/>
        <v>0</v>
      </c>
      <c r="H55" s="104">
        <f>F55-H317/1000</f>
        <v>0.20299999999997453</v>
      </c>
    </row>
    <row r="56" spans="1:8" s="104" customFormat="1" ht="12">
      <c r="A56" s="98"/>
      <c r="B56" s="100"/>
      <c r="C56" s="97"/>
      <c r="D56" s="97"/>
      <c r="E56" s="109"/>
      <c r="F56" s="109"/>
      <c r="G56" s="109"/>
    </row>
    <row r="57" spans="1:8" ht="13.5" thickBot="1">
      <c r="A57" s="107">
        <v>31</v>
      </c>
      <c r="B57" s="106" t="s">
        <v>64</v>
      </c>
      <c r="C57" s="104"/>
      <c r="D57" s="104"/>
      <c r="E57" s="105">
        <f>E49-SUM(E52:E55)</f>
        <v>125206.70000000007</v>
      </c>
      <c r="F57" s="105">
        <f>F49-SUM(F52:F55)</f>
        <v>125206.70000000007</v>
      </c>
      <c r="G57" s="105">
        <f>G49-(G51+G52+G54+G55)</f>
        <v>0</v>
      </c>
      <c r="H57" s="104">
        <f>F57-H318/1000</f>
        <v>0.16100000006554183</v>
      </c>
    </row>
    <row r="58" spans="1:8" ht="13.5" thickTop="1">
      <c r="H58" s="104"/>
    </row>
    <row r="59" spans="1:8">
      <c r="B59" s="100" t="s">
        <v>65</v>
      </c>
      <c r="H59" s="104"/>
    </row>
    <row r="60" spans="1:8" s="104" customFormat="1" ht="12">
      <c r="A60" s="98"/>
      <c r="B60" s="100" t="s">
        <v>66</v>
      </c>
      <c r="C60" s="97"/>
      <c r="D60" s="97"/>
      <c r="E60" s="97"/>
      <c r="F60" s="97"/>
      <c r="G60" s="97"/>
    </row>
    <row r="61" spans="1:8">
      <c r="A61" s="107">
        <v>32</v>
      </c>
      <c r="B61" s="106" t="s">
        <v>106</v>
      </c>
      <c r="C61" s="104"/>
      <c r="D61" s="104"/>
      <c r="E61" s="111">
        <f>F61+G61</f>
        <v>244562</v>
      </c>
      <c r="F61" s="111">
        <f>SUM(F335)</f>
        <v>244562</v>
      </c>
      <c r="G61" s="111">
        <f>SUM(G335)</f>
        <v>0</v>
      </c>
      <c r="H61" s="104">
        <f>F61-H335/1000</f>
        <v>-9.7000000008847564E-2</v>
      </c>
    </row>
    <row r="62" spans="1:8">
      <c r="A62" s="98">
        <v>33</v>
      </c>
      <c r="B62" s="100" t="s">
        <v>107</v>
      </c>
      <c r="E62" s="109">
        <f>F62+G62</f>
        <v>1009757</v>
      </c>
      <c r="F62" s="109">
        <f>SUM(F368)</f>
        <v>1009757</v>
      </c>
      <c r="G62" s="109">
        <f>SUM(G368)</f>
        <v>0</v>
      </c>
      <c r="H62" s="104">
        <f>F62-H368/1000</f>
        <v>-0.31499999994412065</v>
      </c>
    </row>
    <row r="63" spans="1:8">
      <c r="A63" s="98">
        <v>34</v>
      </c>
      <c r="B63" s="100" t="s">
        <v>108</v>
      </c>
      <c r="E63" s="109">
        <f>F63+G63</f>
        <v>639906.4</v>
      </c>
      <c r="F63" s="109">
        <f>SUM(F381)+0.4</f>
        <v>639906.4</v>
      </c>
      <c r="G63" s="109">
        <f>SUM(G381)</f>
        <v>0</v>
      </c>
      <c r="H63" s="104">
        <f>F63-H381/1000</f>
        <v>-4.2999999946914613E-2</v>
      </c>
    </row>
    <row r="64" spans="1:8">
      <c r="A64" s="98">
        <v>35</v>
      </c>
      <c r="B64" s="100" t="s">
        <v>109</v>
      </c>
      <c r="E64" s="109">
        <f>F64+G64</f>
        <v>1486384</v>
      </c>
      <c r="F64" s="109">
        <f>SUM(F399)</f>
        <v>1486384</v>
      </c>
      <c r="G64" s="109">
        <f>SUM(G399)</f>
        <v>0</v>
      </c>
      <c r="H64" s="104">
        <f>F64-H399/1000</f>
        <v>0.34599999990314245</v>
      </c>
    </row>
    <row r="65" spans="1:8">
      <c r="A65" s="98">
        <v>36</v>
      </c>
      <c r="B65" s="100" t="s">
        <v>110</v>
      </c>
      <c r="E65" s="108">
        <f>F65+G65</f>
        <v>310839.3</v>
      </c>
      <c r="F65" s="108">
        <f>SUM(F413)+0.3</f>
        <v>310839.3</v>
      </c>
      <c r="G65" s="108">
        <f>SUM(G414)</f>
        <v>0</v>
      </c>
      <c r="H65" s="104">
        <f>F65-H413/1000</f>
        <v>-2.9000000038649887E-2</v>
      </c>
    </row>
    <row r="66" spans="1:8" ht="19.5" customHeight="1">
      <c r="A66" s="98">
        <v>37</v>
      </c>
      <c r="B66" s="100" t="s">
        <v>111</v>
      </c>
      <c r="E66" s="110">
        <f>E61+E62+E63+E64+E65</f>
        <v>3691448.6999999997</v>
      </c>
      <c r="F66" s="110">
        <f>F61+F62+F63+F64+F65</f>
        <v>3691448.6999999997</v>
      </c>
      <c r="G66" s="110">
        <f>G61+G62+G63+G64+G65</f>
        <v>0</v>
      </c>
      <c r="H66" s="104">
        <f>F66-H415/1000</f>
        <v>-0.1380000002682209</v>
      </c>
    </row>
    <row r="67" spans="1:8">
      <c r="B67" s="100" t="s">
        <v>516</v>
      </c>
      <c r="E67" s="109"/>
      <c r="F67" s="109"/>
      <c r="G67" s="109"/>
      <c r="H67" s="104" t="str">
        <f t="shared" ref="H67" si="2">IF(E67=F67+G67," ","ERROR")</f>
        <v xml:space="preserve"> </v>
      </c>
    </row>
    <row r="68" spans="1:8">
      <c r="A68" s="98">
        <v>38</v>
      </c>
      <c r="B68" s="106" t="s">
        <v>106</v>
      </c>
      <c r="E68" s="109">
        <f>F68+G68</f>
        <v>-106388</v>
      </c>
      <c r="F68" s="109">
        <f>SUM(F428:F431)</f>
        <v>-106388</v>
      </c>
      <c r="G68" s="232">
        <f>SUM(G429:G430)</f>
        <v>0</v>
      </c>
      <c r="H68" s="104">
        <f>F68-SUM(H428:H431)/1000</f>
        <v>0.42500000000291038</v>
      </c>
    </row>
    <row r="69" spans="1:8">
      <c r="A69" s="98">
        <v>39</v>
      </c>
      <c r="B69" s="100" t="s">
        <v>107</v>
      </c>
      <c r="E69" s="109">
        <f>F69+G69</f>
        <v>-467152.5</v>
      </c>
      <c r="F69" s="109">
        <f>SUM(F419:F421)+0.5</f>
        <v>-467152.5</v>
      </c>
      <c r="G69" s="232">
        <f>SUM(G420:G422)</f>
        <v>0</v>
      </c>
      <c r="H69" s="104">
        <f>F69-SUM(H419:H421)/1000</f>
        <v>-0.40899999998509884</v>
      </c>
    </row>
    <row r="70" spans="1:8">
      <c r="A70" s="98">
        <v>40</v>
      </c>
      <c r="B70" s="100" t="s">
        <v>108</v>
      </c>
      <c r="E70" s="109">
        <f>F70+G70</f>
        <v>-172832</v>
      </c>
      <c r="F70" s="109">
        <f>SUM(F422)</f>
        <v>-172832</v>
      </c>
      <c r="G70" s="232">
        <f>SUM(G423)</f>
        <v>0</v>
      </c>
      <c r="H70" s="104">
        <f>F70-H422/1000</f>
        <v>0.32000000000698492</v>
      </c>
    </row>
    <row r="71" spans="1:8">
      <c r="A71" s="98">
        <v>41</v>
      </c>
      <c r="B71" s="100" t="s">
        <v>109</v>
      </c>
      <c r="E71" s="109">
        <f>F71+G71</f>
        <v>-458617</v>
      </c>
      <c r="F71" s="109">
        <f>SUM(F423)</f>
        <v>-458617</v>
      </c>
      <c r="G71" s="232">
        <f>SUM(G424)</f>
        <v>0</v>
      </c>
      <c r="H71" s="104">
        <f>F71-H423/1000</f>
        <v>0.32500000001164153</v>
      </c>
    </row>
    <row r="72" spans="1:8">
      <c r="A72" s="98">
        <v>42</v>
      </c>
      <c r="B72" s="100" t="s">
        <v>110</v>
      </c>
      <c r="E72" s="108">
        <f>F72+G72</f>
        <v>-113530.9</v>
      </c>
      <c r="F72" s="108">
        <f>SUM(F424,F432)-0.9</f>
        <v>-113530.9</v>
      </c>
      <c r="G72" s="233">
        <f>SUM(G425,G431,G432,G433)</f>
        <v>0</v>
      </c>
      <c r="H72" s="97">
        <f>F72-SUM(H424,H432)/1000</f>
        <v>-0.22199999999429565</v>
      </c>
    </row>
    <row r="73" spans="1:8">
      <c r="A73" s="98">
        <v>43</v>
      </c>
      <c r="B73" s="100" t="s">
        <v>253</v>
      </c>
      <c r="E73" s="160">
        <f>SUM(E68:E72)</f>
        <v>-1318520.3999999999</v>
      </c>
      <c r="F73" s="160">
        <f>SUM(F68:F72)</f>
        <v>-1318520.3999999999</v>
      </c>
      <c r="G73" s="97">
        <f>SUM(G68:G72)</f>
        <v>0</v>
      </c>
      <c r="H73" s="97">
        <f>F73-H435/1000</f>
        <v>0.43900000001303852</v>
      </c>
    </row>
    <row r="74" spans="1:8">
      <c r="A74" s="98">
        <v>44</v>
      </c>
      <c r="B74" s="97" t="s">
        <v>519</v>
      </c>
      <c r="E74" s="135">
        <f>E66+E73</f>
        <v>2372928.2999999998</v>
      </c>
      <c r="F74" s="135">
        <f>F66+F73</f>
        <v>2372928.2999999998</v>
      </c>
      <c r="G74" s="135">
        <f>G66+G73</f>
        <v>0</v>
      </c>
      <c r="H74" s="97">
        <f>F74-H437/1000</f>
        <v>0.30099999997764826</v>
      </c>
    </row>
    <row r="75" spans="1:8">
      <c r="B75" s="100"/>
      <c r="E75" s="110"/>
      <c r="F75" s="110"/>
      <c r="G75" s="110"/>
      <c r="H75" s="104"/>
    </row>
    <row r="76" spans="1:8">
      <c r="A76" s="98">
        <v>45</v>
      </c>
      <c r="B76" s="100" t="s">
        <v>517</v>
      </c>
      <c r="E76" s="108">
        <f>F76+G76</f>
        <v>-399245</v>
      </c>
      <c r="F76" s="108">
        <f>SUM(F451)</f>
        <v>-399245</v>
      </c>
      <c r="G76" s="108">
        <f>SUM(G452)</f>
        <v>0</v>
      </c>
      <c r="H76" s="104">
        <f>F76-H451/1000</f>
        <v>-0.44799999997485429</v>
      </c>
    </row>
    <row r="77" spans="1:8">
      <c r="A77" s="98">
        <v>46</v>
      </c>
      <c r="B77" s="100" t="s">
        <v>518</v>
      </c>
      <c r="E77" s="109">
        <f>SUM(E74:E76)</f>
        <v>1973683.2999999998</v>
      </c>
      <c r="F77" s="109">
        <f>SUM(F74:F76)</f>
        <v>1973683.2999999998</v>
      </c>
      <c r="G77" s="109">
        <f>SUM(G74-G76)</f>
        <v>0</v>
      </c>
      <c r="H77" s="104">
        <f>F77-H453/1000</f>
        <v>-0.14700000011362135</v>
      </c>
    </row>
    <row r="78" spans="1:8">
      <c r="A78" s="98">
        <v>47</v>
      </c>
      <c r="B78" s="100" t="s">
        <v>252</v>
      </c>
      <c r="E78" s="109">
        <f t="shared" ref="E78:E79" si="3">F78+G78</f>
        <v>31540.5</v>
      </c>
      <c r="F78" s="110">
        <f>SUM(F502)-F79+0.5</f>
        <v>31540.5</v>
      </c>
      <c r="G78" s="110">
        <f>SUM(G457:G502)-G79</f>
        <v>0</v>
      </c>
      <c r="H78" s="104">
        <f>F78-SUM(H502-H500)/1000</f>
        <v>-0.24199999999837019</v>
      </c>
    </row>
    <row r="79" spans="1:8">
      <c r="A79" s="98">
        <v>48</v>
      </c>
      <c r="B79" s="100" t="s">
        <v>240</v>
      </c>
      <c r="E79" s="108">
        <f t="shared" si="3"/>
        <v>103961</v>
      </c>
      <c r="F79" s="108">
        <f>F500</f>
        <v>103961</v>
      </c>
      <c r="G79" s="108">
        <f>G499</f>
        <v>0</v>
      </c>
      <c r="H79" s="104">
        <f>F79-H500/1000</f>
        <v>0.42699999999604188</v>
      </c>
    </row>
    <row r="81" spans="1:8" s="99" customFormat="1" thickBot="1">
      <c r="A81" s="107">
        <v>49</v>
      </c>
      <c r="B81" s="106" t="s">
        <v>73</v>
      </c>
      <c r="C81" s="104"/>
      <c r="D81" s="104"/>
      <c r="E81" s="105">
        <f>SUM(E77:E79)</f>
        <v>2109184.7999999998</v>
      </c>
      <c r="F81" s="105">
        <f>SUM(F77:F79)</f>
        <v>2109184.7999999998</v>
      </c>
      <c r="G81" s="105">
        <f>SUM(G77:G79)</f>
        <v>0</v>
      </c>
      <c r="H81" s="104">
        <f>F81-H504/1000</f>
        <v>3.7999999709427357E-2</v>
      </c>
    </row>
    <row r="82" spans="1:8" ht="13.5" thickTop="1">
      <c r="A82" s="99"/>
      <c r="B82" s="99"/>
      <c r="C82" s="99"/>
      <c r="D82" s="99"/>
      <c r="E82" s="95">
        <f>E57/E81</f>
        <v>5.9362603030327206E-2</v>
      </c>
      <c r="F82" s="95">
        <f>F57/F81</f>
        <v>5.9362603030327206E-2</v>
      </c>
      <c r="G82" s="95"/>
      <c r="H82" s="99"/>
    </row>
    <row r="83" spans="1:8">
      <c r="A83" s="97"/>
      <c r="B83" s="103" t="s">
        <v>112</v>
      </c>
      <c r="C83" s="102"/>
      <c r="D83" s="102"/>
      <c r="E83" s="102"/>
      <c r="F83" s="102"/>
      <c r="G83" s="101"/>
    </row>
    <row r="84" spans="1:8">
      <c r="A84" s="123"/>
      <c r="B84" s="124" t="s">
        <v>254</v>
      </c>
      <c r="C84" s="124"/>
    </row>
    <row r="85" spans="1:8">
      <c r="A85" s="123"/>
      <c r="B85" s="125" t="s">
        <v>255</v>
      </c>
      <c r="C85" s="124"/>
    </row>
    <row r="86" spans="1:8">
      <c r="A86" s="126">
        <v>440000</v>
      </c>
      <c r="B86" s="125" t="s">
        <v>256</v>
      </c>
      <c r="C86" s="124"/>
      <c r="F86" s="97">
        <f>ROUND(H86/1000,0)</f>
        <v>287920</v>
      </c>
      <c r="G86" s="97">
        <v>0</v>
      </c>
      <c r="H86" s="97">
        <v>287920192</v>
      </c>
    </row>
    <row r="87" spans="1:8">
      <c r="A87" s="126">
        <v>442200</v>
      </c>
      <c r="B87" s="125" t="s">
        <v>257</v>
      </c>
      <c r="C87" s="124"/>
      <c r="F87" s="97">
        <f t="shared" ref="F87:F154" si="4">ROUND(H87/1000,0)</f>
        <v>248270</v>
      </c>
      <c r="G87" s="97">
        <v>0</v>
      </c>
      <c r="H87" s="97">
        <v>248269931</v>
      </c>
    </row>
    <row r="88" spans="1:8">
      <c r="A88" s="126">
        <v>442300</v>
      </c>
      <c r="B88" s="125" t="s">
        <v>258</v>
      </c>
      <c r="C88" s="124"/>
      <c r="F88" s="97">
        <f t="shared" si="4"/>
        <v>64199</v>
      </c>
      <c r="G88" s="97">
        <v>0</v>
      </c>
      <c r="H88" s="97">
        <v>64199134</v>
      </c>
    </row>
    <row r="89" spans="1:8">
      <c r="A89" s="126">
        <v>444000</v>
      </c>
      <c r="B89" s="125" t="s">
        <v>259</v>
      </c>
      <c r="C89" s="124"/>
      <c r="F89" s="97">
        <f t="shared" si="4"/>
        <v>4860</v>
      </c>
      <c r="G89" s="97">
        <v>0</v>
      </c>
      <c r="H89" s="97">
        <v>4860166</v>
      </c>
    </row>
    <row r="90" spans="1:8">
      <c r="A90" s="126">
        <v>448000</v>
      </c>
      <c r="B90" s="125" t="s">
        <v>262</v>
      </c>
      <c r="E90" s="124"/>
      <c r="F90" s="97">
        <f t="shared" si="4"/>
        <v>1324</v>
      </c>
      <c r="G90" s="97">
        <v>0</v>
      </c>
      <c r="H90" s="97">
        <v>1324197</v>
      </c>
    </row>
    <row r="91" spans="1:8">
      <c r="A91" s="123" t="s">
        <v>260</v>
      </c>
      <c r="B91" s="125" t="s">
        <v>261</v>
      </c>
      <c r="C91" s="124"/>
      <c r="F91" s="97">
        <f t="shared" si="4"/>
        <v>-5101</v>
      </c>
      <c r="G91" s="97">
        <v>0</v>
      </c>
      <c r="H91" s="97">
        <v>-5100673</v>
      </c>
    </row>
    <row r="92" spans="1:8">
      <c r="A92" s="126"/>
      <c r="B92" s="125" t="s">
        <v>263</v>
      </c>
      <c r="C92" s="124"/>
      <c r="F92" s="97">
        <f t="shared" si="4"/>
        <v>601473</v>
      </c>
      <c r="G92" s="97">
        <v>0</v>
      </c>
      <c r="H92" s="97">
        <f>SUM(H86:H91)</f>
        <v>601472947</v>
      </c>
    </row>
    <row r="93" spans="1:8">
      <c r="A93" s="126"/>
      <c r="B93" s="125"/>
      <c r="C93" s="124"/>
      <c r="F93" s="97">
        <f t="shared" si="4"/>
        <v>0</v>
      </c>
      <c r="G93" s="97">
        <v>0</v>
      </c>
    </row>
    <row r="94" spans="1:8">
      <c r="A94" s="126" t="s">
        <v>264</v>
      </c>
      <c r="B94" s="125" t="s">
        <v>42</v>
      </c>
      <c r="C94" s="124"/>
      <c r="F94" s="97">
        <f t="shared" si="4"/>
        <v>149694</v>
      </c>
      <c r="G94" s="97">
        <v>0</v>
      </c>
      <c r="H94" s="97">
        <v>149694376</v>
      </c>
    </row>
    <row r="95" spans="1:8">
      <c r="A95" s="126"/>
      <c r="B95" s="125" t="s">
        <v>265</v>
      </c>
      <c r="C95" s="124"/>
      <c r="F95" s="97">
        <f t="shared" si="4"/>
        <v>751167</v>
      </c>
      <c r="G95" s="97">
        <v>0</v>
      </c>
      <c r="H95" s="97">
        <f>SUM(H92,H94)</f>
        <v>751167323</v>
      </c>
    </row>
    <row r="96" spans="1:8">
      <c r="A96" s="126"/>
      <c r="B96" s="125"/>
      <c r="C96" s="124"/>
      <c r="F96" s="97">
        <f t="shared" si="4"/>
        <v>0</v>
      </c>
      <c r="G96" s="97">
        <v>0</v>
      </c>
    </row>
    <row r="97" spans="1:8">
      <c r="A97" s="126"/>
      <c r="B97" s="125" t="s">
        <v>266</v>
      </c>
      <c r="C97" s="124"/>
      <c r="F97" s="97">
        <f t="shared" si="4"/>
        <v>0</v>
      </c>
      <c r="G97" s="97">
        <v>0</v>
      </c>
    </row>
    <row r="98" spans="1:8" ht="15.75">
      <c r="A98" s="163">
        <v>449100</v>
      </c>
      <c r="B98" s="162" t="s">
        <v>587</v>
      </c>
      <c r="C98" s="124"/>
      <c r="F98" s="97">
        <f t="shared" si="4"/>
        <v>-134</v>
      </c>
      <c r="G98" s="97">
        <v>0</v>
      </c>
      <c r="H98" s="97">
        <v>-134000</v>
      </c>
    </row>
    <row r="99" spans="1:8" ht="15.75">
      <c r="A99" s="163">
        <v>449110</v>
      </c>
      <c r="B99" s="162" t="s">
        <v>633</v>
      </c>
      <c r="C99" s="124"/>
      <c r="F99" s="97">
        <f t="shared" si="4"/>
        <v>0</v>
      </c>
      <c r="G99" s="97">
        <v>0</v>
      </c>
      <c r="H99" s="97">
        <v>0</v>
      </c>
    </row>
    <row r="100" spans="1:8">
      <c r="A100" s="126">
        <v>451000</v>
      </c>
      <c r="B100" s="125" t="s">
        <v>267</v>
      </c>
      <c r="C100" s="124"/>
      <c r="F100" s="97">
        <f t="shared" si="4"/>
        <v>43</v>
      </c>
      <c r="G100" s="97">
        <v>0</v>
      </c>
      <c r="H100" s="97">
        <v>43215</v>
      </c>
    </row>
    <row r="101" spans="1:8">
      <c r="A101" s="126">
        <v>453000</v>
      </c>
      <c r="B101" s="125" t="s">
        <v>268</v>
      </c>
      <c r="C101" s="124"/>
      <c r="F101" s="97">
        <f t="shared" si="4"/>
        <v>184</v>
      </c>
      <c r="G101" s="97">
        <v>0</v>
      </c>
      <c r="H101" s="97">
        <v>183875</v>
      </c>
    </row>
    <row r="102" spans="1:8">
      <c r="A102" s="126">
        <v>454000</v>
      </c>
      <c r="B102" s="125" t="s">
        <v>269</v>
      </c>
      <c r="C102" s="124"/>
      <c r="F102" s="97">
        <f t="shared" si="4"/>
        <v>2773</v>
      </c>
      <c r="G102" s="97">
        <v>0</v>
      </c>
      <c r="H102" s="97">
        <v>2772857</v>
      </c>
    </row>
    <row r="103" spans="1:8" ht="15.75">
      <c r="A103" s="163">
        <v>454100</v>
      </c>
      <c r="B103" s="162" t="s">
        <v>634</v>
      </c>
      <c r="C103" s="124"/>
      <c r="F103" s="97">
        <f t="shared" si="4"/>
        <v>9</v>
      </c>
      <c r="G103" s="97">
        <v>0</v>
      </c>
      <c r="H103" s="97">
        <v>8937</v>
      </c>
    </row>
    <row r="104" spans="1:8">
      <c r="A104" s="123" t="s">
        <v>270</v>
      </c>
      <c r="B104" s="125" t="s">
        <v>271</v>
      </c>
      <c r="C104" s="124"/>
      <c r="F104" s="97">
        <f t="shared" si="4"/>
        <v>21226</v>
      </c>
      <c r="G104" s="97">
        <v>0</v>
      </c>
      <c r="H104" s="97">
        <v>21226208</v>
      </c>
    </row>
    <row r="105" spans="1:8">
      <c r="A105" s="123"/>
      <c r="B105" s="125" t="s">
        <v>272</v>
      </c>
      <c r="C105" s="124"/>
      <c r="F105" s="97">
        <f t="shared" si="4"/>
        <v>24101</v>
      </c>
      <c r="G105" s="97">
        <v>0</v>
      </c>
      <c r="H105" s="97">
        <f>SUM(H98:H104)</f>
        <v>24101092</v>
      </c>
    </row>
    <row r="106" spans="1:8">
      <c r="A106" s="123"/>
      <c r="B106" s="125" t="s">
        <v>273</v>
      </c>
      <c r="C106" s="124"/>
      <c r="F106" s="97">
        <f t="shared" si="4"/>
        <v>775268</v>
      </c>
      <c r="G106" s="97">
        <v>0</v>
      </c>
      <c r="H106" s="97">
        <f>SUM(H95,H105)</f>
        <v>775268415</v>
      </c>
    </row>
    <row r="107" spans="1:8">
      <c r="A107" s="123"/>
      <c r="B107" s="125"/>
      <c r="C107" s="124"/>
      <c r="F107" s="97">
        <f t="shared" si="4"/>
        <v>0</v>
      </c>
      <c r="G107" s="97">
        <v>0</v>
      </c>
    </row>
    <row r="108" spans="1:8">
      <c r="A108" s="123"/>
      <c r="B108" s="125" t="s">
        <v>274</v>
      </c>
      <c r="C108" s="124"/>
      <c r="F108" s="97">
        <f t="shared" si="4"/>
        <v>0</v>
      </c>
      <c r="G108" s="97">
        <v>0</v>
      </c>
    </row>
    <row r="109" spans="1:8">
      <c r="A109" s="123"/>
      <c r="B109" s="125" t="s">
        <v>275</v>
      </c>
      <c r="C109" s="124"/>
      <c r="F109" s="97">
        <f t="shared" si="4"/>
        <v>0</v>
      </c>
      <c r="G109" s="97">
        <v>0</v>
      </c>
    </row>
    <row r="110" spans="1:8">
      <c r="A110" s="123"/>
      <c r="B110" s="125" t="s">
        <v>276</v>
      </c>
      <c r="C110" s="124"/>
      <c r="F110" s="97">
        <f t="shared" si="4"/>
        <v>0</v>
      </c>
      <c r="G110" s="97">
        <v>0</v>
      </c>
    </row>
    <row r="111" spans="1:8">
      <c r="A111" s="126">
        <v>500000</v>
      </c>
      <c r="B111" s="125" t="s">
        <v>277</v>
      </c>
      <c r="C111" s="124"/>
      <c r="F111" s="97">
        <f t="shared" si="4"/>
        <v>148</v>
      </c>
      <c r="G111" s="97">
        <v>0</v>
      </c>
      <c r="H111" s="97">
        <v>147926</v>
      </c>
    </row>
    <row r="112" spans="1:8">
      <c r="A112" s="126" t="s">
        <v>762</v>
      </c>
      <c r="B112" s="125" t="s">
        <v>278</v>
      </c>
      <c r="C112" s="124"/>
      <c r="F112" s="97">
        <f t="shared" si="4"/>
        <v>28367</v>
      </c>
      <c r="G112" s="97">
        <v>0</v>
      </c>
      <c r="H112" s="97">
        <v>28367365</v>
      </c>
    </row>
    <row r="113" spans="1:8">
      <c r="A113" s="126">
        <v>502000</v>
      </c>
      <c r="B113" s="125" t="s">
        <v>279</v>
      </c>
      <c r="C113" s="124"/>
      <c r="F113" s="97">
        <f t="shared" si="4"/>
        <v>2545</v>
      </c>
      <c r="G113" s="97">
        <v>0</v>
      </c>
      <c r="H113" s="97">
        <v>2544582</v>
      </c>
    </row>
    <row r="114" spans="1:8">
      <c r="A114" s="126">
        <v>505000</v>
      </c>
      <c r="B114" s="125" t="s">
        <v>280</v>
      </c>
      <c r="C114" s="124"/>
      <c r="F114" s="97">
        <f t="shared" si="4"/>
        <v>455</v>
      </c>
      <c r="G114" s="97">
        <v>0</v>
      </c>
      <c r="H114" s="97">
        <v>455112</v>
      </c>
    </row>
    <row r="115" spans="1:8">
      <c r="A115" s="126" t="s">
        <v>763</v>
      </c>
      <c r="B115" s="125" t="s">
        <v>281</v>
      </c>
      <c r="C115" s="124"/>
      <c r="F115" s="97">
        <f t="shared" si="4"/>
        <v>3778</v>
      </c>
      <c r="G115" s="97">
        <v>0</v>
      </c>
      <c r="H115" s="97">
        <v>3777834</v>
      </c>
    </row>
    <row r="116" spans="1:8">
      <c r="A116" s="126">
        <v>507000</v>
      </c>
      <c r="B116" s="125" t="s">
        <v>282</v>
      </c>
      <c r="C116" s="124"/>
      <c r="F116" s="97">
        <f t="shared" si="4"/>
        <v>0</v>
      </c>
      <c r="G116" s="97">
        <v>0</v>
      </c>
      <c r="H116" s="97">
        <v>0</v>
      </c>
    </row>
    <row r="117" spans="1:8">
      <c r="A117" s="438">
        <v>509100</v>
      </c>
      <c r="B117" s="439" t="s">
        <v>764</v>
      </c>
      <c r="C117" s="440"/>
      <c r="D117" s="441"/>
      <c r="E117" s="441"/>
      <c r="F117" s="441">
        <f t="shared" ref="F117:F120" si="5">ROUND(H117/1000,0)</f>
        <v>768</v>
      </c>
      <c r="G117" s="441">
        <v>0</v>
      </c>
      <c r="H117" s="441">
        <v>768363</v>
      </c>
    </row>
    <row r="118" spans="1:8">
      <c r="A118" s="126"/>
      <c r="B118" s="125"/>
      <c r="C118" s="124"/>
      <c r="F118" s="97">
        <f t="shared" si="5"/>
        <v>0</v>
      </c>
      <c r="G118" s="97">
        <v>0</v>
      </c>
    </row>
    <row r="119" spans="1:8">
      <c r="A119" s="126"/>
      <c r="B119" s="125" t="s">
        <v>283</v>
      </c>
      <c r="C119" s="124"/>
      <c r="F119" s="97">
        <f t="shared" si="5"/>
        <v>0</v>
      </c>
      <c r="G119" s="97">
        <v>0</v>
      </c>
    </row>
    <row r="120" spans="1:8">
      <c r="A120" s="126">
        <v>510000</v>
      </c>
      <c r="B120" s="125" t="s">
        <v>277</v>
      </c>
      <c r="C120" s="124"/>
      <c r="F120" s="97">
        <f t="shared" si="5"/>
        <v>339</v>
      </c>
      <c r="G120" s="97">
        <v>0</v>
      </c>
      <c r="H120" s="97">
        <v>338667</v>
      </c>
    </row>
    <row r="121" spans="1:8">
      <c r="A121" s="126">
        <v>511000</v>
      </c>
      <c r="B121" s="125" t="s">
        <v>284</v>
      </c>
      <c r="C121" s="124"/>
      <c r="F121" s="97">
        <f t="shared" si="4"/>
        <v>551</v>
      </c>
      <c r="G121" s="97">
        <v>0</v>
      </c>
      <c r="H121" s="97">
        <v>550776</v>
      </c>
    </row>
    <row r="122" spans="1:8">
      <c r="A122" s="126">
        <v>512000</v>
      </c>
      <c r="B122" s="125" t="s">
        <v>285</v>
      </c>
      <c r="C122" s="124"/>
      <c r="F122" s="97">
        <f t="shared" si="4"/>
        <v>4422</v>
      </c>
      <c r="G122" s="97">
        <v>0</v>
      </c>
      <c r="H122" s="97">
        <v>4421653</v>
      </c>
    </row>
    <row r="123" spans="1:8">
      <c r="A123" s="126">
        <v>513000</v>
      </c>
      <c r="B123" s="125" t="s">
        <v>286</v>
      </c>
      <c r="C123" s="124"/>
      <c r="F123" s="97">
        <f t="shared" si="4"/>
        <v>573</v>
      </c>
      <c r="G123" s="97">
        <v>0</v>
      </c>
      <c r="H123" s="97">
        <v>572773</v>
      </c>
    </row>
    <row r="124" spans="1:8">
      <c r="A124" s="126" t="s">
        <v>635</v>
      </c>
      <c r="B124" s="125" t="s">
        <v>287</v>
      </c>
      <c r="C124" s="124"/>
      <c r="F124" s="97">
        <f t="shared" si="4"/>
        <v>814</v>
      </c>
      <c r="G124" s="97">
        <v>0</v>
      </c>
      <c r="H124" s="97">
        <v>813718</v>
      </c>
    </row>
    <row r="125" spans="1:8">
      <c r="A125" s="123"/>
      <c r="B125" s="125" t="s">
        <v>288</v>
      </c>
      <c r="C125" s="124"/>
      <c r="F125" s="97">
        <f t="shared" si="4"/>
        <v>42759</v>
      </c>
      <c r="G125" s="97">
        <v>0</v>
      </c>
      <c r="H125" s="97">
        <f>SUM(H111:H124)</f>
        <v>42758769</v>
      </c>
    </row>
    <row r="126" spans="1:8">
      <c r="A126" s="123"/>
      <c r="B126" s="125"/>
      <c r="C126" s="124"/>
      <c r="F126" s="97">
        <f t="shared" si="4"/>
        <v>0</v>
      </c>
      <c r="G126" s="97">
        <v>0</v>
      </c>
    </row>
    <row r="127" spans="1:8">
      <c r="A127" s="123"/>
      <c r="B127" s="125" t="s">
        <v>289</v>
      </c>
      <c r="C127" s="124"/>
      <c r="F127" s="97">
        <f t="shared" si="4"/>
        <v>0</v>
      </c>
      <c r="G127" s="97">
        <v>0</v>
      </c>
    </row>
    <row r="128" spans="1:8">
      <c r="A128" s="123"/>
      <c r="B128" s="125" t="s">
        <v>276</v>
      </c>
      <c r="C128" s="124"/>
      <c r="F128" s="97">
        <f t="shared" si="4"/>
        <v>0</v>
      </c>
      <c r="G128" s="97">
        <v>0</v>
      </c>
    </row>
    <row r="129" spans="1:8">
      <c r="A129" s="126">
        <v>535000</v>
      </c>
      <c r="B129" s="125" t="s">
        <v>277</v>
      </c>
      <c r="C129" s="124"/>
      <c r="F129" s="97">
        <f t="shared" si="4"/>
        <v>1885</v>
      </c>
      <c r="G129" s="97">
        <v>0</v>
      </c>
      <c r="H129" s="97">
        <v>1884611</v>
      </c>
    </row>
    <row r="130" spans="1:8">
      <c r="A130" s="126">
        <v>536000</v>
      </c>
      <c r="B130" s="125" t="s">
        <v>290</v>
      </c>
      <c r="C130" s="124"/>
      <c r="F130" s="97">
        <f t="shared" si="4"/>
        <v>910</v>
      </c>
      <c r="G130" s="97">
        <v>0</v>
      </c>
      <c r="H130" s="97">
        <v>909742</v>
      </c>
    </row>
    <row r="131" spans="1:8">
      <c r="A131" s="126">
        <v>537000</v>
      </c>
      <c r="B131" s="125" t="s">
        <v>291</v>
      </c>
      <c r="C131" s="124"/>
      <c r="F131" s="97">
        <f t="shared" si="4"/>
        <v>6064</v>
      </c>
      <c r="G131" s="97">
        <v>0</v>
      </c>
      <c r="H131" s="97">
        <v>6064389</v>
      </c>
    </row>
    <row r="132" spans="1:8">
      <c r="A132" s="126">
        <v>538000</v>
      </c>
      <c r="B132" s="125" t="s">
        <v>280</v>
      </c>
      <c r="C132" s="124"/>
      <c r="F132" s="97">
        <f t="shared" si="4"/>
        <v>4641</v>
      </c>
      <c r="G132" s="97">
        <v>0</v>
      </c>
      <c r="H132" s="97">
        <v>4640705</v>
      </c>
    </row>
    <row r="133" spans="1:8">
      <c r="A133" s="126">
        <v>539000</v>
      </c>
      <c r="B133" s="125" t="s">
        <v>292</v>
      </c>
      <c r="C133" s="124"/>
      <c r="F133" s="97">
        <f t="shared" si="4"/>
        <v>1171</v>
      </c>
      <c r="G133" s="97">
        <v>0</v>
      </c>
      <c r="H133" s="97">
        <v>1170997</v>
      </c>
    </row>
    <row r="134" spans="1:8">
      <c r="A134" s="126">
        <v>540000</v>
      </c>
      <c r="B134" s="125" t="s">
        <v>282</v>
      </c>
      <c r="C134" s="124"/>
      <c r="F134" s="97">
        <f t="shared" si="4"/>
        <v>1077</v>
      </c>
      <c r="G134" s="97">
        <v>0</v>
      </c>
      <c r="H134" s="97">
        <v>1077102</v>
      </c>
    </row>
    <row r="135" spans="1:8">
      <c r="A135" s="126">
        <v>540100</v>
      </c>
      <c r="B135" s="125" t="s">
        <v>293</v>
      </c>
      <c r="C135" s="124"/>
      <c r="F135" s="97">
        <f t="shared" si="4"/>
        <v>3724</v>
      </c>
      <c r="G135" s="97">
        <v>0</v>
      </c>
      <c r="H135" s="97">
        <v>3724087</v>
      </c>
    </row>
    <row r="136" spans="1:8">
      <c r="A136" s="123"/>
      <c r="B136" s="125"/>
      <c r="C136" s="124"/>
      <c r="F136" s="97">
        <f t="shared" si="4"/>
        <v>0</v>
      </c>
      <c r="G136" s="97">
        <v>0</v>
      </c>
    </row>
    <row r="137" spans="1:8">
      <c r="A137" s="123"/>
      <c r="B137" s="125" t="s">
        <v>283</v>
      </c>
      <c r="C137" s="124"/>
      <c r="F137" s="97">
        <f t="shared" si="4"/>
        <v>0</v>
      </c>
      <c r="G137" s="97">
        <v>0</v>
      </c>
    </row>
    <row r="138" spans="1:8">
      <c r="A138" s="126">
        <v>541000</v>
      </c>
      <c r="B138" s="125" t="s">
        <v>277</v>
      </c>
      <c r="C138" s="124"/>
      <c r="F138" s="97">
        <f t="shared" si="4"/>
        <v>517</v>
      </c>
      <c r="G138" s="97">
        <v>0</v>
      </c>
      <c r="H138" s="97">
        <v>517043</v>
      </c>
    </row>
    <row r="139" spans="1:8">
      <c r="A139" s="126">
        <v>542000</v>
      </c>
      <c r="B139" s="125" t="s">
        <v>284</v>
      </c>
      <c r="C139" s="124"/>
      <c r="F139" s="97">
        <f t="shared" si="4"/>
        <v>684</v>
      </c>
      <c r="G139" s="97">
        <v>0</v>
      </c>
      <c r="H139" s="97">
        <v>684483</v>
      </c>
    </row>
    <row r="140" spans="1:8">
      <c r="A140" s="126">
        <v>543000</v>
      </c>
      <c r="B140" s="125" t="s">
        <v>294</v>
      </c>
      <c r="C140" s="124"/>
      <c r="F140" s="97">
        <f t="shared" si="4"/>
        <v>558</v>
      </c>
      <c r="G140" s="97">
        <v>0</v>
      </c>
      <c r="H140" s="97">
        <v>558309</v>
      </c>
    </row>
    <row r="141" spans="1:8">
      <c r="A141" s="126">
        <v>544000</v>
      </c>
      <c r="B141" s="125" t="s">
        <v>286</v>
      </c>
      <c r="C141" s="124"/>
      <c r="F141" s="97">
        <f t="shared" si="4"/>
        <v>2056</v>
      </c>
      <c r="G141" s="97">
        <v>0</v>
      </c>
      <c r="H141" s="97">
        <v>2055791</v>
      </c>
    </row>
    <row r="142" spans="1:8">
      <c r="A142" s="126">
        <v>545000</v>
      </c>
      <c r="B142" s="125" t="s">
        <v>295</v>
      </c>
      <c r="C142" s="124"/>
      <c r="F142" s="97">
        <f t="shared" si="4"/>
        <v>491</v>
      </c>
      <c r="G142" s="97">
        <v>0</v>
      </c>
      <c r="H142" s="97">
        <v>491333</v>
      </c>
    </row>
    <row r="143" spans="1:8">
      <c r="A143" s="123"/>
      <c r="B143" s="125" t="s">
        <v>296</v>
      </c>
      <c r="C143" s="124"/>
      <c r="F143" s="97">
        <f t="shared" si="4"/>
        <v>23779</v>
      </c>
      <c r="G143" s="97">
        <v>0</v>
      </c>
      <c r="H143" s="97">
        <f>SUM(H129:H142)</f>
        <v>23778592</v>
      </c>
    </row>
    <row r="144" spans="1:8">
      <c r="A144" s="123"/>
      <c r="B144" s="125"/>
      <c r="C144" s="124"/>
      <c r="F144" s="97">
        <f t="shared" si="4"/>
        <v>0</v>
      </c>
      <c r="G144" s="97">
        <v>0</v>
      </c>
    </row>
    <row r="145" spans="1:8">
      <c r="A145" s="123"/>
      <c r="B145" s="125" t="s">
        <v>297</v>
      </c>
      <c r="C145" s="124"/>
      <c r="F145" s="97">
        <f t="shared" si="4"/>
        <v>0</v>
      </c>
      <c r="G145" s="97">
        <v>0</v>
      </c>
    </row>
    <row r="146" spans="1:8">
      <c r="A146" s="123"/>
      <c r="B146" s="125" t="s">
        <v>276</v>
      </c>
      <c r="C146" s="124"/>
      <c r="F146" s="97">
        <f t="shared" si="4"/>
        <v>0</v>
      </c>
      <c r="G146" s="97">
        <v>0</v>
      </c>
    </row>
    <row r="147" spans="1:8">
      <c r="A147" s="126">
        <v>546000</v>
      </c>
      <c r="B147" s="125" t="s">
        <v>277</v>
      </c>
      <c r="C147" s="124"/>
      <c r="F147" s="97">
        <f t="shared" si="4"/>
        <v>555</v>
      </c>
      <c r="G147" s="97">
        <v>0</v>
      </c>
      <c r="H147" s="97">
        <v>555094</v>
      </c>
    </row>
    <row r="148" spans="1:8">
      <c r="A148" s="126" t="s">
        <v>765</v>
      </c>
      <c r="B148" s="125" t="s">
        <v>278</v>
      </c>
      <c r="C148" s="124"/>
      <c r="F148" s="97">
        <f t="shared" si="4"/>
        <v>103127</v>
      </c>
      <c r="G148" s="97">
        <v>0</v>
      </c>
      <c r="H148" s="97">
        <v>103127060</v>
      </c>
    </row>
    <row r="149" spans="1:8">
      <c r="A149" s="126">
        <v>548000</v>
      </c>
      <c r="B149" s="125" t="s">
        <v>298</v>
      </c>
      <c r="C149" s="124"/>
      <c r="F149" s="97">
        <f t="shared" si="4"/>
        <v>1977</v>
      </c>
      <c r="G149" s="97">
        <v>0</v>
      </c>
      <c r="H149" s="97">
        <v>1976882</v>
      </c>
    </row>
    <row r="150" spans="1:8">
      <c r="A150" s="126" t="s">
        <v>766</v>
      </c>
      <c r="B150" s="125" t="s">
        <v>299</v>
      </c>
      <c r="C150" s="124"/>
      <c r="F150" s="97">
        <f t="shared" si="4"/>
        <v>564</v>
      </c>
      <c r="G150" s="97">
        <v>0</v>
      </c>
      <c r="H150" s="97">
        <v>563897</v>
      </c>
    </row>
    <row r="151" spans="1:8">
      <c r="A151" s="126">
        <v>550000</v>
      </c>
      <c r="B151" s="125" t="s">
        <v>282</v>
      </c>
      <c r="C151" s="124"/>
      <c r="F151" s="97">
        <f t="shared" si="4"/>
        <v>56</v>
      </c>
      <c r="G151" s="97">
        <v>0</v>
      </c>
      <c r="H151" s="97">
        <v>56107</v>
      </c>
    </row>
    <row r="152" spans="1:8">
      <c r="A152" s="126"/>
      <c r="B152" s="125"/>
      <c r="C152" s="124"/>
      <c r="F152" s="97">
        <f t="shared" si="4"/>
        <v>0</v>
      </c>
      <c r="G152" s="97">
        <v>0</v>
      </c>
    </row>
    <row r="153" spans="1:8">
      <c r="A153" s="126"/>
      <c r="B153" s="125" t="s">
        <v>283</v>
      </c>
      <c r="C153" s="124"/>
      <c r="F153" s="97">
        <f t="shared" si="4"/>
        <v>0</v>
      </c>
      <c r="G153" s="97">
        <v>0</v>
      </c>
    </row>
    <row r="154" spans="1:8">
      <c r="A154" s="126">
        <v>551000</v>
      </c>
      <c r="B154" s="125" t="s">
        <v>277</v>
      </c>
      <c r="C154" s="124"/>
      <c r="F154" s="97">
        <f t="shared" si="4"/>
        <v>494</v>
      </c>
      <c r="G154" s="97">
        <v>0</v>
      </c>
      <c r="H154" s="97">
        <v>494345</v>
      </c>
    </row>
    <row r="155" spans="1:8">
      <c r="A155" s="126">
        <v>552000</v>
      </c>
      <c r="B155" s="125" t="s">
        <v>284</v>
      </c>
      <c r="C155" s="124"/>
      <c r="F155" s="97">
        <f t="shared" ref="F155:F216" si="6">ROUND(H155/1000,0)</f>
        <v>97</v>
      </c>
      <c r="G155" s="97">
        <v>0</v>
      </c>
      <c r="H155" s="97">
        <v>96669</v>
      </c>
    </row>
    <row r="156" spans="1:8">
      <c r="A156" s="126">
        <v>553000</v>
      </c>
      <c r="B156" s="125" t="s">
        <v>300</v>
      </c>
      <c r="C156" s="124"/>
      <c r="F156" s="97">
        <f t="shared" si="6"/>
        <v>2000</v>
      </c>
      <c r="G156" s="97">
        <v>0</v>
      </c>
      <c r="H156" s="97">
        <v>2000215</v>
      </c>
    </row>
    <row r="157" spans="1:8">
      <c r="A157" s="126" t="s">
        <v>767</v>
      </c>
      <c r="B157" s="125" t="s">
        <v>301</v>
      </c>
      <c r="C157" s="124"/>
      <c r="F157" s="97">
        <f t="shared" si="6"/>
        <v>317</v>
      </c>
      <c r="G157" s="97">
        <v>0</v>
      </c>
      <c r="H157" s="97">
        <v>316649</v>
      </c>
    </row>
    <row r="158" spans="1:8">
      <c r="A158" s="123"/>
      <c r="B158" s="125" t="s">
        <v>302</v>
      </c>
      <c r="C158" s="124"/>
      <c r="F158" s="97">
        <f t="shared" si="6"/>
        <v>109187</v>
      </c>
      <c r="G158" s="97">
        <v>0</v>
      </c>
      <c r="H158" s="97">
        <f>SUM(H147:H157)</f>
        <v>109186918</v>
      </c>
    </row>
    <row r="159" spans="1:8">
      <c r="A159" s="123"/>
      <c r="B159" s="125"/>
      <c r="C159" s="124"/>
      <c r="F159" s="97">
        <f t="shared" si="6"/>
        <v>0</v>
      </c>
      <c r="G159" s="97">
        <v>0</v>
      </c>
    </row>
    <row r="160" spans="1:8">
      <c r="A160" s="123"/>
      <c r="B160" s="125" t="s">
        <v>303</v>
      </c>
      <c r="C160" s="124"/>
      <c r="F160" s="97">
        <f t="shared" si="6"/>
        <v>0</v>
      </c>
      <c r="G160" s="97">
        <v>0</v>
      </c>
    </row>
    <row r="161" spans="1:8">
      <c r="A161" s="123" t="s">
        <v>304</v>
      </c>
      <c r="B161" s="125" t="s">
        <v>49</v>
      </c>
      <c r="C161" s="124"/>
      <c r="F161" s="97">
        <f t="shared" si="6"/>
        <v>133893</v>
      </c>
      <c r="G161" s="97">
        <v>0</v>
      </c>
      <c r="H161" s="97">
        <v>133893059</v>
      </c>
    </row>
    <row r="162" spans="1:8">
      <c r="A162" s="126">
        <v>556000</v>
      </c>
      <c r="B162" s="125" t="s">
        <v>305</v>
      </c>
      <c r="C162" s="124"/>
      <c r="F162" s="97">
        <f t="shared" si="6"/>
        <v>527</v>
      </c>
      <c r="G162" s="97">
        <v>0</v>
      </c>
      <c r="H162" s="97">
        <v>527060</v>
      </c>
    </row>
    <row r="163" spans="1:8">
      <c r="A163" s="126" t="s">
        <v>306</v>
      </c>
      <c r="B163" s="125" t="s">
        <v>307</v>
      </c>
      <c r="C163" s="124"/>
      <c r="F163" s="97">
        <f t="shared" si="6"/>
        <v>-5450</v>
      </c>
      <c r="G163" s="97">
        <v>0</v>
      </c>
      <c r="H163" s="97">
        <v>-5450296</v>
      </c>
    </row>
    <row r="164" spans="1:8">
      <c r="A164" s="126"/>
      <c r="B164" s="125" t="s">
        <v>308</v>
      </c>
      <c r="C164" s="124"/>
      <c r="F164" s="97">
        <f t="shared" si="6"/>
        <v>128970</v>
      </c>
      <c r="G164" s="97">
        <v>0</v>
      </c>
      <c r="H164" s="97">
        <f>SUM(H161:H163)</f>
        <v>128969823</v>
      </c>
    </row>
    <row r="165" spans="1:8">
      <c r="A165" s="126"/>
      <c r="B165" s="125" t="s">
        <v>309</v>
      </c>
      <c r="C165" s="124"/>
      <c r="F165" s="97">
        <f t="shared" si="6"/>
        <v>304694</v>
      </c>
      <c r="G165" s="97">
        <v>0</v>
      </c>
      <c r="H165" s="97">
        <f>SUM(H125,H143,H158,H164)</f>
        <v>304694102</v>
      </c>
    </row>
    <row r="166" spans="1:8">
      <c r="A166" s="126"/>
      <c r="B166" s="125"/>
      <c r="C166" s="124"/>
      <c r="F166" s="97">
        <f t="shared" si="6"/>
        <v>0</v>
      </c>
      <c r="G166" s="97">
        <v>0</v>
      </c>
    </row>
    <row r="167" spans="1:8">
      <c r="A167" s="126"/>
      <c r="B167" s="125" t="s">
        <v>310</v>
      </c>
      <c r="C167" s="124"/>
      <c r="F167" s="97">
        <f t="shared" si="6"/>
        <v>0</v>
      </c>
      <c r="G167" s="97">
        <v>0</v>
      </c>
    </row>
    <row r="168" spans="1:8">
      <c r="A168" s="126"/>
      <c r="B168" s="125" t="s">
        <v>276</v>
      </c>
      <c r="C168" s="124"/>
      <c r="F168" s="97">
        <f t="shared" si="6"/>
        <v>0</v>
      </c>
      <c r="G168" s="97">
        <v>0</v>
      </c>
    </row>
    <row r="169" spans="1:8">
      <c r="A169" s="126">
        <v>560000</v>
      </c>
      <c r="B169" s="125" t="s">
        <v>277</v>
      </c>
      <c r="C169" s="124"/>
      <c r="F169" s="97">
        <f t="shared" si="6"/>
        <v>1267</v>
      </c>
      <c r="G169" s="97">
        <v>0</v>
      </c>
      <c r="H169" s="97">
        <v>1267349</v>
      </c>
    </row>
    <row r="170" spans="1:8">
      <c r="A170" s="126">
        <v>561000</v>
      </c>
      <c r="B170" s="125" t="s">
        <v>311</v>
      </c>
      <c r="C170" s="124"/>
      <c r="F170" s="97">
        <f t="shared" si="6"/>
        <v>2000</v>
      </c>
      <c r="G170" s="97">
        <v>0</v>
      </c>
      <c r="H170" s="97">
        <v>2000227</v>
      </c>
    </row>
    <row r="171" spans="1:8">
      <c r="A171" s="126">
        <v>562000</v>
      </c>
      <c r="B171" s="125" t="s">
        <v>312</v>
      </c>
      <c r="C171" s="124"/>
      <c r="F171" s="97">
        <f t="shared" si="6"/>
        <v>284</v>
      </c>
      <c r="G171" s="97">
        <v>0</v>
      </c>
      <c r="H171" s="97">
        <v>283742</v>
      </c>
    </row>
    <row r="172" spans="1:8">
      <c r="A172" s="126">
        <v>562100</v>
      </c>
      <c r="B172" s="125" t="s">
        <v>588</v>
      </c>
      <c r="C172" s="124"/>
      <c r="F172" s="97">
        <f t="shared" si="6"/>
        <v>0</v>
      </c>
      <c r="G172" s="97">
        <v>0</v>
      </c>
      <c r="H172" s="97">
        <v>0</v>
      </c>
    </row>
    <row r="173" spans="1:8">
      <c r="A173" s="126">
        <v>563000</v>
      </c>
      <c r="B173" s="125" t="s">
        <v>313</v>
      </c>
      <c r="C173" s="124"/>
      <c r="F173" s="97">
        <f t="shared" si="6"/>
        <v>367</v>
      </c>
      <c r="G173" s="97">
        <v>0</v>
      </c>
      <c r="H173" s="97">
        <v>366901</v>
      </c>
    </row>
    <row r="174" spans="1:8">
      <c r="A174" s="126" t="s">
        <v>768</v>
      </c>
      <c r="B174" s="125" t="s">
        <v>314</v>
      </c>
      <c r="C174" s="124"/>
      <c r="F174" s="97">
        <f t="shared" si="6"/>
        <v>13165</v>
      </c>
      <c r="G174" s="97">
        <v>0</v>
      </c>
      <c r="H174" s="97">
        <v>13164986</v>
      </c>
    </row>
    <row r="175" spans="1:8">
      <c r="A175" s="126">
        <v>566000</v>
      </c>
      <c r="B175" s="125" t="s">
        <v>315</v>
      </c>
      <c r="C175" s="124"/>
      <c r="F175" s="97">
        <f t="shared" si="6"/>
        <v>2882</v>
      </c>
      <c r="G175" s="97">
        <v>0</v>
      </c>
      <c r="H175" s="97">
        <v>2882108</v>
      </c>
    </row>
    <row r="176" spans="1:8">
      <c r="A176" s="126">
        <v>567000</v>
      </c>
      <c r="B176" s="125" t="s">
        <v>282</v>
      </c>
      <c r="C176" s="124"/>
      <c r="F176" s="97">
        <f t="shared" si="6"/>
        <v>64</v>
      </c>
      <c r="G176" s="97">
        <v>0</v>
      </c>
      <c r="H176" s="97">
        <v>63744</v>
      </c>
    </row>
    <row r="177" spans="1:8">
      <c r="A177" s="123"/>
      <c r="B177" s="125"/>
      <c r="C177" s="124"/>
      <c r="F177" s="97">
        <f t="shared" si="6"/>
        <v>0</v>
      </c>
      <c r="G177" s="97">
        <v>0</v>
      </c>
    </row>
    <row r="178" spans="1:8">
      <c r="A178" s="123"/>
      <c r="B178" s="125" t="s">
        <v>283</v>
      </c>
      <c r="C178" s="124"/>
      <c r="F178" s="97">
        <f t="shared" si="6"/>
        <v>0</v>
      </c>
      <c r="G178" s="97">
        <v>0</v>
      </c>
    </row>
    <row r="179" spans="1:8">
      <c r="A179" s="126">
        <v>568000</v>
      </c>
      <c r="B179" s="125" t="s">
        <v>277</v>
      </c>
      <c r="C179" s="124"/>
      <c r="F179" s="97">
        <f t="shared" si="6"/>
        <v>281</v>
      </c>
      <c r="G179" s="97">
        <v>0</v>
      </c>
      <c r="H179" s="97">
        <v>281220</v>
      </c>
    </row>
    <row r="180" spans="1:8">
      <c r="A180" s="126">
        <v>569000</v>
      </c>
      <c r="B180" s="125" t="s">
        <v>284</v>
      </c>
      <c r="C180" s="124"/>
      <c r="F180" s="97">
        <f t="shared" si="6"/>
        <v>422</v>
      </c>
      <c r="G180" s="97">
        <v>0</v>
      </c>
      <c r="H180" s="97">
        <v>422412</v>
      </c>
    </row>
    <row r="181" spans="1:8">
      <c r="A181" s="126">
        <v>570000</v>
      </c>
      <c r="B181" s="125" t="s">
        <v>316</v>
      </c>
      <c r="C181" s="124"/>
      <c r="F181" s="97">
        <f t="shared" si="6"/>
        <v>715</v>
      </c>
      <c r="G181" s="97">
        <v>0</v>
      </c>
      <c r="H181" s="97">
        <v>714685</v>
      </c>
    </row>
    <row r="182" spans="1:8" ht="15.75">
      <c r="A182" s="163">
        <v>570100</v>
      </c>
      <c r="B182" s="162" t="s">
        <v>588</v>
      </c>
      <c r="C182" s="124"/>
      <c r="F182" s="97">
        <f t="shared" si="6"/>
        <v>0</v>
      </c>
      <c r="G182" s="97">
        <v>0</v>
      </c>
      <c r="H182" s="97">
        <v>0</v>
      </c>
    </row>
    <row r="183" spans="1:8">
      <c r="A183" s="126">
        <v>571000</v>
      </c>
      <c r="B183" s="125" t="s">
        <v>317</v>
      </c>
      <c r="C183" s="124"/>
      <c r="F183" s="97">
        <f t="shared" si="6"/>
        <v>1428</v>
      </c>
      <c r="G183" s="97">
        <v>0</v>
      </c>
      <c r="H183" s="97">
        <v>1428390</v>
      </c>
    </row>
    <row r="184" spans="1:8">
      <c r="A184" s="126">
        <v>572000</v>
      </c>
      <c r="B184" s="125" t="s">
        <v>318</v>
      </c>
      <c r="C184" s="124"/>
      <c r="F184" s="97">
        <f t="shared" si="6"/>
        <v>1</v>
      </c>
      <c r="G184" s="97">
        <v>0</v>
      </c>
      <c r="H184" s="97">
        <v>1119</v>
      </c>
    </row>
    <row r="185" spans="1:8">
      <c r="A185" s="126">
        <v>573000</v>
      </c>
      <c r="B185" s="125" t="s">
        <v>319</v>
      </c>
      <c r="C185" s="124"/>
      <c r="F185" s="97">
        <f t="shared" si="6"/>
        <v>67</v>
      </c>
      <c r="G185" s="97">
        <v>0</v>
      </c>
      <c r="H185" s="97">
        <v>67202</v>
      </c>
    </row>
    <row r="186" spans="1:8">
      <c r="A186" s="123"/>
      <c r="B186" s="125" t="s">
        <v>320</v>
      </c>
      <c r="C186" s="124"/>
      <c r="F186" s="97">
        <f t="shared" si="6"/>
        <v>22944</v>
      </c>
      <c r="G186" s="97">
        <v>0</v>
      </c>
      <c r="H186" s="97">
        <f>SUM(H169:H185)</f>
        <v>22944085</v>
      </c>
    </row>
    <row r="187" spans="1:8">
      <c r="A187" s="123"/>
      <c r="B187" s="125"/>
      <c r="C187" s="124"/>
      <c r="F187" s="97">
        <f t="shared" si="6"/>
        <v>0</v>
      </c>
      <c r="G187" s="97">
        <v>0</v>
      </c>
    </row>
    <row r="188" spans="1:8">
      <c r="A188" s="123"/>
      <c r="B188" s="125" t="s">
        <v>321</v>
      </c>
      <c r="C188" s="124"/>
      <c r="F188" s="97">
        <f>ROUND(H188/1000,0)</f>
        <v>31766</v>
      </c>
      <c r="G188" s="97">
        <v>0</v>
      </c>
      <c r="H188" s="272">
        <v>31766318</v>
      </c>
    </row>
    <row r="189" spans="1:8">
      <c r="A189" s="123"/>
      <c r="B189" s="125" t="s">
        <v>322</v>
      </c>
      <c r="C189" s="124"/>
      <c r="F189" s="97">
        <f t="shared" ref="F189:F211" si="7">ROUND(H189/1000,0)</f>
        <v>13134</v>
      </c>
      <c r="G189" s="97">
        <v>0</v>
      </c>
      <c r="H189" s="272">
        <v>13134397</v>
      </c>
    </row>
    <row r="190" spans="1:8">
      <c r="A190" s="123"/>
      <c r="B190" s="125" t="s">
        <v>323</v>
      </c>
      <c r="C190" s="124"/>
      <c r="F190" s="97">
        <f t="shared" si="7"/>
        <v>759</v>
      </c>
      <c r="G190" s="97">
        <v>0</v>
      </c>
      <c r="H190" s="272">
        <v>759482</v>
      </c>
    </row>
    <row r="191" spans="1:8" ht="15.75">
      <c r="A191" s="126">
        <v>403027</v>
      </c>
      <c r="B191" s="162" t="s">
        <v>650</v>
      </c>
      <c r="C191" s="124"/>
      <c r="F191" s="97">
        <f t="shared" si="7"/>
        <v>-2039</v>
      </c>
      <c r="G191" s="97">
        <v>0</v>
      </c>
      <c r="H191" s="272">
        <v>-2038974</v>
      </c>
    </row>
    <row r="192" spans="1:8">
      <c r="A192" s="126">
        <v>406100</v>
      </c>
      <c r="B192" s="125" t="s">
        <v>324</v>
      </c>
      <c r="C192" s="124"/>
      <c r="F192" s="97">
        <f t="shared" si="7"/>
        <v>0</v>
      </c>
      <c r="G192" s="97">
        <v>0</v>
      </c>
      <c r="H192" s="272">
        <v>0</v>
      </c>
    </row>
    <row r="193" spans="1:8">
      <c r="A193" s="126">
        <v>407303</v>
      </c>
      <c r="B193" s="125" t="s">
        <v>769</v>
      </c>
      <c r="C193" s="124"/>
      <c r="F193" s="97">
        <f t="shared" si="7"/>
        <v>379</v>
      </c>
      <c r="G193" s="97">
        <v>0</v>
      </c>
      <c r="H193" s="272">
        <v>379100</v>
      </c>
    </row>
    <row r="194" spans="1:8">
      <c r="A194" s="126">
        <v>407324</v>
      </c>
      <c r="B194" s="125" t="s">
        <v>325</v>
      </c>
      <c r="C194" s="124"/>
      <c r="F194" s="97">
        <f t="shared" si="7"/>
        <v>129</v>
      </c>
      <c r="G194" s="97">
        <v>0</v>
      </c>
      <c r="H194" s="272">
        <v>128800</v>
      </c>
    </row>
    <row r="195" spans="1:8" ht="15.75">
      <c r="A195" s="126">
        <v>407327</v>
      </c>
      <c r="B195" s="162" t="s">
        <v>651</v>
      </c>
      <c r="C195" s="124"/>
      <c r="F195" s="97">
        <f t="shared" si="7"/>
        <v>1028</v>
      </c>
      <c r="G195" s="97">
        <v>0</v>
      </c>
      <c r="H195" s="272">
        <v>1027746</v>
      </c>
    </row>
    <row r="196" spans="1:8">
      <c r="A196" s="126">
        <v>407333</v>
      </c>
      <c r="B196" s="125" t="s">
        <v>563</v>
      </c>
      <c r="C196" s="124"/>
      <c r="F196" s="97">
        <f t="shared" si="7"/>
        <v>21</v>
      </c>
      <c r="G196" s="97">
        <v>0</v>
      </c>
      <c r="H196" s="272">
        <v>21071</v>
      </c>
    </row>
    <row r="197" spans="1:8">
      <c r="A197" s="126">
        <v>407360</v>
      </c>
      <c r="B197" s="125" t="s">
        <v>564</v>
      </c>
      <c r="C197" s="124"/>
      <c r="F197" s="97">
        <f t="shared" si="7"/>
        <v>0</v>
      </c>
      <c r="G197" s="97">
        <v>0</v>
      </c>
      <c r="H197" s="272">
        <v>0</v>
      </c>
    </row>
    <row r="198" spans="1:8">
      <c r="A198" s="126">
        <v>407382</v>
      </c>
      <c r="B198" s="125" t="s">
        <v>326</v>
      </c>
      <c r="C198" s="124"/>
      <c r="F198" s="97">
        <f t="shared" si="7"/>
        <v>569</v>
      </c>
      <c r="G198" s="97">
        <v>0</v>
      </c>
      <c r="H198" s="272">
        <v>569351</v>
      </c>
    </row>
    <row r="199" spans="1:8">
      <c r="A199" s="126">
        <v>407395</v>
      </c>
      <c r="B199" s="125" t="s">
        <v>327</v>
      </c>
      <c r="C199" s="124"/>
      <c r="F199" s="97">
        <f t="shared" si="7"/>
        <v>291</v>
      </c>
      <c r="G199" s="97">
        <v>0</v>
      </c>
      <c r="H199" s="272">
        <v>291371</v>
      </c>
    </row>
    <row r="200" spans="1:8">
      <c r="A200" s="126">
        <v>407405</v>
      </c>
      <c r="B200" s="125" t="s">
        <v>328</v>
      </c>
      <c r="C200" s="124"/>
      <c r="F200" s="97">
        <f t="shared" si="7"/>
        <v>0</v>
      </c>
      <c r="G200" s="97">
        <v>0</v>
      </c>
      <c r="H200" s="272">
        <v>0</v>
      </c>
    </row>
    <row r="201" spans="1:8" ht="15.75">
      <c r="A201" s="126">
        <v>407427</v>
      </c>
      <c r="B201" s="162" t="s">
        <v>652</v>
      </c>
      <c r="C201" s="124"/>
      <c r="F201" s="97">
        <f t="shared" si="7"/>
        <v>-1474</v>
      </c>
      <c r="G201" s="97">
        <v>0</v>
      </c>
      <c r="H201" s="272">
        <v>-1474013</v>
      </c>
    </row>
    <row r="202" spans="1:8" ht="15.75">
      <c r="A202" s="163">
        <v>407434</v>
      </c>
      <c r="B202" s="162" t="s">
        <v>707</v>
      </c>
      <c r="C202" s="124"/>
      <c r="F202" s="97">
        <f t="shared" ref="F202" si="8">ROUND(H202/1000,0)</f>
        <v>0</v>
      </c>
      <c r="G202" s="97">
        <v>0</v>
      </c>
      <c r="H202" s="272">
        <v>0</v>
      </c>
    </row>
    <row r="203" spans="1:8">
      <c r="A203" s="123" t="s">
        <v>329</v>
      </c>
      <c r="B203" s="125" t="s">
        <v>330</v>
      </c>
      <c r="C203" s="124"/>
      <c r="F203" s="97">
        <f t="shared" si="7"/>
        <v>-11160</v>
      </c>
      <c r="G203" s="97">
        <v>0</v>
      </c>
      <c r="H203" s="272">
        <v>-11159547</v>
      </c>
    </row>
    <row r="204" spans="1:8">
      <c r="A204" s="123">
        <v>407451</v>
      </c>
      <c r="B204" s="125" t="s">
        <v>770</v>
      </c>
      <c r="C204" s="124"/>
      <c r="F204" s="97">
        <f t="shared" si="7"/>
        <v>-420</v>
      </c>
      <c r="G204" s="97">
        <v>0</v>
      </c>
      <c r="H204" s="272">
        <v>-419587</v>
      </c>
    </row>
    <row r="205" spans="1:8">
      <c r="A205" s="126">
        <v>407460</v>
      </c>
      <c r="B205" s="125" t="s">
        <v>331</v>
      </c>
      <c r="C205" s="124"/>
      <c r="F205" s="97">
        <f t="shared" si="7"/>
        <v>0</v>
      </c>
      <c r="G205" s="97">
        <v>0</v>
      </c>
      <c r="H205" s="272">
        <v>0</v>
      </c>
    </row>
    <row r="206" spans="1:8" ht="15.75">
      <c r="A206" s="163">
        <v>407494</v>
      </c>
      <c r="B206" s="162" t="s">
        <v>593</v>
      </c>
      <c r="C206" s="124"/>
      <c r="F206" s="97">
        <f t="shared" si="7"/>
        <v>-86</v>
      </c>
      <c r="G206" s="97">
        <v>0</v>
      </c>
      <c r="H206" s="272">
        <v>-86483</v>
      </c>
    </row>
    <row r="207" spans="1:8">
      <c r="A207" s="126">
        <v>407495</v>
      </c>
      <c r="B207" s="125" t="s">
        <v>565</v>
      </c>
      <c r="C207" s="124"/>
      <c r="F207" s="97">
        <f t="shared" si="7"/>
        <v>-5</v>
      </c>
      <c r="G207" s="97">
        <v>0</v>
      </c>
      <c r="H207" s="272">
        <v>-5419</v>
      </c>
    </row>
    <row r="208" spans="1:8">
      <c r="A208" s="123"/>
      <c r="B208" s="125" t="s">
        <v>332</v>
      </c>
      <c r="C208" s="124"/>
      <c r="F208" s="97">
        <f t="shared" si="7"/>
        <v>12505</v>
      </c>
      <c r="G208" s="97">
        <v>0</v>
      </c>
      <c r="H208" s="272">
        <v>12504797</v>
      </c>
    </row>
    <row r="209" spans="1:8">
      <c r="A209" s="123"/>
      <c r="B209" s="125" t="s">
        <v>333</v>
      </c>
      <c r="C209" s="124"/>
      <c r="F209" s="97">
        <f t="shared" si="7"/>
        <v>45398</v>
      </c>
      <c r="G209" s="97">
        <v>0</v>
      </c>
      <c r="H209" s="272">
        <f>SUM(H188:H208)</f>
        <v>45398410</v>
      </c>
    </row>
    <row r="210" spans="1:8">
      <c r="A210" s="123"/>
      <c r="B210" s="125"/>
      <c r="C210" s="124"/>
      <c r="F210" s="97">
        <f t="shared" si="7"/>
        <v>0</v>
      </c>
      <c r="G210" s="97">
        <v>0</v>
      </c>
      <c r="H210" s="272"/>
    </row>
    <row r="211" spans="1:8">
      <c r="A211" s="123"/>
      <c r="B211" s="125" t="s">
        <v>334</v>
      </c>
      <c r="C211" s="124"/>
      <c r="F211" s="97">
        <f t="shared" si="7"/>
        <v>373037</v>
      </c>
      <c r="G211" s="97">
        <v>0</v>
      </c>
      <c r="H211" s="272">
        <f>SUM(H165,H186,H209)</f>
        <v>373036597</v>
      </c>
    </row>
    <row r="212" spans="1:8">
      <c r="A212" s="123"/>
      <c r="B212" s="125"/>
      <c r="C212" s="124"/>
      <c r="F212" s="97">
        <f t="shared" si="6"/>
        <v>0</v>
      </c>
      <c r="G212" s="97">
        <v>0</v>
      </c>
      <c r="H212" s="272"/>
    </row>
    <row r="213" spans="1:8">
      <c r="A213" s="123"/>
      <c r="B213" s="125" t="s">
        <v>335</v>
      </c>
      <c r="C213" s="124"/>
      <c r="F213" s="97">
        <f t="shared" si="6"/>
        <v>0</v>
      </c>
      <c r="G213" s="97">
        <v>0</v>
      </c>
      <c r="H213" s="272"/>
    </row>
    <row r="214" spans="1:8">
      <c r="A214" s="123"/>
      <c r="B214" s="124" t="s">
        <v>336</v>
      </c>
      <c r="C214" s="124"/>
      <c r="F214" s="97">
        <f t="shared" si="6"/>
        <v>0</v>
      </c>
      <c r="G214" s="97">
        <v>0</v>
      </c>
      <c r="H214" s="272"/>
    </row>
    <row r="215" spans="1:8">
      <c r="A215" s="126">
        <v>580000</v>
      </c>
      <c r="B215" s="125" t="s">
        <v>277</v>
      </c>
      <c r="C215" s="124"/>
      <c r="F215" s="97">
        <f>ROUND(H215/1000,0)</f>
        <v>2873</v>
      </c>
      <c r="G215" s="97">
        <v>0</v>
      </c>
      <c r="H215" s="272">
        <v>2872733</v>
      </c>
    </row>
    <row r="216" spans="1:8">
      <c r="A216" s="126">
        <v>582000</v>
      </c>
      <c r="B216" s="124" t="s">
        <v>312</v>
      </c>
      <c r="C216" s="124"/>
      <c r="F216" s="97">
        <f t="shared" si="6"/>
        <v>622</v>
      </c>
      <c r="G216" s="97">
        <v>0</v>
      </c>
      <c r="H216" s="272">
        <v>622440</v>
      </c>
    </row>
    <row r="217" spans="1:8">
      <c r="A217" s="126">
        <v>583000</v>
      </c>
      <c r="B217" s="125" t="s">
        <v>313</v>
      </c>
      <c r="C217" s="124"/>
      <c r="F217" s="97">
        <f t="shared" ref="F217:F282" si="9">ROUND(H217/1000,0)</f>
        <v>1987</v>
      </c>
      <c r="G217" s="97">
        <v>0</v>
      </c>
      <c r="H217" s="272">
        <v>1987440</v>
      </c>
    </row>
    <row r="218" spans="1:8">
      <c r="A218" s="126">
        <v>584000</v>
      </c>
      <c r="B218" s="125" t="s">
        <v>337</v>
      </c>
      <c r="C218" s="124"/>
      <c r="F218" s="97">
        <f t="shared" si="9"/>
        <v>933</v>
      </c>
      <c r="G218" s="97">
        <v>0</v>
      </c>
      <c r="H218" s="272">
        <v>933391</v>
      </c>
    </row>
    <row r="219" spans="1:8" ht="15.75">
      <c r="A219" s="163">
        <v>584100</v>
      </c>
      <c r="B219" s="162" t="s">
        <v>588</v>
      </c>
      <c r="C219" s="124"/>
      <c r="F219" s="97">
        <f t="shared" si="9"/>
        <v>0</v>
      </c>
      <c r="G219" s="97">
        <v>0</v>
      </c>
      <c r="H219" s="272">
        <v>0</v>
      </c>
    </row>
    <row r="220" spans="1:8">
      <c r="A220" s="126">
        <v>585000</v>
      </c>
      <c r="B220" s="125" t="s">
        <v>338</v>
      </c>
      <c r="C220" s="124"/>
      <c r="F220" s="97">
        <f t="shared" si="9"/>
        <v>1</v>
      </c>
      <c r="G220" s="97">
        <v>0</v>
      </c>
      <c r="H220" s="272">
        <v>968</v>
      </c>
    </row>
    <row r="221" spans="1:8">
      <c r="A221" s="126">
        <v>586000</v>
      </c>
      <c r="B221" s="125" t="s">
        <v>339</v>
      </c>
      <c r="C221" s="124"/>
      <c r="F221" s="97">
        <f t="shared" si="9"/>
        <v>1944</v>
      </c>
      <c r="G221" s="97">
        <v>0</v>
      </c>
      <c r="H221" s="272">
        <v>1943663</v>
      </c>
    </row>
    <row r="222" spans="1:8">
      <c r="A222" s="126">
        <v>587000</v>
      </c>
      <c r="B222" s="125" t="s">
        <v>340</v>
      </c>
      <c r="C222" s="124"/>
      <c r="F222" s="97">
        <f t="shared" si="9"/>
        <v>576</v>
      </c>
      <c r="G222" s="97">
        <v>0</v>
      </c>
      <c r="H222" s="272">
        <v>575819</v>
      </c>
    </row>
    <row r="223" spans="1:8">
      <c r="A223" s="126">
        <v>588000</v>
      </c>
      <c r="B223" s="125" t="s">
        <v>341</v>
      </c>
      <c r="C223" s="124"/>
      <c r="F223" s="97">
        <f t="shared" si="9"/>
        <v>6614</v>
      </c>
      <c r="G223" s="97">
        <v>0</v>
      </c>
      <c r="H223" s="272">
        <v>6613847</v>
      </c>
    </row>
    <row r="224" spans="1:8">
      <c r="A224" s="126">
        <v>589000</v>
      </c>
      <c r="B224" s="125" t="s">
        <v>282</v>
      </c>
      <c r="C224" s="124"/>
      <c r="F224" s="97">
        <f t="shared" si="9"/>
        <v>79</v>
      </c>
      <c r="G224" s="97">
        <v>0</v>
      </c>
      <c r="H224" s="272">
        <v>79459</v>
      </c>
    </row>
    <row r="225" spans="1:8">
      <c r="A225" s="127"/>
      <c r="B225" s="125"/>
      <c r="C225" s="124"/>
      <c r="F225" s="97">
        <f t="shared" si="9"/>
        <v>0</v>
      </c>
      <c r="G225" s="97">
        <v>0</v>
      </c>
      <c r="H225" s="272"/>
    </row>
    <row r="226" spans="1:8">
      <c r="A226" s="123"/>
      <c r="B226" s="124" t="s">
        <v>342</v>
      </c>
      <c r="C226" s="124"/>
      <c r="F226" s="97">
        <f t="shared" si="9"/>
        <v>0</v>
      </c>
      <c r="G226" s="97">
        <v>0</v>
      </c>
      <c r="H226" s="272"/>
    </row>
    <row r="227" spans="1:8">
      <c r="A227" s="126">
        <v>590000</v>
      </c>
      <c r="B227" s="125" t="s">
        <v>277</v>
      </c>
      <c r="C227" s="124"/>
      <c r="F227" s="97">
        <f t="shared" si="9"/>
        <v>889</v>
      </c>
      <c r="G227" s="97">
        <v>0</v>
      </c>
      <c r="H227" s="272">
        <v>888877</v>
      </c>
    </row>
    <row r="228" spans="1:8">
      <c r="A228" s="126">
        <v>591000</v>
      </c>
      <c r="B228" s="125" t="s">
        <v>284</v>
      </c>
      <c r="C228" s="124"/>
      <c r="F228" s="97">
        <f t="shared" si="9"/>
        <v>255</v>
      </c>
      <c r="G228" s="97">
        <v>0</v>
      </c>
      <c r="H228" s="272">
        <v>254813</v>
      </c>
    </row>
    <row r="229" spans="1:8">
      <c r="A229" s="126">
        <v>592000</v>
      </c>
      <c r="B229" s="124" t="s">
        <v>316</v>
      </c>
      <c r="C229" s="124"/>
      <c r="F229" s="97">
        <f t="shared" si="9"/>
        <v>548</v>
      </c>
      <c r="G229" s="97">
        <v>0</v>
      </c>
      <c r="H229" s="272">
        <v>547812</v>
      </c>
    </row>
    <row r="230" spans="1:8" ht="15.75">
      <c r="A230" s="163">
        <v>592200</v>
      </c>
      <c r="B230" s="162" t="s">
        <v>588</v>
      </c>
      <c r="C230" s="124"/>
      <c r="F230" s="97">
        <f t="shared" si="9"/>
        <v>0</v>
      </c>
      <c r="G230" s="97">
        <v>0</v>
      </c>
      <c r="H230" s="272">
        <v>0</v>
      </c>
    </row>
    <row r="231" spans="1:8">
      <c r="A231" s="126">
        <v>593000</v>
      </c>
      <c r="B231" s="125" t="s">
        <v>317</v>
      </c>
      <c r="C231" s="124"/>
      <c r="F231" s="97">
        <f t="shared" si="9"/>
        <v>15803</v>
      </c>
      <c r="G231" s="97">
        <v>0</v>
      </c>
      <c r="H231" s="272">
        <v>15802967</v>
      </c>
    </row>
    <row r="232" spans="1:8">
      <c r="A232" s="126">
        <v>594000</v>
      </c>
      <c r="B232" s="125" t="s">
        <v>318</v>
      </c>
      <c r="C232" s="124"/>
      <c r="F232" s="97">
        <f t="shared" si="9"/>
        <v>685</v>
      </c>
      <c r="G232" s="97">
        <v>0</v>
      </c>
      <c r="H232" s="272">
        <v>684565</v>
      </c>
    </row>
    <row r="233" spans="1:8">
      <c r="A233" s="126">
        <v>595000</v>
      </c>
      <c r="B233" s="125" t="s">
        <v>343</v>
      </c>
      <c r="C233" s="124"/>
      <c r="F233" s="97">
        <f t="shared" si="9"/>
        <v>423</v>
      </c>
      <c r="G233" s="97">
        <v>0</v>
      </c>
      <c r="H233" s="272">
        <v>422722</v>
      </c>
    </row>
    <row r="234" spans="1:8">
      <c r="A234" s="126">
        <v>596000</v>
      </c>
      <c r="B234" s="125" t="s">
        <v>344</v>
      </c>
      <c r="C234" s="124"/>
      <c r="F234" s="97">
        <f t="shared" si="9"/>
        <v>99</v>
      </c>
      <c r="G234" s="97">
        <v>0</v>
      </c>
      <c r="H234" s="272">
        <v>99032</v>
      </c>
    </row>
    <row r="235" spans="1:8">
      <c r="A235" s="126">
        <v>597000</v>
      </c>
      <c r="B235" s="125" t="s">
        <v>345</v>
      </c>
      <c r="C235" s="124"/>
      <c r="F235" s="97">
        <f t="shared" si="9"/>
        <v>42</v>
      </c>
      <c r="G235" s="97">
        <v>0</v>
      </c>
      <c r="H235" s="272">
        <v>42349</v>
      </c>
    </row>
    <row r="236" spans="1:8">
      <c r="A236" s="126">
        <v>598000</v>
      </c>
      <c r="B236" s="125" t="s">
        <v>341</v>
      </c>
      <c r="C236" s="124"/>
      <c r="F236" s="97">
        <f t="shared" si="9"/>
        <v>803</v>
      </c>
      <c r="G236" s="97">
        <v>0</v>
      </c>
      <c r="H236" s="272">
        <v>803278</v>
      </c>
    </row>
    <row r="237" spans="1:8">
      <c r="A237" s="127"/>
      <c r="B237" s="125" t="s">
        <v>346</v>
      </c>
      <c r="C237" s="124"/>
      <c r="F237" s="97">
        <f t="shared" si="9"/>
        <v>35176</v>
      </c>
      <c r="G237" s="97">
        <v>0</v>
      </c>
      <c r="H237" s="272">
        <f>SUM(H215:H236)</f>
        <v>35176175</v>
      </c>
    </row>
    <row r="238" spans="1:8">
      <c r="A238" s="127"/>
      <c r="B238" s="125"/>
      <c r="C238" s="124"/>
      <c r="F238" s="97">
        <f t="shared" si="9"/>
        <v>0</v>
      </c>
      <c r="G238" s="97">
        <v>0</v>
      </c>
      <c r="H238" s="272"/>
    </row>
    <row r="239" spans="1:8">
      <c r="A239" s="123"/>
      <c r="B239" s="125" t="s">
        <v>347</v>
      </c>
      <c r="C239" s="124"/>
      <c r="F239" s="97">
        <f t="shared" si="9"/>
        <v>38504</v>
      </c>
      <c r="G239" s="97">
        <v>0</v>
      </c>
      <c r="H239" s="272">
        <v>38503631</v>
      </c>
    </row>
    <row r="240" spans="1:8">
      <c r="A240" s="123"/>
      <c r="B240" s="125" t="s">
        <v>323</v>
      </c>
      <c r="C240" s="124"/>
      <c r="F240" s="97">
        <f t="shared" si="9"/>
        <v>115</v>
      </c>
      <c r="G240" s="97">
        <v>0</v>
      </c>
      <c r="H240" s="272">
        <v>114884</v>
      </c>
    </row>
    <row r="241" spans="1:8">
      <c r="A241" s="123"/>
      <c r="B241" s="125" t="s">
        <v>348</v>
      </c>
      <c r="C241" s="124"/>
      <c r="F241" s="97">
        <f t="shared" si="9"/>
        <v>50732</v>
      </c>
      <c r="G241" s="97">
        <v>0</v>
      </c>
      <c r="H241" s="272">
        <v>50731700</v>
      </c>
    </row>
    <row r="242" spans="1:8">
      <c r="A242" s="123"/>
      <c r="B242" s="125" t="s">
        <v>349</v>
      </c>
      <c r="C242" s="124"/>
      <c r="F242" s="97">
        <f t="shared" si="9"/>
        <v>89350</v>
      </c>
      <c r="G242" s="97">
        <v>0</v>
      </c>
      <c r="H242" s="272">
        <f>SUM(H239:H241)</f>
        <v>89350215</v>
      </c>
    </row>
    <row r="243" spans="1:8">
      <c r="A243" s="123"/>
      <c r="B243" s="125"/>
      <c r="C243" s="124"/>
      <c r="F243" s="97">
        <f t="shared" si="9"/>
        <v>0</v>
      </c>
      <c r="G243" s="97">
        <v>0</v>
      </c>
      <c r="H243" s="272"/>
    </row>
    <row r="244" spans="1:8">
      <c r="A244" s="123"/>
      <c r="B244" s="125" t="s">
        <v>350</v>
      </c>
      <c r="C244" s="124"/>
      <c r="F244" s="97">
        <f t="shared" si="9"/>
        <v>124526</v>
      </c>
      <c r="G244" s="97">
        <v>0</v>
      </c>
      <c r="H244" s="272">
        <f>SUM(H237,H242)</f>
        <v>124526390</v>
      </c>
    </row>
    <row r="245" spans="1:8">
      <c r="A245" s="123"/>
      <c r="B245" s="124"/>
      <c r="C245" s="124"/>
      <c r="F245" s="97">
        <f t="shared" si="9"/>
        <v>0</v>
      </c>
      <c r="G245" s="97">
        <v>0</v>
      </c>
      <c r="H245" s="272"/>
    </row>
    <row r="246" spans="1:8">
      <c r="A246" s="123"/>
      <c r="B246" s="125" t="s">
        <v>351</v>
      </c>
      <c r="C246" s="124"/>
      <c r="F246" s="97">
        <f t="shared" si="9"/>
        <v>0</v>
      </c>
      <c r="G246" s="97">
        <v>0</v>
      </c>
      <c r="H246" s="272"/>
    </row>
    <row r="247" spans="1:8">
      <c r="A247" s="126">
        <v>901000</v>
      </c>
      <c r="B247" s="125" t="s">
        <v>352</v>
      </c>
      <c r="C247" s="124"/>
      <c r="F247" s="97">
        <f t="shared" si="9"/>
        <v>85</v>
      </c>
      <c r="G247" s="97">
        <v>0</v>
      </c>
      <c r="H247" s="272">
        <v>85455</v>
      </c>
    </row>
    <row r="248" spans="1:8">
      <c r="A248" s="126">
        <v>902000</v>
      </c>
      <c r="B248" s="125" t="s">
        <v>353</v>
      </c>
      <c r="C248" s="124"/>
      <c r="F248" s="97">
        <f t="shared" si="9"/>
        <v>491</v>
      </c>
      <c r="G248" s="97">
        <v>0</v>
      </c>
      <c r="H248" s="272">
        <v>490695</v>
      </c>
    </row>
    <row r="249" spans="1:8">
      <c r="A249" s="126" t="s">
        <v>354</v>
      </c>
      <c r="B249" s="125" t="s">
        <v>355</v>
      </c>
      <c r="C249" s="124"/>
      <c r="F249" s="97">
        <f t="shared" si="9"/>
        <v>5208</v>
      </c>
      <c r="G249" s="97">
        <v>0</v>
      </c>
      <c r="H249" s="272">
        <v>5207853</v>
      </c>
    </row>
    <row r="250" spans="1:8">
      <c r="A250" s="126">
        <v>904000</v>
      </c>
      <c r="B250" s="125" t="s">
        <v>356</v>
      </c>
      <c r="C250" s="124"/>
      <c r="F250" s="97">
        <f t="shared" si="9"/>
        <v>-269</v>
      </c>
      <c r="G250" s="97">
        <v>0</v>
      </c>
      <c r="H250" s="272">
        <v>-269148</v>
      </c>
    </row>
    <row r="251" spans="1:8">
      <c r="A251" s="126">
        <v>905000</v>
      </c>
      <c r="B251" s="125" t="s">
        <v>357</v>
      </c>
      <c r="C251" s="124"/>
      <c r="F251" s="97">
        <f t="shared" si="9"/>
        <v>234</v>
      </c>
      <c r="G251" s="97">
        <v>0</v>
      </c>
      <c r="H251" s="272">
        <v>234280</v>
      </c>
    </row>
    <row r="252" spans="1:8">
      <c r="A252" s="123"/>
      <c r="B252" s="125" t="s">
        <v>358</v>
      </c>
      <c r="C252" s="124"/>
      <c r="F252" s="97">
        <f t="shared" si="9"/>
        <v>5749</v>
      </c>
      <c r="G252" s="97">
        <v>0</v>
      </c>
      <c r="H252" s="272">
        <f>SUM(H247:H251)</f>
        <v>5749135</v>
      </c>
    </row>
    <row r="253" spans="1:8">
      <c r="A253" s="123"/>
      <c r="B253" s="125"/>
      <c r="C253" s="124"/>
      <c r="F253" s="97">
        <f t="shared" si="9"/>
        <v>0</v>
      </c>
      <c r="G253" s="97">
        <v>0</v>
      </c>
      <c r="H253" s="272"/>
    </row>
    <row r="254" spans="1:8">
      <c r="A254" s="123"/>
      <c r="B254" s="125" t="s">
        <v>359</v>
      </c>
      <c r="C254" s="124"/>
      <c r="F254" s="97">
        <f t="shared" si="9"/>
        <v>0</v>
      </c>
      <c r="G254" s="97">
        <v>0</v>
      </c>
      <c r="H254" s="272"/>
    </row>
    <row r="255" spans="1:8">
      <c r="A255" s="123" t="s">
        <v>360</v>
      </c>
      <c r="B255" s="125" t="s">
        <v>361</v>
      </c>
      <c r="C255" s="124"/>
      <c r="F255" s="97">
        <f t="shared" si="9"/>
        <v>23762</v>
      </c>
      <c r="G255" s="97">
        <v>0</v>
      </c>
      <c r="H255" s="272">
        <v>23761803</v>
      </c>
    </row>
    <row r="256" spans="1:8">
      <c r="A256" s="126">
        <v>909000</v>
      </c>
      <c r="B256" s="125" t="s">
        <v>362</v>
      </c>
      <c r="C256" s="124"/>
      <c r="F256" s="97">
        <f t="shared" si="9"/>
        <v>628</v>
      </c>
      <c r="G256" s="97">
        <v>0</v>
      </c>
      <c r="H256" s="272">
        <v>627753</v>
      </c>
    </row>
    <row r="257" spans="1:8">
      <c r="A257" s="126">
        <v>910000</v>
      </c>
      <c r="B257" s="125" t="s">
        <v>363</v>
      </c>
      <c r="C257" s="124"/>
      <c r="F257" s="97">
        <f t="shared" si="9"/>
        <v>155</v>
      </c>
      <c r="G257" s="97">
        <v>0</v>
      </c>
      <c r="H257" s="272">
        <v>155262</v>
      </c>
    </row>
    <row r="258" spans="1:8">
      <c r="A258" s="126"/>
      <c r="B258" s="125" t="s">
        <v>364</v>
      </c>
      <c r="C258" s="124"/>
      <c r="F258" s="97">
        <f t="shared" si="9"/>
        <v>24545</v>
      </c>
      <c r="G258" s="97">
        <v>0</v>
      </c>
      <c r="H258" s="272">
        <f>SUM(H255:H257)</f>
        <v>24544818</v>
      </c>
    </row>
    <row r="259" spans="1:8">
      <c r="A259" s="126"/>
      <c r="B259" s="125"/>
      <c r="C259" s="124"/>
      <c r="F259" s="97">
        <f t="shared" si="9"/>
        <v>0</v>
      </c>
      <c r="G259" s="97">
        <v>0</v>
      </c>
      <c r="H259" s="272"/>
    </row>
    <row r="260" spans="1:8">
      <c r="A260" s="126"/>
      <c r="B260" s="125" t="s">
        <v>365</v>
      </c>
      <c r="C260" s="124"/>
      <c r="F260" s="97">
        <f t="shared" si="9"/>
        <v>0</v>
      </c>
      <c r="G260" s="97">
        <v>0</v>
      </c>
      <c r="H260" s="272"/>
    </row>
    <row r="261" spans="1:8">
      <c r="A261" s="126">
        <v>912000</v>
      </c>
      <c r="B261" s="125" t="s">
        <v>366</v>
      </c>
      <c r="C261" s="124"/>
      <c r="F261" s="97">
        <f t="shared" si="9"/>
        <v>73</v>
      </c>
      <c r="G261" s="97">
        <v>0</v>
      </c>
      <c r="H261" s="272">
        <v>73461</v>
      </c>
    </row>
    <row r="262" spans="1:8">
      <c r="A262" s="126">
        <v>913000</v>
      </c>
      <c r="B262" s="125" t="s">
        <v>362</v>
      </c>
      <c r="C262" s="124"/>
      <c r="F262" s="97">
        <f t="shared" si="9"/>
        <v>0</v>
      </c>
      <c r="G262" s="97">
        <v>0</v>
      </c>
      <c r="H262" s="272">
        <v>0</v>
      </c>
    </row>
    <row r="263" spans="1:8">
      <c r="A263" s="126">
        <v>916000</v>
      </c>
      <c r="B263" s="125" t="s">
        <v>367</v>
      </c>
      <c r="C263" s="124"/>
      <c r="F263" s="97">
        <f t="shared" si="9"/>
        <v>0</v>
      </c>
      <c r="G263" s="97">
        <v>0</v>
      </c>
      <c r="H263" s="272">
        <v>0</v>
      </c>
    </row>
    <row r="264" spans="1:8">
      <c r="A264" s="126"/>
      <c r="B264" s="125" t="s">
        <v>368</v>
      </c>
      <c r="C264" s="124"/>
      <c r="F264" s="97">
        <f t="shared" si="9"/>
        <v>73</v>
      </c>
      <c r="G264" s="97">
        <v>0</v>
      </c>
      <c r="H264" s="272">
        <f>SUM(H261:H263)</f>
        <v>73461</v>
      </c>
    </row>
    <row r="265" spans="1:8">
      <c r="A265" s="126"/>
      <c r="B265" s="125"/>
      <c r="C265" s="124"/>
      <c r="F265" s="97">
        <f t="shared" si="9"/>
        <v>0</v>
      </c>
      <c r="G265" s="97">
        <v>0</v>
      </c>
      <c r="H265" s="272"/>
    </row>
    <row r="266" spans="1:8">
      <c r="A266" s="126"/>
      <c r="B266" s="125" t="s">
        <v>369</v>
      </c>
      <c r="C266" s="124"/>
      <c r="F266" s="97">
        <f t="shared" si="9"/>
        <v>0</v>
      </c>
      <c r="G266" s="97">
        <v>0</v>
      </c>
      <c r="H266" s="272"/>
    </row>
    <row r="267" spans="1:8">
      <c r="A267" s="126">
        <v>920000</v>
      </c>
      <c r="B267" s="125" t="s">
        <v>370</v>
      </c>
      <c r="C267" s="124"/>
      <c r="F267" s="97">
        <f t="shared" si="9"/>
        <v>21719</v>
      </c>
      <c r="G267" s="97">
        <v>0</v>
      </c>
      <c r="H267" s="272">
        <v>21719075</v>
      </c>
    </row>
    <row r="268" spans="1:8">
      <c r="A268" s="126">
        <v>921000</v>
      </c>
      <c r="B268" s="125" t="s">
        <v>371</v>
      </c>
      <c r="C268" s="124"/>
      <c r="F268" s="97">
        <f t="shared" si="9"/>
        <v>2769</v>
      </c>
      <c r="G268" s="97">
        <v>0</v>
      </c>
      <c r="H268" s="272">
        <v>2769338</v>
      </c>
    </row>
    <row r="269" spans="1:8">
      <c r="A269" s="126">
        <v>922000</v>
      </c>
      <c r="B269" s="125" t="s">
        <v>372</v>
      </c>
      <c r="C269" s="124"/>
      <c r="F269" s="97">
        <f t="shared" si="9"/>
        <v>-70</v>
      </c>
      <c r="G269" s="97">
        <v>0</v>
      </c>
      <c r="H269" s="272">
        <v>-70476</v>
      </c>
    </row>
    <row r="270" spans="1:8">
      <c r="A270" s="126">
        <v>923000</v>
      </c>
      <c r="B270" s="125" t="s">
        <v>373</v>
      </c>
      <c r="C270" s="124"/>
      <c r="F270" s="97">
        <f t="shared" si="9"/>
        <v>11017</v>
      </c>
      <c r="G270" s="97">
        <v>0</v>
      </c>
      <c r="H270" s="272">
        <v>11016695</v>
      </c>
    </row>
    <row r="271" spans="1:8">
      <c r="A271" s="126">
        <v>924000</v>
      </c>
      <c r="B271" s="125" t="s">
        <v>374</v>
      </c>
      <c r="C271" s="124"/>
      <c r="F271" s="97">
        <f t="shared" si="9"/>
        <v>1764</v>
      </c>
      <c r="G271" s="97">
        <v>0</v>
      </c>
      <c r="H271" s="272">
        <v>1763586</v>
      </c>
    </row>
    <row r="272" spans="1:8">
      <c r="A272" s="123" t="s">
        <v>375</v>
      </c>
      <c r="B272" s="125" t="s">
        <v>376</v>
      </c>
      <c r="C272" s="124"/>
      <c r="F272" s="97">
        <f t="shared" si="9"/>
        <v>7237</v>
      </c>
      <c r="G272" s="97">
        <v>0</v>
      </c>
      <c r="H272" s="272">
        <v>7237450</v>
      </c>
    </row>
    <row r="273" spans="1:8">
      <c r="A273" s="123" t="s">
        <v>377</v>
      </c>
      <c r="B273" s="125" t="s">
        <v>378</v>
      </c>
      <c r="C273" s="124"/>
      <c r="F273" s="97">
        <f t="shared" si="9"/>
        <v>24651</v>
      </c>
      <c r="G273" s="97">
        <v>0</v>
      </c>
      <c r="H273" s="272">
        <v>24650750</v>
      </c>
    </row>
    <row r="274" spans="1:8">
      <c r="A274" s="126">
        <v>927000</v>
      </c>
      <c r="B274" s="125" t="s">
        <v>379</v>
      </c>
      <c r="C274" s="124"/>
      <c r="F274" s="97">
        <f t="shared" si="9"/>
        <v>0</v>
      </c>
      <c r="G274" s="97">
        <v>0</v>
      </c>
      <c r="H274" s="272">
        <v>0</v>
      </c>
    </row>
    <row r="275" spans="1:8">
      <c r="A275" s="126">
        <v>928000</v>
      </c>
      <c r="B275" s="125" t="s">
        <v>380</v>
      </c>
      <c r="C275" s="124"/>
      <c r="F275" s="97">
        <f t="shared" si="9"/>
        <v>5067</v>
      </c>
      <c r="G275" s="97">
        <v>0</v>
      </c>
      <c r="H275" s="272">
        <v>5066650</v>
      </c>
    </row>
    <row r="276" spans="1:8">
      <c r="A276" s="126">
        <v>930000</v>
      </c>
      <c r="B276" s="125" t="s">
        <v>381</v>
      </c>
      <c r="C276" s="124"/>
      <c r="F276" s="97">
        <f t="shared" si="9"/>
        <v>3110</v>
      </c>
      <c r="G276" s="97">
        <v>0</v>
      </c>
      <c r="H276" s="272">
        <v>3110428</v>
      </c>
    </row>
    <row r="277" spans="1:8">
      <c r="A277" s="126">
        <v>931000</v>
      </c>
      <c r="B277" s="125" t="s">
        <v>382</v>
      </c>
      <c r="C277" s="124"/>
      <c r="F277" s="97">
        <f t="shared" si="9"/>
        <v>551</v>
      </c>
      <c r="G277" s="97">
        <v>0</v>
      </c>
      <c r="H277" s="272">
        <v>550562</v>
      </c>
    </row>
    <row r="278" spans="1:8">
      <c r="A278" s="126">
        <v>935000</v>
      </c>
      <c r="B278" s="125" t="s">
        <v>383</v>
      </c>
      <c r="C278" s="124"/>
      <c r="F278" s="97">
        <f t="shared" si="9"/>
        <v>10123</v>
      </c>
      <c r="G278" s="97">
        <v>0</v>
      </c>
      <c r="H278" s="272">
        <v>10122538</v>
      </c>
    </row>
    <row r="279" spans="1:8">
      <c r="A279" s="123"/>
      <c r="B279" s="125" t="s">
        <v>384</v>
      </c>
      <c r="C279" s="124"/>
      <c r="F279" s="97">
        <f t="shared" si="9"/>
        <v>87937</v>
      </c>
      <c r="G279" s="97">
        <v>0</v>
      </c>
      <c r="H279" s="272">
        <f>SUM(H267:H278)</f>
        <v>87936596</v>
      </c>
    </row>
    <row r="280" spans="1:8">
      <c r="A280" s="123"/>
      <c r="B280" s="125"/>
      <c r="C280" s="124"/>
      <c r="F280" s="97">
        <f t="shared" si="9"/>
        <v>0</v>
      </c>
      <c r="G280" s="97">
        <v>0</v>
      </c>
    </row>
    <row r="281" spans="1:8">
      <c r="A281" s="123"/>
      <c r="B281" s="125" t="s">
        <v>385</v>
      </c>
      <c r="C281" s="124"/>
      <c r="F281" s="97">
        <f t="shared" si="9"/>
        <v>15567</v>
      </c>
      <c r="G281" s="97">
        <v>0</v>
      </c>
      <c r="H281" s="97">
        <v>15566985</v>
      </c>
    </row>
    <row r="282" spans="1:8">
      <c r="A282" s="123"/>
      <c r="B282" s="125" t="s">
        <v>386</v>
      </c>
      <c r="C282" s="124"/>
      <c r="F282" s="97">
        <f t="shared" si="9"/>
        <v>200</v>
      </c>
      <c r="G282" s="97">
        <v>0</v>
      </c>
      <c r="H282" s="97">
        <v>199535</v>
      </c>
    </row>
    <row r="283" spans="1:8">
      <c r="A283" s="123"/>
      <c r="B283" s="125" t="s">
        <v>387</v>
      </c>
      <c r="C283" s="124"/>
      <c r="F283" s="97">
        <f t="shared" ref="F283:F362" si="10">ROUND(H283/1000,0)</f>
        <v>29623</v>
      </c>
      <c r="G283" s="97">
        <v>0</v>
      </c>
      <c r="H283" s="97">
        <v>29622649</v>
      </c>
    </row>
    <row r="284" spans="1:8">
      <c r="A284" s="123"/>
      <c r="B284" s="125" t="s">
        <v>388</v>
      </c>
      <c r="C284" s="124"/>
      <c r="F284" s="97">
        <f t="shared" si="10"/>
        <v>283</v>
      </c>
      <c r="G284" s="97">
        <v>0</v>
      </c>
      <c r="H284" s="97">
        <v>282788</v>
      </c>
    </row>
    <row r="285" spans="1:8" ht="15.75">
      <c r="A285" s="163">
        <v>407229</v>
      </c>
      <c r="B285" s="162" t="s">
        <v>589</v>
      </c>
      <c r="C285" s="124"/>
      <c r="F285" s="97">
        <f t="shared" si="10"/>
        <v>0</v>
      </c>
      <c r="G285" s="97">
        <v>0</v>
      </c>
      <c r="H285" s="97">
        <v>0</v>
      </c>
    </row>
    <row r="286" spans="1:8" ht="15.75">
      <c r="A286" s="163">
        <v>407230</v>
      </c>
      <c r="B286" s="162" t="s">
        <v>636</v>
      </c>
      <c r="C286" s="124"/>
      <c r="F286" s="97">
        <f t="shared" si="10"/>
        <v>0</v>
      </c>
      <c r="G286" s="97">
        <v>0</v>
      </c>
      <c r="H286" s="97">
        <v>0</v>
      </c>
    </row>
    <row r="287" spans="1:8" ht="15.75">
      <c r="A287" s="163">
        <v>407306</v>
      </c>
      <c r="B287" s="162" t="s">
        <v>771</v>
      </c>
      <c r="C287" s="124"/>
      <c r="F287" s="97">
        <f t="shared" si="10"/>
        <v>2484</v>
      </c>
      <c r="G287" s="97">
        <v>0</v>
      </c>
      <c r="H287" s="97">
        <v>2484445</v>
      </c>
    </row>
    <row r="288" spans="1:8" ht="15.75">
      <c r="A288" s="163">
        <v>407307</v>
      </c>
      <c r="B288" s="162" t="s">
        <v>772</v>
      </c>
      <c r="C288" s="124"/>
      <c r="F288" s="97">
        <f t="shared" si="10"/>
        <v>1552</v>
      </c>
      <c r="G288" s="97">
        <v>0</v>
      </c>
      <c r="H288" s="97">
        <v>1552447</v>
      </c>
    </row>
    <row r="289" spans="1:8" ht="15.75">
      <c r="A289" s="163">
        <v>407311</v>
      </c>
      <c r="B289" s="162" t="s">
        <v>637</v>
      </c>
      <c r="C289" s="124"/>
      <c r="F289" s="97">
        <f t="shared" si="10"/>
        <v>1436</v>
      </c>
      <c r="G289" s="97">
        <v>0</v>
      </c>
      <c r="H289" s="97">
        <v>1436400</v>
      </c>
    </row>
    <row r="290" spans="1:8" ht="15.75">
      <c r="A290" s="163">
        <v>407314</v>
      </c>
      <c r="B290" s="162" t="s">
        <v>708</v>
      </c>
      <c r="C290" s="124"/>
      <c r="F290" s="97">
        <f t="shared" si="10"/>
        <v>0</v>
      </c>
      <c r="G290" s="97">
        <v>0</v>
      </c>
      <c r="H290" s="97">
        <v>0</v>
      </c>
    </row>
    <row r="291" spans="1:8" ht="15.75">
      <c r="A291" s="163">
        <v>407332</v>
      </c>
      <c r="B291" s="162" t="s">
        <v>638</v>
      </c>
      <c r="C291" s="124"/>
      <c r="F291" s="97">
        <f t="shared" si="10"/>
        <v>0</v>
      </c>
      <c r="G291" s="97">
        <v>0</v>
      </c>
      <c r="H291" s="97">
        <v>0</v>
      </c>
    </row>
    <row r="292" spans="1:8" ht="15.75">
      <c r="A292" s="163">
        <v>407344</v>
      </c>
      <c r="B292" s="162" t="s">
        <v>773</v>
      </c>
      <c r="C292" s="124"/>
      <c r="F292" s="97">
        <f t="shared" si="10"/>
        <v>3085</v>
      </c>
      <c r="G292" s="97">
        <v>0</v>
      </c>
      <c r="H292" s="97">
        <v>3085216</v>
      </c>
    </row>
    <row r="293" spans="1:8" ht="15.75">
      <c r="A293" s="163">
        <v>407347</v>
      </c>
      <c r="B293" s="162" t="s">
        <v>709</v>
      </c>
      <c r="C293" s="124"/>
      <c r="F293" s="97">
        <f t="shared" si="10"/>
        <v>0</v>
      </c>
      <c r="G293" s="97">
        <v>0</v>
      </c>
      <c r="H293" s="97">
        <v>0</v>
      </c>
    </row>
    <row r="294" spans="1:8" ht="15.75">
      <c r="A294" s="163">
        <v>407372</v>
      </c>
      <c r="B294" s="162" t="s">
        <v>774</v>
      </c>
      <c r="C294" s="124"/>
      <c r="F294" s="97">
        <f t="shared" si="10"/>
        <v>375</v>
      </c>
      <c r="G294" s="97">
        <v>0</v>
      </c>
      <c r="H294" s="97">
        <v>375000</v>
      </c>
    </row>
    <row r="295" spans="1:8" ht="15.75">
      <c r="A295" s="163">
        <v>407419</v>
      </c>
      <c r="B295" s="162" t="s">
        <v>775</v>
      </c>
      <c r="C295" s="124"/>
      <c r="F295" s="97">
        <f t="shared" si="10"/>
        <v>-591</v>
      </c>
      <c r="G295" s="97">
        <v>0</v>
      </c>
      <c r="H295" s="97">
        <v>-591245</v>
      </c>
    </row>
    <row r="296" spans="1:8" ht="15.75">
      <c r="A296" s="163">
        <v>407436</v>
      </c>
      <c r="B296" s="162" t="s">
        <v>653</v>
      </c>
      <c r="C296" s="124"/>
      <c r="F296" s="97">
        <f t="shared" si="10"/>
        <v>0</v>
      </c>
      <c r="G296" s="97">
        <v>0</v>
      </c>
      <c r="H296" s="97">
        <v>0</v>
      </c>
    </row>
    <row r="297" spans="1:8" ht="15.75">
      <c r="A297" s="163">
        <v>407442</v>
      </c>
      <c r="B297" s="162" t="s">
        <v>710</v>
      </c>
      <c r="C297" s="124"/>
      <c r="F297" s="97">
        <f t="shared" si="10"/>
        <v>0</v>
      </c>
      <c r="G297" s="97">
        <v>0</v>
      </c>
      <c r="H297" s="97">
        <v>0</v>
      </c>
    </row>
    <row r="298" spans="1:8" ht="15.75">
      <c r="A298" s="163">
        <v>407443</v>
      </c>
      <c r="B298" s="162" t="s">
        <v>776</v>
      </c>
      <c r="C298" s="124"/>
      <c r="F298" s="97">
        <f t="shared" si="10"/>
        <v>-617</v>
      </c>
      <c r="G298" s="97">
        <v>0</v>
      </c>
      <c r="H298" s="97">
        <v>-616827</v>
      </c>
    </row>
    <row r="299" spans="1:8" ht="15.75">
      <c r="A299" s="163">
        <v>407444</v>
      </c>
      <c r="B299" s="162" t="s">
        <v>711</v>
      </c>
      <c r="C299" s="124"/>
      <c r="F299" s="97">
        <f t="shared" si="10"/>
        <v>0</v>
      </c>
      <c r="G299" s="97">
        <v>0</v>
      </c>
      <c r="H299" s="97">
        <v>0</v>
      </c>
    </row>
    <row r="300" spans="1:8" ht="15.75">
      <c r="A300" s="163">
        <v>407447</v>
      </c>
      <c r="B300" s="162" t="s">
        <v>712</v>
      </c>
      <c r="F300" s="97">
        <f t="shared" si="10"/>
        <v>2335</v>
      </c>
      <c r="G300" s="97">
        <v>0</v>
      </c>
      <c r="H300" s="97">
        <v>2335165</v>
      </c>
    </row>
    <row r="301" spans="1:8" ht="15.75">
      <c r="A301" s="163">
        <v>407452</v>
      </c>
      <c r="B301" s="162" t="s">
        <v>777</v>
      </c>
      <c r="F301" s="97">
        <f t="shared" si="10"/>
        <v>-112</v>
      </c>
      <c r="G301" s="97">
        <v>0</v>
      </c>
      <c r="H301" s="97">
        <v>-111712</v>
      </c>
    </row>
    <row r="302" spans="1:8" ht="15.75">
      <c r="A302" s="163">
        <v>407453</v>
      </c>
      <c r="B302" s="162" t="s">
        <v>713</v>
      </c>
      <c r="F302" s="97">
        <f t="shared" si="10"/>
        <v>-6425</v>
      </c>
      <c r="G302" s="97">
        <v>0</v>
      </c>
      <c r="H302" s="97">
        <v>-6424698</v>
      </c>
    </row>
    <row r="303" spans="1:8" ht="15.75">
      <c r="A303" s="163">
        <v>407454</v>
      </c>
      <c r="B303" s="162" t="s">
        <v>778</v>
      </c>
      <c r="F303" s="97">
        <f t="shared" si="10"/>
        <v>-5560</v>
      </c>
      <c r="G303" s="97">
        <v>0</v>
      </c>
      <c r="H303" s="97">
        <v>-5560490</v>
      </c>
    </row>
    <row r="304" spans="1:8" ht="15.75">
      <c r="A304" s="163">
        <v>407459</v>
      </c>
      <c r="B304" s="162" t="s">
        <v>779</v>
      </c>
      <c r="C304" s="124"/>
      <c r="F304" s="97">
        <f t="shared" si="10"/>
        <v>-127</v>
      </c>
      <c r="G304" s="97">
        <v>0</v>
      </c>
      <c r="H304" s="97">
        <v>-127045</v>
      </c>
    </row>
    <row r="305" spans="1:8" ht="15.75">
      <c r="A305" s="163">
        <v>407493</v>
      </c>
      <c r="B305" s="162" t="s">
        <v>780</v>
      </c>
      <c r="C305" s="124"/>
      <c r="F305" s="97">
        <f t="shared" si="10"/>
        <v>-64</v>
      </c>
      <c r="G305" s="97">
        <v>0</v>
      </c>
      <c r="H305" s="97">
        <v>-63801</v>
      </c>
    </row>
    <row r="306" spans="1:8" ht="15.75">
      <c r="A306" s="163"/>
      <c r="B306" s="162" t="s">
        <v>714</v>
      </c>
      <c r="C306" s="124"/>
      <c r="F306" s="97">
        <f t="shared" ref="F306" si="11">ROUND(H306/1000,0)</f>
        <v>4306</v>
      </c>
      <c r="G306" s="97">
        <v>0</v>
      </c>
      <c r="H306" s="97">
        <v>4306265</v>
      </c>
    </row>
    <row r="307" spans="1:8">
      <c r="A307" s="123"/>
      <c r="B307" s="125" t="s">
        <v>389</v>
      </c>
      <c r="C307" s="124"/>
      <c r="F307" s="97">
        <f t="shared" si="10"/>
        <v>47751</v>
      </c>
      <c r="G307" s="97">
        <v>0</v>
      </c>
      <c r="H307" s="97">
        <f>SUM(H281:H306)</f>
        <v>47751077</v>
      </c>
    </row>
    <row r="308" spans="1:8">
      <c r="A308" s="123"/>
      <c r="B308" s="125"/>
      <c r="C308" s="124"/>
      <c r="F308" s="97">
        <f t="shared" si="10"/>
        <v>0</v>
      </c>
      <c r="G308" s="97">
        <v>0</v>
      </c>
    </row>
    <row r="309" spans="1:8">
      <c r="A309" s="126"/>
      <c r="B309" s="125" t="s">
        <v>390</v>
      </c>
      <c r="C309" s="124"/>
      <c r="F309" s="97">
        <f t="shared" si="10"/>
        <v>135688</v>
      </c>
      <c r="G309" s="97">
        <v>0</v>
      </c>
      <c r="H309" s="97">
        <f>SUM(H307,H279)</f>
        <v>135687673</v>
      </c>
    </row>
    <row r="310" spans="1:8">
      <c r="A310" s="126"/>
      <c r="B310" s="125"/>
      <c r="C310" s="124"/>
      <c r="F310" s="97">
        <f t="shared" si="10"/>
        <v>0</v>
      </c>
      <c r="G310" s="97">
        <v>0</v>
      </c>
    </row>
    <row r="311" spans="1:8">
      <c r="A311" s="126"/>
      <c r="B311" s="125" t="s">
        <v>391</v>
      </c>
      <c r="C311" s="124"/>
      <c r="F311" s="97">
        <f t="shared" si="10"/>
        <v>663618</v>
      </c>
      <c r="G311" s="97">
        <v>0</v>
      </c>
      <c r="H311" s="97">
        <f>SUM(H211,H244,H252,H258,H264,H309)</f>
        <v>663618074</v>
      </c>
    </row>
    <row r="312" spans="1:8">
      <c r="A312" s="126"/>
      <c r="B312" s="125"/>
      <c r="C312" s="124"/>
      <c r="F312" s="97">
        <f t="shared" si="10"/>
        <v>0</v>
      </c>
      <c r="G312" s="97">
        <v>0</v>
      </c>
    </row>
    <row r="313" spans="1:8">
      <c r="A313" s="126"/>
      <c r="B313" s="125" t="s">
        <v>392</v>
      </c>
      <c r="C313" s="124"/>
      <c r="F313" s="97">
        <f t="shared" si="10"/>
        <v>111650</v>
      </c>
      <c r="G313" s="97">
        <v>0</v>
      </c>
      <c r="H313" s="97">
        <f>H106-H311</f>
        <v>111650341</v>
      </c>
    </row>
    <row r="314" spans="1:8">
      <c r="A314" s="126"/>
      <c r="B314" s="125"/>
      <c r="C314" s="124"/>
      <c r="F314" s="97">
        <f t="shared" si="10"/>
        <v>0</v>
      </c>
      <c r="G314" s="97">
        <v>0</v>
      </c>
    </row>
    <row r="315" spans="1:8">
      <c r="A315" s="126"/>
      <c r="B315" s="125" t="s">
        <v>393</v>
      </c>
      <c r="C315" s="124"/>
      <c r="F315" s="97">
        <f t="shared" si="10"/>
        <v>-6746</v>
      </c>
      <c r="G315" s="97">
        <v>0</v>
      </c>
      <c r="H315" s="97">
        <v>-6745987</v>
      </c>
    </row>
    <row r="316" spans="1:8">
      <c r="A316" s="126"/>
      <c r="B316" s="125" t="s">
        <v>394</v>
      </c>
      <c r="C316" s="124"/>
      <c r="F316" s="97">
        <f t="shared" si="10"/>
        <v>-6498</v>
      </c>
      <c r="G316" s="97">
        <v>0</v>
      </c>
      <c r="H316" s="97">
        <v>-6498008</v>
      </c>
    </row>
    <row r="317" spans="1:8">
      <c r="A317" s="126"/>
      <c r="B317" s="125" t="s">
        <v>395</v>
      </c>
      <c r="C317" s="124"/>
      <c r="F317" s="97">
        <f t="shared" si="10"/>
        <v>-312</v>
      </c>
      <c r="G317" s="97">
        <v>0</v>
      </c>
      <c r="H317" s="97">
        <v>-312203</v>
      </c>
    </row>
    <row r="318" spans="1:8">
      <c r="A318" s="123"/>
      <c r="B318" s="125" t="s">
        <v>396</v>
      </c>
      <c r="C318" s="124"/>
      <c r="F318" s="97">
        <f t="shared" si="10"/>
        <v>125207</v>
      </c>
      <c r="G318" s="97">
        <v>0</v>
      </c>
      <c r="H318" s="97">
        <f>H313-SUM(H315:H317)</f>
        <v>125206539</v>
      </c>
    </row>
    <row r="319" spans="1:8">
      <c r="F319" s="97">
        <f t="shared" si="10"/>
        <v>0</v>
      </c>
      <c r="G319" s="97">
        <v>0</v>
      </c>
    </row>
    <row r="320" spans="1:8">
      <c r="A320" s="128"/>
      <c r="B320" s="125" t="s">
        <v>66</v>
      </c>
      <c r="F320" s="97">
        <f t="shared" si="10"/>
        <v>0</v>
      </c>
      <c r="G320" s="97">
        <v>0</v>
      </c>
    </row>
    <row r="321" spans="1:8">
      <c r="A321" s="128"/>
      <c r="B321" s="125" t="s">
        <v>397</v>
      </c>
      <c r="F321" s="97">
        <f t="shared" si="10"/>
        <v>0</v>
      </c>
      <c r="G321" s="97">
        <v>0</v>
      </c>
    </row>
    <row r="322" spans="1:8" ht="15.75">
      <c r="A322" s="164">
        <v>182324</v>
      </c>
      <c r="B322" s="162" t="s">
        <v>566</v>
      </c>
      <c r="F322" s="97">
        <f t="shared" si="10"/>
        <v>4733</v>
      </c>
      <c r="G322" s="97">
        <v>0</v>
      </c>
      <c r="H322" s="97">
        <v>4733400</v>
      </c>
    </row>
    <row r="323" spans="1:8" ht="15.75">
      <c r="A323" s="164">
        <v>182325</v>
      </c>
      <c r="B323" s="162" t="s">
        <v>567</v>
      </c>
      <c r="F323" s="97">
        <f t="shared" si="10"/>
        <v>1288</v>
      </c>
      <c r="G323" s="97">
        <v>0</v>
      </c>
      <c r="H323" s="97">
        <v>1288000</v>
      </c>
    </row>
    <row r="324" spans="1:8" ht="15.75">
      <c r="A324" s="164">
        <v>182333</v>
      </c>
      <c r="B324" s="162" t="s">
        <v>568</v>
      </c>
      <c r="F324" s="97">
        <f t="shared" si="10"/>
        <v>654</v>
      </c>
      <c r="G324" s="97">
        <v>0</v>
      </c>
      <c r="H324" s="97">
        <v>654089</v>
      </c>
    </row>
    <row r="325" spans="1:8" ht="15.75">
      <c r="A325" s="164">
        <v>182381</v>
      </c>
      <c r="B325" s="162" t="s">
        <v>569</v>
      </c>
      <c r="F325" s="97">
        <f t="shared" si="10"/>
        <v>17674</v>
      </c>
      <c r="G325" s="97">
        <v>0</v>
      </c>
      <c r="H325" s="97">
        <v>17673609</v>
      </c>
    </row>
    <row r="326" spans="1:8" ht="15.75">
      <c r="A326" s="164">
        <v>302000</v>
      </c>
      <c r="B326" s="162" t="s">
        <v>398</v>
      </c>
      <c r="F326" s="97">
        <f t="shared" si="10"/>
        <v>31092</v>
      </c>
      <c r="G326" s="97">
        <v>0</v>
      </c>
      <c r="H326" s="97">
        <v>31092413</v>
      </c>
    </row>
    <row r="327" spans="1:8" ht="15.75">
      <c r="A327" s="164">
        <v>303000</v>
      </c>
      <c r="B327" s="162" t="s">
        <v>715</v>
      </c>
      <c r="F327" s="97">
        <f t="shared" si="10"/>
        <v>10890</v>
      </c>
      <c r="G327" s="97">
        <v>0</v>
      </c>
      <c r="H327" s="97">
        <v>10889577</v>
      </c>
    </row>
    <row r="328" spans="1:8" ht="15.75">
      <c r="A328" s="164">
        <v>303100</v>
      </c>
      <c r="B328" s="162" t="s">
        <v>716</v>
      </c>
      <c r="F328" s="97">
        <f t="shared" si="10"/>
        <v>78981</v>
      </c>
      <c r="G328" s="97">
        <v>0</v>
      </c>
      <c r="H328" s="97">
        <v>78980726</v>
      </c>
    </row>
    <row r="329" spans="1:8" ht="15.75">
      <c r="A329" s="164" t="s">
        <v>717</v>
      </c>
      <c r="B329" s="162" t="s">
        <v>718</v>
      </c>
      <c r="F329" s="97">
        <f t="shared" ref="F329" si="12">ROUND(H329/1000,0)</f>
        <v>11713</v>
      </c>
      <c r="G329" s="97">
        <v>0</v>
      </c>
      <c r="H329" s="97">
        <v>11712531</v>
      </c>
    </row>
    <row r="330" spans="1:8" ht="15.75">
      <c r="A330" s="164">
        <v>303110</v>
      </c>
      <c r="B330" s="162" t="s">
        <v>594</v>
      </c>
      <c r="F330" s="97">
        <f t="shared" si="10"/>
        <v>5225</v>
      </c>
      <c r="G330" s="97">
        <v>0</v>
      </c>
      <c r="H330" s="97">
        <v>5225028</v>
      </c>
    </row>
    <row r="331" spans="1:8" ht="15.75">
      <c r="A331" s="164">
        <v>303115</v>
      </c>
      <c r="B331" s="162" t="s">
        <v>594</v>
      </c>
      <c r="F331" s="97">
        <f t="shared" si="10"/>
        <v>46072</v>
      </c>
      <c r="G331" s="97">
        <v>0</v>
      </c>
      <c r="H331" s="97">
        <v>46071685</v>
      </c>
    </row>
    <row r="332" spans="1:8" ht="15.75">
      <c r="A332" s="164">
        <v>303120</v>
      </c>
      <c r="B332" s="162" t="s">
        <v>639</v>
      </c>
      <c r="F332" s="97">
        <f t="shared" si="10"/>
        <v>13702</v>
      </c>
      <c r="G332" s="97">
        <v>0</v>
      </c>
      <c r="H332" s="97">
        <v>13701706</v>
      </c>
    </row>
    <row r="333" spans="1:8" ht="15.75">
      <c r="A333" s="164">
        <v>303121</v>
      </c>
      <c r="B333" s="162" t="s">
        <v>640</v>
      </c>
      <c r="F333" s="97">
        <f t="shared" si="10"/>
        <v>16154</v>
      </c>
      <c r="G333" s="97">
        <v>0</v>
      </c>
      <c r="H333" s="97">
        <v>16154414</v>
      </c>
    </row>
    <row r="334" spans="1:8" ht="15.75">
      <c r="A334" s="164" t="s">
        <v>719</v>
      </c>
      <c r="B334" s="162" t="s">
        <v>720</v>
      </c>
      <c r="F334" s="97">
        <f t="shared" ref="F334" si="13">ROUND(H334/1000,0)</f>
        <v>6385</v>
      </c>
      <c r="G334" s="97">
        <v>0</v>
      </c>
      <c r="H334" s="97">
        <v>6384919</v>
      </c>
    </row>
    <row r="335" spans="1:8">
      <c r="A335" s="124"/>
      <c r="B335" s="125" t="s">
        <v>399</v>
      </c>
      <c r="F335" s="97">
        <f t="shared" si="10"/>
        <v>244562</v>
      </c>
      <c r="G335" s="97">
        <v>0</v>
      </c>
      <c r="H335" s="97">
        <f>SUM(H322:H334)</f>
        <v>244562097</v>
      </c>
    </row>
    <row r="336" spans="1:8">
      <c r="A336" s="128"/>
      <c r="B336" s="125"/>
      <c r="F336" s="97">
        <f t="shared" si="10"/>
        <v>0</v>
      </c>
      <c r="G336" s="97">
        <v>0</v>
      </c>
    </row>
    <row r="337" spans="1:8">
      <c r="A337" s="128"/>
      <c r="B337" s="125" t="s">
        <v>400</v>
      </c>
      <c r="F337" s="97">
        <f t="shared" si="10"/>
        <v>0</v>
      </c>
      <c r="G337" s="97">
        <v>0</v>
      </c>
    </row>
    <row r="338" spans="1:8">
      <c r="A338" s="129" t="s">
        <v>401</v>
      </c>
      <c r="B338" s="125" t="s">
        <v>402</v>
      </c>
      <c r="F338" s="97">
        <f t="shared" si="10"/>
        <v>2484</v>
      </c>
      <c r="G338" s="97">
        <v>0</v>
      </c>
      <c r="H338" s="97">
        <v>2484283</v>
      </c>
    </row>
    <row r="339" spans="1:8">
      <c r="A339" s="129" t="s">
        <v>403</v>
      </c>
      <c r="B339" s="125" t="s">
        <v>404</v>
      </c>
      <c r="F339" s="97">
        <f t="shared" si="10"/>
        <v>91673</v>
      </c>
      <c r="G339" s="97">
        <v>0</v>
      </c>
      <c r="H339" s="97">
        <v>91672779</v>
      </c>
    </row>
    <row r="340" spans="1:8">
      <c r="A340" s="129">
        <v>312000</v>
      </c>
      <c r="B340" s="125" t="s">
        <v>285</v>
      </c>
      <c r="F340" s="97">
        <f t="shared" si="10"/>
        <v>138802</v>
      </c>
      <c r="G340" s="97">
        <v>0</v>
      </c>
      <c r="H340" s="97">
        <v>138801693</v>
      </c>
    </row>
    <row r="341" spans="1:8">
      <c r="A341" s="129">
        <v>313000</v>
      </c>
      <c r="B341" s="125" t="s">
        <v>405</v>
      </c>
      <c r="F341" s="97">
        <f t="shared" si="10"/>
        <v>-1</v>
      </c>
      <c r="G341" s="97">
        <v>0</v>
      </c>
      <c r="H341" s="97">
        <v>-1331</v>
      </c>
    </row>
    <row r="342" spans="1:8">
      <c r="A342" s="129">
        <v>314000</v>
      </c>
      <c r="B342" s="125" t="s">
        <v>406</v>
      </c>
      <c r="F342" s="97">
        <f t="shared" si="10"/>
        <v>37736</v>
      </c>
      <c r="G342" s="97">
        <v>0</v>
      </c>
      <c r="H342" s="97">
        <v>37735906</v>
      </c>
    </row>
    <row r="343" spans="1:8">
      <c r="A343" s="129">
        <v>315000</v>
      </c>
      <c r="B343" s="125" t="s">
        <v>407</v>
      </c>
      <c r="F343" s="97">
        <f t="shared" si="10"/>
        <v>19875</v>
      </c>
      <c r="G343" s="97">
        <v>0</v>
      </c>
      <c r="H343" s="97">
        <v>19875461</v>
      </c>
    </row>
    <row r="344" spans="1:8">
      <c r="A344" s="129">
        <v>316000</v>
      </c>
      <c r="B344" s="125" t="s">
        <v>408</v>
      </c>
      <c r="F344" s="97">
        <f t="shared" si="10"/>
        <v>11174</v>
      </c>
      <c r="G344" s="97">
        <v>0</v>
      </c>
      <c r="H344" s="97">
        <v>11173640</v>
      </c>
    </row>
    <row r="345" spans="1:8">
      <c r="A345" s="130"/>
      <c r="B345" s="125" t="s">
        <v>409</v>
      </c>
      <c r="F345" s="97">
        <f t="shared" si="10"/>
        <v>301742</v>
      </c>
      <c r="G345" s="97">
        <v>0</v>
      </c>
      <c r="H345" s="97">
        <f>SUM(H338:H344)</f>
        <v>301742431</v>
      </c>
    </row>
    <row r="346" spans="1:8">
      <c r="A346" s="131"/>
      <c r="B346" s="125"/>
      <c r="F346" s="97">
        <f t="shared" si="10"/>
        <v>0</v>
      </c>
      <c r="G346" s="97">
        <v>0</v>
      </c>
    </row>
    <row r="347" spans="1:8">
      <c r="A347" s="128"/>
      <c r="B347" s="125" t="s">
        <v>410</v>
      </c>
      <c r="F347" s="97">
        <f t="shared" si="10"/>
        <v>0</v>
      </c>
      <c r="G347" s="97">
        <v>0</v>
      </c>
    </row>
    <row r="348" spans="1:8">
      <c r="A348" s="129" t="s">
        <v>411</v>
      </c>
      <c r="B348" s="125" t="s">
        <v>402</v>
      </c>
      <c r="F348" s="97">
        <f t="shared" si="10"/>
        <v>42433</v>
      </c>
      <c r="G348" s="97">
        <v>0</v>
      </c>
      <c r="H348" s="97">
        <v>42432502</v>
      </c>
    </row>
    <row r="349" spans="1:8">
      <c r="A349" s="129" t="s">
        <v>412</v>
      </c>
      <c r="B349" s="125" t="s">
        <v>404</v>
      </c>
      <c r="F349" s="97">
        <f t="shared" si="10"/>
        <v>71699</v>
      </c>
      <c r="G349" s="97">
        <v>0</v>
      </c>
      <c r="H349" s="97">
        <v>71698702</v>
      </c>
    </row>
    <row r="350" spans="1:8">
      <c r="A350" s="129" t="s">
        <v>413</v>
      </c>
      <c r="B350" s="125" t="s">
        <v>294</v>
      </c>
      <c r="F350" s="97">
        <f t="shared" si="10"/>
        <v>164903</v>
      </c>
      <c r="G350" s="97">
        <v>0</v>
      </c>
      <c r="H350" s="97">
        <v>164902613</v>
      </c>
    </row>
    <row r="351" spans="1:8">
      <c r="A351" s="129">
        <v>333000</v>
      </c>
      <c r="B351" s="125" t="s">
        <v>414</v>
      </c>
      <c r="F351" s="97">
        <f t="shared" si="10"/>
        <v>151787</v>
      </c>
      <c r="G351" s="97">
        <v>0</v>
      </c>
      <c r="H351" s="97">
        <v>151787294</v>
      </c>
    </row>
    <row r="352" spans="1:8">
      <c r="A352" s="129">
        <v>334000</v>
      </c>
      <c r="B352" s="125" t="s">
        <v>407</v>
      </c>
      <c r="F352" s="97">
        <f t="shared" si="10"/>
        <v>54632</v>
      </c>
      <c r="G352" s="97">
        <v>0</v>
      </c>
      <c r="H352" s="97">
        <v>54632384</v>
      </c>
    </row>
    <row r="353" spans="1:8">
      <c r="A353" s="129" t="s">
        <v>415</v>
      </c>
      <c r="B353" s="125" t="s">
        <v>408</v>
      </c>
      <c r="F353" s="97">
        <f t="shared" si="10"/>
        <v>8741</v>
      </c>
      <c r="G353" s="97">
        <v>0</v>
      </c>
      <c r="H353" s="97">
        <v>8740824</v>
      </c>
    </row>
    <row r="354" spans="1:8">
      <c r="A354" s="129">
        <v>336000</v>
      </c>
      <c r="B354" s="125" t="s">
        <v>416</v>
      </c>
      <c r="F354" s="97">
        <f t="shared" si="10"/>
        <v>2350</v>
      </c>
      <c r="G354" s="97">
        <v>0</v>
      </c>
      <c r="H354" s="97">
        <v>2349705</v>
      </c>
    </row>
    <row r="355" spans="1:8">
      <c r="A355" s="130"/>
      <c r="B355" s="125" t="s">
        <v>417</v>
      </c>
      <c r="F355" s="97">
        <f t="shared" si="10"/>
        <v>496544</v>
      </c>
      <c r="G355" s="97">
        <v>0</v>
      </c>
      <c r="H355" s="97">
        <f>SUM(H348:H354)</f>
        <v>496544024</v>
      </c>
    </row>
    <row r="356" spans="1:8">
      <c r="A356" s="131"/>
      <c r="B356" s="125"/>
      <c r="F356" s="97">
        <f t="shared" si="10"/>
        <v>0</v>
      </c>
      <c r="G356" s="97">
        <v>0</v>
      </c>
    </row>
    <row r="357" spans="1:8">
      <c r="A357" s="128"/>
      <c r="B357" s="125" t="s">
        <v>418</v>
      </c>
      <c r="F357" s="97">
        <f t="shared" si="10"/>
        <v>0</v>
      </c>
      <c r="G357" s="97">
        <v>0</v>
      </c>
    </row>
    <row r="358" spans="1:8">
      <c r="A358" s="129">
        <v>340200</v>
      </c>
      <c r="B358" s="125" t="s">
        <v>402</v>
      </c>
      <c r="F358" s="97">
        <f t="shared" si="10"/>
        <v>583</v>
      </c>
      <c r="G358" s="97">
        <v>0</v>
      </c>
      <c r="H358" s="97">
        <v>582928</v>
      </c>
    </row>
    <row r="359" spans="1:8">
      <c r="A359" s="129">
        <v>341000</v>
      </c>
      <c r="B359" s="125" t="s">
        <v>404</v>
      </c>
      <c r="F359" s="97">
        <f t="shared" si="10"/>
        <v>11313</v>
      </c>
      <c r="G359" s="97">
        <v>0</v>
      </c>
      <c r="H359" s="97">
        <v>11312731</v>
      </c>
    </row>
    <row r="360" spans="1:8">
      <c r="A360" s="129">
        <v>342000</v>
      </c>
      <c r="B360" s="125" t="s">
        <v>419</v>
      </c>
      <c r="F360" s="97">
        <f t="shared" si="10"/>
        <v>13569</v>
      </c>
      <c r="G360" s="97">
        <v>0</v>
      </c>
      <c r="H360" s="97">
        <v>13569365</v>
      </c>
    </row>
    <row r="361" spans="1:8">
      <c r="A361" s="129">
        <v>343000</v>
      </c>
      <c r="B361" s="125" t="s">
        <v>420</v>
      </c>
      <c r="F361" s="97">
        <f t="shared" si="10"/>
        <v>13810</v>
      </c>
      <c r="G361" s="97">
        <v>0</v>
      </c>
      <c r="H361" s="97">
        <v>13809873</v>
      </c>
    </row>
    <row r="362" spans="1:8">
      <c r="A362" s="129">
        <v>344000</v>
      </c>
      <c r="B362" s="125" t="s">
        <v>405</v>
      </c>
      <c r="F362" s="97">
        <f t="shared" si="10"/>
        <v>154447</v>
      </c>
      <c r="G362" s="97">
        <v>0</v>
      </c>
      <c r="H362" s="97">
        <v>154446742</v>
      </c>
    </row>
    <row r="363" spans="1:8">
      <c r="A363" s="129">
        <v>344010</v>
      </c>
      <c r="B363" s="125" t="s">
        <v>570</v>
      </c>
      <c r="F363" s="97">
        <f t="shared" ref="F363:F381" si="14">ROUND(H363/1000,0)</f>
        <v>111</v>
      </c>
      <c r="G363" s="97">
        <v>0</v>
      </c>
      <c r="H363" s="97">
        <v>110866</v>
      </c>
    </row>
    <row r="364" spans="1:8">
      <c r="A364" s="129">
        <v>345000</v>
      </c>
      <c r="B364" s="125" t="s">
        <v>407</v>
      </c>
      <c r="F364" s="97">
        <f t="shared" si="14"/>
        <v>16559</v>
      </c>
      <c r="G364" s="97">
        <v>0</v>
      </c>
      <c r="H364" s="97">
        <v>16559191</v>
      </c>
    </row>
    <row r="365" spans="1:8">
      <c r="A365" s="129">
        <v>345010</v>
      </c>
      <c r="B365" s="125" t="s">
        <v>571</v>
      </c>
      <c r="F365" s="97">
        <f t="shared" si="14"/>
        <v>21</v>
      </c>
      <c r="G365" s="97">
        <v>0</v>
      </c>
      <c r="H365" s="97">
        <v>21387</v>
      </c>
    </row>
    <row r="366" spans="1:8">
      <c r="A366" s="129">
        <v>346000</v>
      </c>
      <c r="B366" s="125" t="s">
        <v>408</v>
      </c>
      <c r="F366" s="97">
        <f t="shared" si="14"/>
        <v>1058</v>
      </c>
      <c r="G366" s="97">
        <v>0</v>
      </c>
      <c r="H366" s="97">
        <v>1057777</v>
      </c>
    </row>
    <row r="367" spans="1:8">
      <c r="A367" s="130"/>
      <c r="B367" s="125" t="s">
        <v>421</v>
      </c>
      <c r="F367" s="97">
        <f t="shared" si="14"/>
        <v>211471</v>
      </c>
      <c r="G367" s="97">
        <v>0</v>
      </c>
      <c r="H367" s="97">
        <f>SUM(H358:H366)</f>
        <v>211470860</v>
      </c>
    </row>
    <row r="368" spans="1:8">
      <c r="A368" s="129"/>
      <c r="B368" s="125" t="s">
        <v>422</v>
      </c>
      <c r="F368" s="97">
        <f t="shared" si="14"/>
        <v>1009757</v>
      </c>
      <c r="G368" s="97">
        <v>0</v>
      </c>
      <c r="H368" s="273">
        <f>SUM(H367,H355,H345)</f>
        <v>1009757315</v>
      </c>
    </row>
    <row r="369" spans="1:8">
      <c r="A369" s="129"/>
      <c r="B369" s="125"/>
      <c r="F369" s="97">
        <f t="shared" si="14"/>
        <v>0</v>
      </c>
      <c r="G369" s="97">
        <v>0</v>
      </c>
    </row>
    <row r="370" spans="1:8">
      <c r="A370" s="132"/>
      <c r="B370" s="125" t="s">
        <v>423</v>
      </c>
      <c r="F370" s="97">
        <f t="shared" si="14"/>
        <v>0</v>
      </c>
      <c r="G370" s="97">
        <v>0</v>
      </c>
    </row>
    <row r="371" spans="1:8">
      <c r="A371" s="129" t="s">
        <v>424</v>
      </c>
      <c r="B371" s="125" t="s">
        <v>402</v>
      </c>
      <c r="F371" s="97">
        <f t="shared" si="14"/>
        <v>19338</v>
      </c>
      <c r="G371" s="97">
        <v>0</v>
      </c>
      <c r="H371" s="97">
        <v>19338325</v>
      </c>
    </row>
    <row r="372" spans="1:8" ht="15.75">
      <c r="A372" s="129" t="s">
        <v>590</v>
      </c>
      <c r="B372" s="125" t="s">
        <v>591</v>
      </c>
      <c r="C372" s="164"/>
      <c r="D372" s="162"/>
      <c r="E372" s="164"/>
      <c r="F372" s="97">
        <f t="shared" si="14"/>
        <v>0</v>
      </c>
      <c r="G372" s="97">
        <v>0</v>
      </c>
      <c r="H372" s="97">
        <v>0</v>
      </c>
    </row>
    <row r="373" spans="1:8">
      <c r="A373" s="129" t="s">
        <v>425</v>
      </c>
      <c r="B373" s="125" t="s">
        <v>404</v>
      </c>
      <c r="F373" s="97">
        <f t="shared" si="14"/>
        <v>20882</v>
      </c>
      <c r="G373" s="97">
        <v>0</v>
      </c>
      <c r="H373" s="97">
        <v>20882050</v>
      </c>
    </row>
    <row r="374" spans="1:8">
      <c r="A374" s="129" t="s">
        <v>781</v>
      </c>
      <c r="B374" s="125" t="s">
        <v>316</v>
      </c>
      <c r="F374" s="97">
        <f t="shared" si="14"/>
        <v>236519</v>
      </c>
      <c r="G374" s="97">
        <v>0</v>
      </c>
      <c r="H374" s="97">
        <v>236519010</v>
      </c>
    </row>
    <row r="375" spans="1:8">
      <c r="A375" s="129">
        <v>354000</v>
      </c>
      <c r="B375" s="125" t="s">
        <v>426</v>
      </c>
      <c r="F375" s="97">
        <f t="shared" si="14"/>
        <v>11215</v>
      </c>
      <c r="G375" s="97">
        <v>0</v>
      </c>
      <c r="H375" s="97">
        <v>11215189</v>
      </c>
    </row>
    <row r="376" spans="1:8">
      <c r="A376" s="129">
        <v>355000</v>
      </c>
      <c r="B376" s="125" t="s">
        <v>427</v>
      </c>
      <c r="F376" s="97">
        <f t="shared" si="14"/>
        <v>226604</v>
      </c>
      <c r="G376" s="97">
        <v>0</v>
      </c>
      <c r="H376" s="97">
        <v>226603841</v>
      </c>
    </row>
    <row r="377" spans="1:8">
      <c r="A377" s="129">
        <v>356000</v>
      </c>
      <c r="B377" s="125" t="s">
        <v>428</v>
      </c>
      <c r="F377" s="97">
        <f t="shared" si="14"/>
        <v>117268</v>
      </c>
      <c r="G377" s="97">
        <v>0</v>
      </c>
      <c r="H377" s="97">
        <v>117268174</v>
      </c>
    </row>
    <row r="378" spans="1:8">
      <c r="A378" s="129">
        <v>357000</v>
      </c>
      <c r="B378" s="125" t="s">
        <v>429</v>
      </c>
      <c r="F378" s="97">
        <f t="shared" si="14"/>
        <v>2070</v>
      </c>
      <c r="G378" s="97">
        <v>0</v>
      </c>
      <c r="H378" s="97">
        <v>2069877</v>
      </c>
    </row>
    <row r="379" spans="1:8">
      <c r="A379" s="129">
        <v>358000</v>
      </c>
      <c r="B379" s="125" t="s">
        <v>430</v>
      </c>
      <c r="F379" s="97">
        <f t="shared" si="14"/>
        <v>4330</v>
      </c>
      <c r="G379" s="97">
        <v>0</v>
      </c>
      <c r="H379" s="97">
        <v>4329588</v>
      </c>
    </row>
    <row r="380" spans="1:8">
      <c r="A380" s="129">
        <v>359000</v>
      </c>
      <c r="B380" s="125" t="s">
        <v>431</v>
      </c>
      <c r="F380" s="97">
        <f t="shared" si="14"/>
        <v>1680</v>
      </c>
      <c r="G380" s="97">
        <v>0</v>
      </c>
      <c r="H380" s="97">
        <v>1680389</v>
      </c>
    </row>
    <row r="381" spans="1:8">
      <c r="A381" s="130"/>
      <c r="B381" s="125" t="s">
        <v>432</v>
      </c>
      <c r="F381" s="97">
        <f t="shared" si="14"/>
        <v>639906</v>
      </c>
      <c r="G381" s="97">
        <v>0</v>
      </c>
      <c r="H381" s="97">
        <f>SUM(H371:H380)</f>
        <v>639906443</v>
      </c>
    </row>
    <row r="382" spans="1:8">
      <c r="A382" s="131"/>
      <c r="B382" s="125"/>
      <c r="G382" s="97">
        <v>0</v>
      </c>
    </row>
    <row r="383" spans="1:8">
      <c r="A383" s="131"/>
      <c r="B383" s="125" t="s">
        <v>433</v>
      </c>
      <c r="F383" s="97">
        <f>ROUND(H383/1000,0)</f>
        <v>0</v>
      </c>
    </row>
    <row r="384" spans="1:8">
      <c r="A384" s="129">
        <v>360200</v>
      </c>
      <c r="B384" s="125" t="s">
        <v>402</v>
      </c>
      <c r="F384" s="97">
        <f>ROUND(H384/1000,0)</f>
        <v>10517</v>
      </c>
      <c r="G384" s="97">
        <v>0</v>
      </c>
      <c r="H384" s="97">
        <v>10517206</v>
      </c>
    </row>
    <row r="385" spans="1:8">
      <c r="A385" s="129">
        <v>360400</v>
      </c>
      <c r="B385" s="125" t="s">
        <v>434</v>
      </c>
      <c r="F385" s="97">
        <f>ROUND(H385/1000,0)</f>
        <v>1349</v>
      </c>
      <c r="G385" s="97">
        <v>0</v>
      </c>
      <c r="H385" s="97">
        <v>1349272</v>
      </c>
    </row>
    <row r="386" spans="1:8" ht="15.75">
      <c r="A386" s="164">
        <v>360500</v>
      </c>
      <c r="B386" s="125" t="s">
        <v>610</v>
      </c>
      <c r="F386" s="97">
        <f>ROUND(H386/1000,0)</f>
        <v>0</v>
      </c>
      <c r="H386" s="97">
        <v>0</v>
      </c>
    </row>
    <row r="387" spans="1:8">
      <c r="A387" s="129">
        <v>361000</v>
      </c>
      <c r="B387" s="125" t="s">
        <v>404</v>
      </c>
      <c r="F387" s="97">
        <f>ROUND(H387/1000,0)</f>
        <v>20953</v>
      </c>
      <c r="G387" s="97">
        <v>0</v>
      </c>
      <c r="H387" s="97">
        <v>20952790</v>
      </c>
    </row>
    <row r="388" spans="1:8">
      <c r="A388" s="129">
        <v>362000</v>
      </c>
      <c r="B388" s="125" t="s">
        <v>316</v>
      </c>
      <c r="F388" s="97">
        <f t="shared" ref="F388:F395" si="15">ROUND(H388/1000,0)</f>
        <v>110147</v>
      </c>
      <c r="G388" s="97">
        <v>0</v>
      </c>
      <c r="H388" s="97">
        <v>110147102</v>
      </c>
    </row>
    <row r="389" spans="1:8" ht="15.75">
      <c r="A389" s="164">
        <v>363000</v>
      </c>
      <c r="B389" s="125" t="s">
        <v>588</v>
      </c>
      <c r="F389" s="97">
        <f t="shared" si="15"/>
        <v>0</v>
      </c>
      <c r="G389" s="97">
        <v>0</v>
      </c>
      <c r="H389" s="97">
        <v>0</v>
      </c>
    </row>
    <row r="390" spans="1:8">
      <c r="A390" s="129">
        <v>364000</v>
      </c>
      <c r="B390" s="125" t="s">
        <v>435</v>
      </c>
      <c r="F390" s="97">
        <f t="shared" si="15"/>
        <v>356593</v>
      </c>
      <c r="G390" s="97">
        <v>0</v>
      </c>
      <c r="H390" s="97">
        <v>356592901</v>
      </c>
    </row>
    <row r="391" spans="1:8">
      <c r="A391" s="129">
        <v>365000</v>
      </c>
      <c r="B391" s="125" t="s">
        <v>428</v>
      </c>
      <c r="F391" s="97">
        <f t="shared" si="15"/>
        <v>213695</v>
      </c>
      <c r="G391" s="97">
        <v>0</v>
      </c>
      <c r="H391" s="97">
        <v>213695211</v>
      </c>
    </row>
    <row r="392" spans="1:8">
      <c r="A392" s="129">
        <v>366000</v>
      </c>
      <c r="B392" s="125" t="s">
        <v>429</v>
      </c>
      <c r="F392" s="97">
        <f t="shared" si="15"/>
        <v>103282</v>
      </c>
      <c r="G392" s="97">
        <v>0</v>
      </c>
      <c r="H392" s="97">
        <v>103281989</v>
      </c>
    </row>
    <row r="393" spans="1:8">
      <c r="A393" s="129">
        <v>367000</v>
      </c>
      <c r="B393" s="125" t="s">
        <v>430</v>
      </c>
      <c r="F393" s="97">
        <f t="shared" si="15"/>
        <v>182988</v>
      </c>
      <c r="G393" s="97">
        <v>0</v>
      </c>
      <c r="H393" s="97">
        <v>182988497</v>
      </c>
    </row>
    <row r="394" spans="1:8">
      <c r="A394" s="129">
        <v>368000</v>
      </c>
      <c r="B394" s="125" t="s">
        <v>343</v>
      </c>
      <c r="F394" s="97">
        <f t="shared" si="15"/>
        <v>228208</v>
      </c>
      <c r="G394" s="97">
        <v>0</v>
      </c>
      <c r="H394" s="97">
        <v>228207984</v>
      </c>
    </row>
    <row r="395" spans="1:8">
      <c r="A395" s="129" t="s">
        <v>436</v>
      </c>
      <c r="B395" s="125" t="s">
        <v>437</v>
      </c>
      <c r="F395" s="97">
        <f t="shared" si="15"/>
        <v>139683</v>
      </c>
      <c r="G395" s="97">
        <v>0</v>
      </c>
      <c r="H395" s="97">
        <v>139682699</v>
      </c>
    </row>
    <row r="396" spans="1:8">
      <c r="A396" s="129" t="s">
        <v>611</v>
      </c>
      <c r="B396" s="125" t="s">
        <v>612</v>
      </c>
      <c r="F396" s="97">
        <f>ROUND(H396/1000,0)</f>
        <v>6589</v>
      </c>
      <c r="G396" s="97">
        <v>0</v>
      </c>
      <c r="H396" s="97">
        <v>6589032</v>
      </c>
    </row>
    <row r="397" spans="1:8">
      <c r="A397" s="129" t="s">
        <v>782</v>
      </c>
      <c r="B397" s="125" t="s">
        <v>345</v>
      </c>
      <c r="F397" s="97">
        <f>ROUND(H397/1000,0)</f>
        <v>61670</v>
      </c>
      <c r="G397" s="97">
        <v>0</v>
      </c>
      <c r="H397" s="97">
        <v>61670450</v>
      </c>
    </row>
    <row r="398" spans="1:8">
      <c r="A398" s="129" t="s">
        <v>438</v>
      </c>
      <c r="B398" s="125" t="s">
        <v>439</v>
      </c>
      <c r="F398" s="97">
        <f>ROUND(H398/1000,0)</f>
        <v>50709</v>
      </c>
      <c r="G398" s="97">
        <v>0</v>
      </c>
      <c r="H398" s="97">
        <v>50708521</v>
      </c>
    </row>
    <row r="399" spans="1:8">
      <c r="A399" s="129"/>
      <c r="B399" s="125" t="s">
        <v>440</v>
      </c>
      <c r="F399" s="97">
        <f>ROUND(H399/1000,0)</f>
        <v>1486384</v>
      </c>
      <c r="G399" s="97">
        <v>0</v>
      </c>
      <c r="H399" s="97">
        <f>SUM(H384:H398)</f>
        <v>1486383654</v>
      </c>
    </row>
    <row r="401" spans="1:8">
      <c r="A401" s="131"/>
      <c r="B401" s="125" t="s">
        <v>441</v>
      </c>
      <c r="F401" s="97">
        <f t="shared" ref="F401:F445" si="16">ROUND(H401/1000,0)</f>
        <v>0</v>
      </c>
      <c r="G401" s="97">
        <v>0</v>
      </c>
    </row>
    <row r="402" spans="1:8">
      <c r="A402" s="129" t="s">
        <v>442</v>
      </c>
      <c r="B402" s="125" t="s">
        <v>402</v>
      </c>
      <c r="F402" s="97">
        <f t="shared" si="16"/>
        <v>7111</v>
      </c>
      <c r="G402" s="97">
        <v>0</v>
      </c>
      <c r="H402" s="97">
        <v>7110926</v>
      </c>
    </row>
    <row r="403" spans="1:8">
      <c r="A403" s="129" t="s">
        <v>443</v>
      </c>
      <c r="B403" s="125" t="s">
        <v>404</v>
      </c>
      <c r="F403" s="97">
        <f t="shared" si="16"/>
        <v>90618</v>
      </c>
      <c r="G403" s="97">
        <v>0</v>
      </c>
      <c r="H403" s="97">
        <v>90618450</v>
      </c>
    </row>
    <row r="404" spans="1:8">
      <c r="A404" s="129" t="s">
        <v>444</v>
      </c>
      <c r="B404" s="125" t="s">
        <v>445</v>
      </c>
      <c r="F404" s="97">
        <f t="shared" si="16"/>
        <v>40088</v>
      </c>
      <c r="G404" s="97">
        <v>0</v>
      </c>
      <c r="H404" s="97">
        <v>40088029</v>
      </c>
    </row>
    <row r="405" spans="1:8">
      <c r="A405" s="129" t="s">
        <v>446</v>
      </c>
      <c r="B405" s="125" t="s">
        <v>447</v>
      </c>
      <c r="F405" s="97">
        <f t="shared" si="16"/>
        <v>47953</v>
      </c>
      <c r="G405" s="97">
        <v>0</v>
      </c>
      <c r="H405" s="97">
        <v>47953239</v>
      </c>
    </row>
    <row r="406" spans="1:8">
      <c r="A406" s="129">
        <v>393000</v>
      </c>
      <c r="B406" s="125" t="s">
        <v>448</v>
      </c>
      <c r="F406" s="97">
        <f t="shared" si="16"/>
        <v>3211</v>
      </c>
      <c r="G406" s="97">
        <v>0</v>
      </c>
      <c r="H406" s="97">
        <v>3211029</v>
      </c>
    </row>
    <row r="407" spans="1:8">
      <c r="A407" s="129">
        <v>394000</v>
      </c>
      <c r="B407" s="125" t="s">
        <v>449</v>
      </c>
      <c r="F407" s="97">
        <f t="shared" si="16"/>
        <v>13479</v>
      </c>
      <c r="G407" s="97">
        <v>0</v>
      </c>
      <c r="H407" s="97">
        <v>13479147</v>
      </c>
    </row>
    <row r="408" spans="1:8">
      <c r="A408" s="129">
        <v>394100</v>
      </c>
      <c r="B408" s="125" t="s">
        <v>613</v>
      </c>
      <c r="F408" s="97">
        <f t="shared" si="16"/>
        <v>78</v>
      </c>
      <c r="G408" s="97">
        <v>0</v>
      </c>
      <c r="H408" s="97">
        <v>78181</v>
      </c>
    </row>
    <row r="409" spans="1:8">
      <c r="A409" s="129" t="s">
        <v>783</v>
      </c>
      <c r="B409" s="125" t="s">
        <v>450</v>
      </c>
      <c r="F409" s="97">
        <f t="shared" si="16"/>
        <v>2934</v>
      </c>
      <c r="G409" s="97">
        <v>0</v>
      </c>
      <c r="H409" s="97">
        <v>2933713</v>
      </c>
    </row>
    <row r="410" spans="1:8">
      <c r="A410" s="129" t="s">
        <v>451</v>
      </c>
      <c r="B410" s="125" t="s">
        <v>452</v>
      </c>
      <c r="F410" s="97">
        <f t="shared" si="16"/>
        <v>18343</v>
      </c>
      <c r="G410" s="97">
        <v>0</v>
      </c>
      <c r="H410" s="97">
        <v>18343480</v>
      </c>
    </row>
    <row r="411" spans="1:8">
      <c r="A411" s="129" t="s">
        <v>453</v>
      </c>
      <c r="B411" s="125" t="s">
        <v>454</v>
      </c>
      <c r="F411" s="97">
        <f t="shared" si="16"/>
        <v>86454</v>
      </c>
      <c r="G411" s="97">
        <v>0</v>
      </c>
      <c r="H411" s="97">
        <v>86454072</v>
      </c>
    </row>
    <row r="412" spans="1:8">
      <c r="A412" s="129">
        <v>398000</v>
      </c>
      <c r="B412" s="125" t="s">
        <v>455</v>
      </c>
      <c r="F412" s="97">
        <f t="shared" si="16"/>
        <v>569</v>
      </c>
      <c r="G412" s="97">
        <v>0</v>
      </c>
      <c r="H412" s="97">
        <v>569063</v>
      </c>
    </row>
    <row r="413" spans="1:8">
      <c r="A413" s="129"/>
      <c r="B413" s="125" t="s">
        <v>456</v>
      </c>
      <c r="F413" s="97">
        <f t="shared" si="16"/>
        <v>310839</v>
      </c>
      <c r="G413" s="97">
        <v>0</v>
      </c>
      <c r="H413" s="97">
        <f>SUM(H402:H412)</f>
        <v>310839329</v>
      </c>
    </row>
    <row r="414" spans="1:8">
      <c r="A414" s="131"/>
      <c r="B414" s="125"/>
      <c r="F414" s="97">
        <f t="shared" si="16"/>
        <v>0</v>
      </c>
      <c r="G414" s="97">
        <v>0</v>
      </c>
    </row>
    <row r="415" spans="1:8">
      <c r="A415" s="131"/>
      <c r="B415" s="125" t="s">
        <v>457</v>
      </c>
      <c r="F415" s="97">
        <f t="shared" si="16"/>
        <v>3691449</v>
      </c>
      <c r="G415" s="97">
        <v>0</v>
      </c>
      <c r="H415" s="97">
        <f>SUM(H413,H399,H381,H368,H335)</f>
        <v>3691448838</v>
      </c>
    </row>
    <row r="416" spans="1:8">
      <c r="A416" s="131"/>
      <c r="B416" s="125"/>
      <c r="F416" s="97">
        <f t="shared" si="16"/>
        <v>0</v>
      </c>
      <c r="G416" s="97">
        <v>0</v>
      </c>
    </row>
    <row r="417" spans="2:9">
      <c r="B417" s="125"/>
      <c r="F417" s="97">
        <f t="shared" si="16"/>
        <v>0</v>
      </c>
      <c r="G417" s="97">
        <v>0</v>
      </c>
    </row>
    <row r="418" spans="2:9">
      <c r="B418" s="125" t="s">
        <v>72</v>
      </c>
      <c r="F418" s="97">
        <f t="shared" si="16"/>
        <v>0</v>
      </c>
      <c r="G418" s="97">
        <v>0</v>
      </c>
    </row>
    <row r="419" spans="2:9">
      <c r="B419" s="125" t="s">
        <v>458</v>
      </c>
      <c r="F419" s="97">
        <f t="shared" si="16"/>
        <v>-236246</v>
      </c>
      <c r="G419" s="97">
        <v>0</v>
      </c>
      <c r="H419" s="97">
        <v>-236245571</v>
      </c>
    </row>
    <row r="420" spans="2:9">
      <c r="B420" s="125" t="s">
        <v>459</v>
      </c>
      <c r="F420" s="97">
        <f t="shared" si="16"/>
        <v>-121711</v>
      </c>
      <c r="G420" s="97">
        <v>0</v>
      </c>
      <c r="H420" s="97">
        <v>-121710525</v>
      </c>
    </row>
    <row r="421" spans="2:9">
      <c r="B421" s="125" t="s">
        <v>460</v>
      </c>
      <c r="F421" s="97">
        <f t="shared" si="16"/>
        <v>-109196</v>
      </c>
      <c r="G421" s="97">
        <v>0</v>
      </c>
      <c r="H421" s="97">
        <v>-109195995</v>
      </c>
    </row>
    <row r="422" spans="2:9">
      <c r="B422" s="125" t="s">
        <v>461</v>
      </c>
      <c r="F422" s="97">
        <f t="shared" si="16"/>
        <v>-172832</v>
      </c>
      <c r="G422" s="97">
        <v>0</v>
      </c>
      <c r="H422" s="97">
        <v>-172832320</v>
      </c>
    </row>
    <row r="423" spans="2:9">
      <c r="B423" s="125" t="s">
        <v>462</v>
      </c>
      <c r="F423" s="97">
        <f t="shared" si="16"/>
        <v>-458617</v>
      </c>
      <c r="G423" s="97">
        <v>0</v>
      </c>
      <c r="H423" s="97">
        <v>-458617325</v>
      </c>
    </row>
    <row r="424" spans="2:9" ht="15.75">
      <c r="B424" s="125" t="s">
        <v>463</v>
      </c>
      <c r="F424" s="97">
        <f t="shared" si="16"/>
        <v>-112754</v>
      </c>
      <c r="G424" s="97">
        <v>0</v>
      </c>
      <c r="H424" s="97">
        <v>-112754269</v>
      </c>
      <c r="I424" s="162"/>
    </row>
    <row r="425" spans="2:9" ht="15.75">
      <c r="B425" s="125" t="s">
        <v>464</v>
      </c>
      <c r="F425" s="97">
        <f t="shared" si="16"/>
        <v>-1211356</v>
      </c>
      <c r="G425" s="97">
        <v>0</v>
      </c>
      <c r="H425" s="97">
        <f>SUM(H419:H424)</f>
        <v>-1211356005</v>
      </c>
      <c r="I425" s="162"/>
    </row>
    <row r="426" spans="2:9" ht="15.75">
      <c r="B426" s="125"/>
      <c r="F426" s="97">
        <f t="shared" si="16"/>
        <v>0</v>
      </c>
      <c r="G426" s="97">
        <v>0</v>
      </c>
      <c r="I426" s="162"/>
    </row>
    <row r="427" spans="2:9" ht="15.75">
      <c r="B427" s="125" t="s">
        <v>113</v>
      </c>
      <c r="F427" s="97">
        <f t="shared" si="16"/>
        <v>0</v>
      </c>
      <c r="G427" s="97">
        <v>0</v>
      </c>
      <c r="I427" s="162"/>
    </row>
    <row r="428" spans="2:9" ht="15.75">
      <c r="B428" s="125" t="s">
        <v>465</v>
      </c>
      <c r="F428" s="97">
        <f t="shared" si="16"/>
        <v>-11895</v>
      </c>
      <c r="G428" s="97">
        <v>0</v>
      </c>
      <c r="H428" s="97">
        <v>-11895472</v>
      </c>
      <c r="I428" s="162"/>
    </row>
    <row r="429" spans="2:9" ht="15.75">
      <c r="B429" s="125" t="s">
        <v>466</v>
      </c>
      <c r="F429" s="97">
        <f t="shared" si="16"/>
        <v>-460</v>
      </c>
      <c r="G429" s="97">
        <v>0</v>
      </c>
      <c r="H429" s="97">
        <v>-459704</v>
      </c>
      <c r="I429" s="162"/>
    </row>
    <row r="430" spans="2:9" ht="15.75">
      <c r="B430" s="125" t="s">
        <v>467</v>
      </c>
      <c r="F430" s="97">
        <f t="shared" si="16"/>
        <v>-2436</v>
      </c>
      <c r="G430" s="97">
        <v>0</v>
      </c>
      <c r="H430" s="97">
        <v>-2435792</v>
      </c>
      <c r="I430" s="162"/>
    </row>
    <row r="431" spans="2:9" ht="15.75">
      <c r="B431" s="125" t="s">
        <v>468</v>
      </c>
      <c r="F431" s="97">
        <f t="shared" si="16"/>
        <v>-91597</v>
      </c>
      <c r="G431" s="97">
        <v>0</v>
      </c>
      <c r="H431" s="97">
        <v>-91597457</v>
      </c>
      <c r="I431" s="162"/>
    </row>
    <row r="432" spans="2:9" ht="15.75">
      <c r="B432" s="125" t="s">
        <v>469</v>
      </c>
      <c r="F432" s="97">
        <f t="shared" si="16"/>
        <v>-776</v>
      </c>
      <c r="G432" s="97">
        <v>0</v>
      </c>
      <c r="H432" s="97">
        <v>-776409</v>
      </c>
      <c r="I432" s="162"/>
    </row>
    <row r="433" spans="2:9" ht="15.75">
      <c r="B433" s="125" t="s">
        <v>470</v>
      </c>
      <c r="F433" s="97">
        <f t="shared" si="16"/>
        <v>-107165</v>
      </c>
      <c r="G433" s="97">
        <v>0</v>
      </c>
      <c r="H433" s="97">
        <f>SUM(H428:H432)</f>
        <v>-107164834</v>
      </c>
      <c r="I433" s="162"/>
    </row>
    <row r="434" spans="2:9" ht="15.75">
      <c r="B434" s="125"/>
      <c r="F434" s="97">
        <f t="shared" si="16"/>
        <v>0</v>
      </c>
      <c r="G434" s="97">
        <v>0</v>
      </c>
      <c r="I434" s="162"/>
    </row>
    <row r="435" spans="2:9" ht="15.75">
      <c r="B435" s="125" t="s">
        <v>471</v>
      </c>
      <c r="F435" s="97">
        <f t="shared" si="16"/>
        <v>-1318521</v>
      </c>
      <c r="G435" s="97">
        <v>0</v>
      </c>
      <c r="H435" s="97">
        <f>SUM(H425,H433)</f>
        <v>-1318520839</v>
      </c>
      <c r="I435" s="162"/>
    </row>
    <row r="436" spans="2:9" ht="15.75">
      <c r="B436" s="125"/>
      <c r="F436" s="97">
        <f t="shared" si="16"/>
        <v>0</v>
      </c>
      <c r="G436" s="97">
        <v>0</v>
      </c>
      <c r="I436" s="162"/>
    </row>
    <row r="437" spans="2:9" ht="15.75">
      <c r="B437" s="125" t="s">
        <v>472</v>
      </c>
      <c r="F437" s="97">
        <f t="shared" si="16"/>
        <v>2372928</v>
      </c>
      <c r="G437" s="97">
        <v>0</v>
      </c>
      <c r="H437" s="97">
        <f>SUM(H415,H435)</f>
        <v>2372927999</v>
      </c>
      <c r="I437" s="162"/>
    </row>
    <row r="438" spans="2:9" ht="15.75">
      <c r="B438" s="125"/>
      <c r="F438" s="97">
        <f t="shared" si="16"/>
        <v>0</v>
      </c>
      <c r="G438" s="97">
        <v>0</v>
      </c>
      <c r="I438" s="162"/>
    </row>
    <row r="439" spans="2:9" ht="15.75">
      <c r="B439" s="134" t="s">
        <v>473</v>
      </c>
      <c r="F439" s="97">
        <f t="shared" si="16"/>
        <v>0</v>
      </c>
      <c r="G439" s="97">
        <v>0</v>
      </c>
      <c r="I439" s="162"/>
    </row>
    <row r="440" spans="2:9" ht="15.75">
      <c r="B440" s="133" t="s">
        <v>474</v>
      </c>
      <c r="F440" s="97">
        <f t="shared" si="16"/>
        <v>0</v>
      </c>
      <c r="G440" s="97">
        <v>0</v>
      </c>
      <c r="H440" s="97">
        <v>0</v>
      </c>
      <c r="I440" s="162"/>
    </row>
    <row r="441" spans="2:9">
      <c r="B441" s="134" t="s">
        <v>475</v>
      </c>
      <c r="F441" s="97">
        <f t="shared" si="16"/>
        <v>0</v>
      </c>
      <c r="G441" s="97">
        <v>0</v>
      </c>
      <c r="H441" s="97">
        <v>0</v>
      </c>
    </row>
    <row r="442" spans="2:9">
      <c r="B442" s="134" t="s">
        <v>476</v>
      </c>
      <c r="F442" s="97">
        <f t="shared" si="16"/>
        <v>-357847</v>
      </c>
      <c r="G442" s="97">
        <v>0</v>
      </c>
      <c r="H442" s="97">
        <v>-357847417</v>
      </c>
    </row>
    <row r="443" spans="2:9">
      <c r="B443" s="134" t="s">
        <v>477</v>
      </c>
      <c r="F443" s="97">
        <f t="shared" si="16"/>
        <v>-34839</v>
      </c>
      <c r="G443" s="97">
        <v>0</v>
      </c>
      <c r="H443" s="97">
        <v>-34838750</v>
      </c>
    </row>
    <row r="444" spans="2:9" ht="15.75">
      <c r="B444" s="165" t="s">
        <v>641</v>
      </c>
      <c r="F444" s="97">
        <f t="shared" si="16"/>
        <v>-2493</v>
      </c>
      <c r="G444" s="97">
        <v>0</v>
      </c>
      <c r="H444" s="97">
        <v>-2493077</v>
      </c>
    </row>
    <row r="445" spans="2:9">
      <c r="B445" s="134" t="s">
        <v>572</v>
      </c>
      <c r="F445" s="97">
        <f t="shared" si="16"/>
        <v>92</v>
      </c>
      <c r="G445" s="97">
        <v>0</v>
      </c>
      <c r="H445" s="97">
        <v>92203</v>
      </c>
    </row>
    <row r="446" spans="2:9">
      <c r="B446" s="134" t="s">
        <v>478</v>
      </c>
      <c r="F446" s="97">
        <f>ROUND(H446/1000,0)</f>
        <v>0</v>
      </c>
      <c r="G446" s="97">
        <v>0</v>
      </c>
      <c r="H446" s="97">
        <v>0</v>
      </c>
    </row>
    <row r="447" spans="2:9">
      <c r="B447" s="134" t="s">
        <v>479</v>
      </c>
      <c r="F447" s="97">
        <f>ROUND(H447/1000,0)</f>
        <v>0</v>
      </c>
      <c r="G447" s="97">
        <v>0</v>
      </c>
      <c r="H447" s="97">
        <v>0</v>
      </c>
    </row>
    <row r="448" spans="2:9">
      <c r="B448" s="134" t="s">
        <v>480</v>
      </c>
      <c r="F448" s="97">
        <f>ROUND(H448/1000,0)</f>
        <v>-3711</v>
      </c>
      <c r="G448" s="97">
        <v>0</v>
      </c>
      <c r="H448" s="97">
        <v>-3711458</v>
      </c>
    </row>
    <row r="449" spans="1:8">
      <c r="B449" s="134" t="s">
        <v>573</v>
      </c>
      <c r="F449" s="97">
        <f>ROUND(H449/1000,0)</f>
        <v>178</v>
      </c>
      <c r="G449" s="97">
        <v>0</v>
      </c>
      <c r="H449" s="97">
        <v>178208</v>
      </c>
    </row>
    <row r="450" spans="1:8">
      <c r="B450" s="134" t="s">
        <v>481</v>
      </c>
      <c r="F450" s="97">
        <f t="shared" ref="F450:F504" si="17">ROUND(H450/1000,0)</f>
        <v>-624</v>
      </c>
      <c r="G450" s="97">
        <v>0</v>
      </c>
      <c r="H450" s="97">
        <v>-624261</v>
      </c>
    </row>
    <row r="451" spans="1:8">
      <c r="B451" s="125" t="s">
        <v>482</v>
      </c>
      <c r="F451" s="97">
        <f t="shared" si="17"/>
        <v>-399245</v>
      </c>
      <c r="G451" s="97">
        <v>0</v>
      </c>
      <c r="H451" s="97">
        <f>SUM(H440:H450)</f>
        <v>-399244552</v>
      </c>
    </row>
    <row r="452" spans="1:8">
      <c r="B452" s="125"/>
      <c r="F452" s="97">
        <f t="shared" si="17"/>
        <v>0</v>
      </c>
      <c r="G452" s="97">
        <v>0</v>
      </c>
    </row>
    <row r="453" spans="1:8">
      <c r="B453" s="125" t="s">
        <v>483</v>
      </c>
      <c r="F453" s="97">
        <f t="shared" si="17"/>
        <v>1973683</v>
      </c>
      <c r="G453" s="97">
        <v>0</v>
      </c>
      <c r="H453" s="97">
        <f>SUM(H437,H451)</f>
        <v>1973683447</v>
      </c>
    </row>
    <row r="454" spans="1:8">
      <c r="F454" s="97">
        <f t="shared" si="17"/>
        <v>0</v>
      </c>
      <c r="G454" s="97">
        <v>0</v>
      </c>
    </row>
    <row r="455" spans="1:8">
      <c r="B455" s="125" t="s">
        <v>484</v>
      </c>
      <c r="C455" s="124"/>
      <c r="F455" s="97">
        <f t="shared" si="17"/>
        <v>0</v>
      </c>
      <c r="G455" s="97">
        <v>0</v>
      </c>
    </row>
    <row r="456" spans="1:8" ht="15.75">
      <c r="B456" s="162" t="s">
        <v>666</v>
      </c>
      <c r="C456" s="125"/>
      <c r="F456" s="97">
        <f t="shared" si="17"/>
        <v>34245</v>
      </c>
      <c r="G456" s="97">
        <v>0</v>
      </c>
      <c r="H456" s="97">
        <v>34245033</v>
      </c>
    </row>
    <row r="457" spans="1:8" ht="15.75">
      <c r="B457" s="162" t="s">
        <v>642</v>
      </c>
      <c r="C457" s="125"/>
      <c r="F457" s="97">
        <f t="shared" si="17"/>
        <v>-5166</v>
      </c>
      <c r="G457" s="97">
        <v>0</v>
      </c>
      <c r="H457" s="97">
        <v>-5166316</v>
      </c>
    </row>
    <row r="458" spans="1:8" ht="15.75">
      <c r="B458" s="166" t="s">
        <v>485</v>
      </c>
      <c r="C458" s="125"/>
      <c r="F458" s="97">
        <f t="shared" si="17"/>
        <v>0</v>
      </c>
      <c r="G458" s="97">
        <v>0</v>
      </c>
      <c r="H458" s="97">
        <v>0</v>
      </c>
    </row>
    <row r="459" spans="1:8" ht="15.75">
      <c r="B459" s="166" t="s">
        <v>486</v>
      </c>
      <c r="C459" s="125"/>
      <c r="F459" s="97">
        <f t="shared" si="17"/>
        <v>0</v>
      </c>
      <c r="G459" s="97">
        <v>0</v>
      </c>
      <c r="H459" s="97">
        <v>0</v>
      </c>
    </row>
    <row r="460" spans="1:8" ht="15.75">
      <c r="B460" s="166" t="s">
        <v>487</v>
      </c>
      <c r="C460" s="125"/>
      <c r="F460" s="97">
        <f t="shared" si="17"/>
        <v>0</v>
      </c>
      <c r="G460" s="97">
        <v>0</v>
      </c>
      <c r="H460" s="97">
        <v>0</v>
      </c>
    </row>
    <row r="461" spans="1:8" ht="15.75">
      <c r="B461" s="166" t="s">
        <v>574</v>
      </c>
      <c r="C461" s="125"/>
      <c r="F461" s="97">
        <f t="shared" si="17"/>
        <v>0</v>
      </c>
      <c r="G461" s="97">
        <v>0</v>
      </c>
      <c r="H461" s="97">
        <v>0</v>
      </c>
    </row>
    <row r="462" spans="1:8" ht="15.75">
      <c r="B462" s="166" t="s">
        <v>488</v>
      </c>
      <c r="C462" s="125"/>
      <c r="F462" s="97">
        <f t="shared" si="17"/>
        <v>0</v>
      </c>
      <c r="G462" s="97">
        <v>0</v>
      </c>
      <c r="H462" s="97">
        <v>0</v>
      </c>
    </row>
    <row r="463" spans="1:8" ht="15.75">
      <c r="B463" s="162" t="s">
        <v>489</v>
      </c>
      <c r="C463" s="125"/>
      <c r="F463" s="97">
        <f t="shared" si="17"/>
        <v>0</v>
      </c>
      <c r="G463" s="97">
        <v>0</v>
      </c>
      <c r="H463" s="97">
        <v>0</v>
      </c>
    </row>
    <row r="464" spans="1:8" ht="15.75">
      <c r="B464" s="166" t="s">
        <v>490</v>
      </c>
      <c r="C464" s="125"/>
      <c r="F464" s="97">
        <f t="shared" si="17"/>
        <v>0</v>
      </c>
      <c r="G464" s="97">
        <v>0</v>
      </c>
      <c r="H464" s="97">
        <v>0</v>
      </c>
    </row>
    <row r="465" spans="2:8" ht="15.75">
      <c r="B465" s="166" t="s">
        <v>491</v>
      </c>
      <c r="C465" s="125"/>
      <c r="F465" s="97">
        <f t="shared" si="17"/>
        <v>0</v>
      </c>
      <c r="G465" s="97">
        <v>0</v>
      </c>
      <c r="H465" s="97">
        <v>0</v>
      </c>
    </row>
    <row r="466" spans="2:8" ht="15.75">
      <c r="B466" s="162" t="s">
        <v>492</v>
      </c>
      <c r="C466" s="125"/>
      <c r="F466" s="97">
        <f t="shared" si="17"/>
        <v>0</v>
      </c>
      <c r="G466" s="97">
        <v>0</v>
      </c>
      <c r="H466" s="97">
        <v>0</v>
      </c>
    </row>
    <row r="467" spans="2:8" ht="15.75">
      <c r="B467" s="166" t="s">
        <v>493</v>
      </c>
      <c r="C467" s="125"/>
      <c r="F467" s="97">
        <f t="shared" si="17"/>
        <v>0</v>
      </c>
      <c r="G467" s="97">
        <v>0</v>
      </c>
      <c r="H467" s="97">
        <v>0</v>
      </c>
    </row>
    <row r="468" spans="2:8" ht="15.75">
      <c r="B468" s="162" t="s">
        <v>494</v>
      </c>
      <c r="C468" s="125"/>
      <c r="F468" s="97">
        <f t="shared" si="17"/>
        <v>0</v>
      </c>
      <c r="G468" s="97">
        <v>0</v>
      </c>
      <c r="H468" s="97">
        <v>0</v>
      </c>
    </row>
    <row r="469" spans="2:8" ht="15.75">
      <c r="B469" s="162" t="s">
        <v>495</v>
      </c>
      <c r="C469" s="125"/>
      <c r="F469" s="97">
        <f t="shared" si="17"/>
        <v>0</v>
      </c>
      <c r="G469" s="97">
        <v>0</v>
      </c>
      <c r="H469" s="97">
        <v>0</v>
      </c>
    </row>
    <row r="470" spans="2:8" ht="15.75">
      <c r="B470" s="162" t="s">
        <v>654</v>
      </c>
      <c r="C470" s="125"/>
      <c r="F470" s="97">
        <f t="shared" si="17"/>
        <v>0</v>
      </c>
      <c r="G470" s="97">
        <v>0</v>
      </c>
      <c r="H470" s="97">
        <v>0</v>
      </c>
    </row>
    <row r="471" spans="2:8" ht="15.75">
      <c r="B471" s="162" t="s">
        <v>496</v>
      </c>
      <c r="C471" s="125"/>
      <c r="F471" s="97">
        <f t="shared" si="17"/>
        <v>0</v>
      </c>
      <c r="G471" s="97">
        <v>0</v>
      </c>
      <c r="H471" s="97">
        <v>0</v>
      </c>
    </row>
    <row r="472" spans="2:8" ht="15.75">
      <c r="B472" s="165" t="s">
        <v>784</v>
      </c>
      <c r="C472" s="134"/>
      <c r="F472" s="97">
        <f t="shared" si="17"/>
        <v>16078</v>
      </c>
      <c r="G472" s="97">
        <v>0</v>
      </c>
      <c r="H472" s="97">
        <v>16078447</v>
      </c>
    </row>
    <row r="473" spans="2:8" ht="15.75">
      <c r="B473" s="162" t="s">
        <v>785</v>
      </c>
      <c r="C473" s="125"/>
      <c r="F473" s="97">
        <f t="shared" si="17"/>
        <v>24380</v>
      </c>
      <c r="G473" s="97">
        <v>0</v>
      </c>
      <c r="H473" s="97">
        <v>24380047</v>
      </c>
    </row>
    <row r="474" spans="2:8" ht="15.75">
      <c r="B474" s="165" t="s">
        <v>786</v>
      </c>
      <c r="C474" s="134"/>
      <c r="F474" s="97">
        <f t="shared" si="17"/>
        <v>-6536</v>
      </c>
      <c r="G474" s="97">
        <v>0</v>
      </c>
      <c r="H474" s="97">
        <v>-6535739</v>
      </c>
    </row>
    <row r="475" spans="2:8" ht="15.75">
      <c r="B475" s="162" t="s">
        <v>497</v>
      </c>
      <c r="C475" s="125"/>
      <c r="F475" s="97">
        <f t="shared" si="17"/>
        <v>0</v>
      </c>
      <c r="G475" s="97">
        <v>0</v>
      </c>
      <c r="H475" s="97">
        <v>0</v>
      </c>
    </row>
    <row r="476" spans="2:8" ht="15.75">
      <c r="B476" s="162" t="s">
        <v>498</v>
      </c>
      <c r="C476" s="125"/>
      <c r="F476" s="97">
        <f t="shared" si="17"/>
        <v>0</v>
      </c>
      <c r="G476" s="97">
        <v>0</v>
      </c>
      <c r="H476" s="97">
        <v>0</v>
      </c>
    </row>
    <row r="477" spans="2:8" ht="15.75">
      <c r="B477" s="162" t="s">
        <v>499</v>
      </c>
      <c r="C477" s="125"/>
      <c r="F477" s="97">
        <f t="shared" si="17"/>
        <v>0</v>
      </c>
      <c r="G477" s="97">
        <v>0</v>
      </c>
      <c r="H477" s="97">
        <v>0</v>
      </c>
    </row>
    <row r="478" spans="2:8" ht="15.75">
      <c r="B478" s="162" t="s">
        <v>500</v>
      </c>
      <c r="C478" s="125"/>
      <c r="F478" s="97">
        <f t="shared" si="17"/>
        <v>0</v>
      </c>
      <c r="G478" s="97">
        <v>0</v>
      </c>
      <c r="H478" s="97">
        <v>0</v>
      </c>
    </row>
    <row r="479" spans="2:8" ht="15.75">
      <c r="B479" s="166" t="s">
        <v>501</v>
      </c>
      <c r="C479" s="125"/>
      <c r="F479" s="97">
        <f t="shared" si="17"/>
        <v>0</v>
      </c>
      <c r="G479" s="97">
        <v>0</v>
      </c>
      <c r="H479" s="97">
        <v>0</v>
      </c>
    </row>
    <row r="480" spans="2:8" ht="15.75">
      <c r="B480" s="162" t="s">
        <v>502</v>
      </c>
      <c r="C480" s="125"/>
      <c r="F480" s="97">
        <f t="shared" si="17"/>
        <v>0</v>
      </c>
      <c r="G480" s="97">
        <v>0</v>
      </c>
      <c r="H480" s="97">
        <v>0</v>
      </c>
    </row>
    <row r="481" spans="2:8" ht="15.75">
      <c r="B481" s="166" t="s">
        <v>503</v>
      </c>
      <c r="C481" s="125"/>
      <c r="F481" s="97">
        <f t="shared" si="17"/>
        <v>0</v>
      </c>
      <c r="G481" s="97">
        <v>0</v>
      </c>
      <c r="H481" s="97">
        <v>0</v>
      </c>
    </row>
    <row r="482" spans="2:8" ht="15.75">
      <c r="B482" s="162" t="s">
        <v>504</v>
      </c>
      <c r="C482" s="125"/>
      <c r="F482" s="97">
        <f t="shared" si="17"/>
        <v>0</v>
      </c>
      <c r="G482" s="97">
        <v>0</v>
      </c>
      <c r="H482" s="97">
        <v>0</v>
      </c>
    </row>
    <row r="483" spans="2:8" ht="15.75">
      <c r="B483" s="166" t="s">
        <v>505</v>
      </c>
      <c r="C483" s="125"/>
      <c r="F483" s="97">
        <f t="shared" si="17"/>
        <v>0</v>
      </c>
      <c r="G483" s="97">
        <v>0</v>
      </c>
      <c r="H483" s="97">
        <v>0</v>
      </c>
    </row>
    <row r="484" spans="2:8" ht="15.75">
      <c r="B484" s="166" t="s">
        <v>506</v>
      </c>
      <c r="C484" s="125"/>
      <c r="F484" s="97">
        <f t="shared" si="17"/>
        <v>-1285</v>
      </c>
      <c r="G484" s="97">
        <v>0</v>
      </c>
      <c r="H484" s="97">
        <v>-1285488</v>
      </c>
    </row>
    <row r="485" spans="2:8" ht="15.75">
      <c r="B485" s="166" t="s">
        <v>643</v>
      </c>
      <c r="C485" s="125"/>
      <c r="F485" s="97">
        <f t="shared" si="17"/>
        <v>0</v>
      </c>
      <c r="G485" s="97">
        <v>0</v>
      </c>
      <c r="H485" s="97">
        <v>0</v>
      </c>
    </row>
    <row r="486" spans="2:8" ht="15.75">
      <c r="B486" s="166" t="s">
        <v>721</v>
      </c>
      <c r="C486" s="125"/>
      <c r="F486" s="97">
        <f t="shared" si="17"/>
        <v>-37631</v>
      </c>
      <c r="G486" s="97">
        <v>0</v>
      </c>
      <c r="H486" s="97">
        <v>-37631283</v>
      </c>
    </row>
    <row r="487" spans="2:8" ht="15.75">
      <c r="B487" s="166" t="s">
        <v>722</v>
      </c>
      <c r="C487" s="125"/>
      <c r="F487" s="97">
        <f t="shared" si="17"/>
        <v>7903</v>
      </c>
      <c r="G487" s="97">
        <v>0</v>
      </c>
      <c r="H487" s="97">
        <v>7902570</v>
      </c>
    </row>
    <row r="488" spans="2:8" ht="15.75">
      <c r="B488" s="166" t="s">
        <v>655</v>
      </c>
      <c r="C488" s="125"/>
      <c r="F488" s="97">
        <f t="shared" si="17"/>
        <v>0</v>
      </c>
      <c r="G488" s="97">
        <v>0</v>
      </c>
      <c r="H488" s="97">
        <v>0</v>
      </c>
    </row>
    <row r="489" spans="2:8" ht="15.75">
      <c r="B489" s="162" t="s">
        <v>656</v>
      </c>
      <c r="C489" s="125"/>
      <c r="F489" s="97">
        <f t="shared" si="17"/>
        <v>-6117</v>
      </c>
      <c r="G489" s="97">
        <v>0</v>
      </c>
      <c r="H489" s="97">
        <v>-6116923</v>
      </c>
    </row>
    <row r="490" spans="2:8" ht="15.75">
      <c r="B490" s="166" t="s">
        <v>657</v>
      </c>
      <c r="C490" s="125"/>
      <c r="F490" s="97">
        <f t="shared" si="17"/>
        <v>8247</v>
      </c>
      <c r="G490" s="97">
        <v>0</v>
      </c>
      <c r="H490" s="97">
        <v>8247271</v>
      </c>
    </row>
    <row r="491" spans="2:8" ht="15.75">
      <c r="B491" s="162" t="s">
        <v>658</v>
      </c>
      <c r="C491" s="125"/>
      <c r="F491" s="97">
        <f t="shared" si="17"/>
        <v>0</v>
      </c>
      <c r="G491" s="97">
        <v>0</v>
      </c>
      <c r="H491" s="97">
        <v>0</v>
      </c>
    </row>
    <row r="492" spans="2:8" ht="15.75">
      <c r="B492" s="166" t="s">
        <v>659</v>
      </c>
      <c r="C492" s="125"/>
      <c r="F492" s="97">
        <f t="shared" si="17"/>
        <v>896</v>
      </c>
      <c r="G492" s="97">
        <v>0</v>
      </c>
      <c r="H492" s="97">
        <v>896129</v>
      </c>
    </row>
    <row r="493" spans="2:8" ht="15.75">
      <c r="B493" s="166" t="s">
        <v>660</v>
      </c>
      <c r="C493" s="125"/>
      <c r="F493" s="97">
        <f t="shared" si="17"/>
        <v>-1442</v>
      </c>
      <c r="G493" s="97">
        <v>0</v>
      </c>
      <c r="H493" s="97">
        <v>-1441960</v>
      </c>
    </row>
    <row r="494" spans="2:8" ht="15.75">
      <c r="B494" s="166" t="s">
        <v>661</v>
      </c>
      <c r="C494" s="125"/>
      <c r="F494" s="97">
        <f t="shared" si="17"/>
        <v>9941</v>
      </c>
      <c r="G494" s="97">
        <v>0</v>
      </c>
      <c r="H494" s="97">
        <v>9941349</v>
      </c>
    </row>
    <row r="495" spans="2:8" ht="15.75">
      <c r="B495" s="166" t="s">
        <v>662</v>
      </c>
      <c r="C495" s="125"/>
      <c r="F495" s="97">
        <f t="shared" si="17"/>
        <v>-3804</v>
      </c>
      <c r="G495" s="97">
        <v>0</v>
      </c>
      <c r="H495" s="97">
        <v>-3803733</v>
      </c>
    </row>
    <row r="496" spans="2:8" ht="15.75">
      <c r="B496" s="166" t="s">
        <v>663</v>
      </c>
      <c r="C496" s="125"/>
      <c r="F496" s="97">
        <f t="shared" si="17"/>
        <v>-8703</v>
      </c>
      <c r="G496" s="97">
        <v>0</v>
      </c>
      <c r="H496" s="97">
        <v>-8702676</v>
      </c>
    </row>
    <row r="497" spans="2:9" ht="15.75">
      <c r="B497" s="166" t="s">
        <v>664</v>
      </c>
      <c r="C497" s="125"/>
      <c r="F497" s="97">
        <f t="shared" si="17"/>
        <v>1828</v>
      </c>
      <c r="G497" s="97">
        <v>0</v>
      </c>
      <c r="H497" s="97">
        <v>1827562</v>
      </c>
    </row>
    <row r="498" spans="2:9" ht="15.75">
      <c r="B498" s="166" t="s">
        <v>665</v>
      </c>
      <c r="C498" s="125"/>
      <c r="F498" s="97">
        <f t="shared" si="17"/>
        <v>-1289</v>
      </c>
      <c r="G498" s="97">
        <v>0</v>
      </c>
      <c r="H498" s="97">
        <v>-1288899</v>
      </c>
    </row>
    <row r="499" spans="2:9" ht="15.75">
      <c r="B499" s="166" t="s">
        <v>507</v>
      </c>
      <c r="C499" s="125"/>
      <c r="F499" s="97">
        <f t="shared" si="17"/>
        <v>-5</v>
      </c>
      <c r="G499" s="97">
        <v>0</v>
      </c>
      <c r="H499" s="97">
        <v>-4649</v>
      </c>
    </row>
    <row r="500" spans="2:9" ht="15.75">
      <c r="B500" s="166" t="s">
        <v>508</v>
      </c>
      <c r="C500" s="125"/>
      <c r="F500" s="97">
        <f t="shared" ref="F500:F501" si="18">ROUND(H500/1000,0)</f>
        <v>103961</v>
      </c>
      <c r="G500" s="97">
        <v>0</v>
      </c>
      <c r="H500" s="97">
        <v>103960573</v>
      </c>
    </row>
    <row r="501" spans="2:9" ht="15.75">
      <c r="B501" s="166" t="s">
        <v>509</v>
      </c>
      <c r="C501" s="125"/>
      <c r="F501" s="97">
        <f t="shared" si="18"/>
        <v>0</v>
      </c>
      <c r="G501" s="97">
        <v>0</v>
      </c>
      <c r="H501" s="97">
        <v>0</v>
      </c>
    </row>
    <row r="502" spans="2:9">
      <c r="B502" s="125" t="s">
        <v>510</v>
      </c>
      <c r="C502" s="125"/>
      <c r="F502" s="97">
        <f t="shared" si="17"/>
        <v>135501</v>
      </c>
      <c r="G502" s="97">
        <v>0</v>
      </c>
      <c r="H502" s="97">
        <f>SUM(H456:H501)</f>
        <v>135501315</v>
      </c>
    </row>
    <row r="503" spans="2:9">
      <c r="B503" s="125"/>
      <c r="C503" s="125"/>
      <c r="F503" s="97">
        <f t="shared" si="17"/>
        <v>0</v>
      </c>
      <c r="G503" s="97">
        <v>0</v>
      </c>
      <c r="I503" s="442" t="s">
        <v>787</v>
      </c>
    </row>
    <row r="504" spans="2:9">
      <c r="B504" s="125" t="s">
        <v>511</v>
      </c>
      <c r="C504" s="125"/>
      <c r="F504" s="97">
        <f t="shared" si="17"/>
        <v>2109185</v>
      </c>
      <c r="G504" s="97">
        <v>0</v>
      </c>
      <c r="H504" s="97">
        <f>H453+H502</f>
        <v>2109184762</v>
      </c>
      <c r="I504" s="97">
        <f>2109184762-H504</f>
        <v>0</v>
      </c>
    </row>
  </sheetData>
  <printOptions horizontalCentered="1"/>
  <pageMargins left="1" right="1" top="0.5" bottom="0.5" header="0.5" footer="0.5"/>
  <pageSetup scale="72" orientation="portrait" horizontalDpi="300" verticalDpi="300" r:id="rId1"/>
  <headerFooter alignWithMargins="0"/>
  <rowBreaks count="1" manualBreakCount="1">
    <brk id="57" max="6"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6"/>
  <dimension ref="A1:L180"/>
  <sheetViews>
    <sheetView zoomScaleNormal="100" workbookViewId="0">
      <selection sqref="A1:H1"/>
    </sheetView>
  </sheetViews>
  <sheetFormatPr defaultColWidth="10.5703125" defaultRowHeight="12.75" outlineLevelRow="1"/>
  <cols>
    <col min="1" max="1" width="8.42578125" style="415" customWidth="1"/>
    <col min="2" max="2" width="18.5703125" style="40" customWidth="1"/>
    <col min="3" max="4" width="10.5703125" style="23" customWidth="1"/>
    <col min="5" max="5" width="10.28515625" style="23" customWidth="1"/>
    <col min="6" max="6" width="14.5703125" style="24" customWidth="1"/>
    <col min="7" max="7" width="13.5703125" style="23" bestFit="1" customWidth="1"/>
    <col min="8" max="8" width="2.28515625" style="23" customWidth="1"/>
    <col min="9" max="9" width="18.42578125" style="23" customWidth="1"/>
    <col min="10" max="10" width="19.28515625" style="23" customWidth="1"/>
    <col min="11" max="11" width="10.7109375" style="23" bestFit="1" customWidth="1"/>
    <col min="12" max="16384" width="10.5703125" style="23"/>
  </cols>
  <sheetData>
    <row r="1" spans="1:9">
      <c r="A1" s="712" t="s">
        <v>114</v>
      </c>
      <c r="B1" s="712"/>
      <c r="C1" s="712"/>
      <c r="D1" s="712"/>
      <c r="E1" s="712"/>
      <c r="F1" s="712"/>
      <c r="G1" s="712"/>
      <c r="H1" s="712"/>
    </row>
    <row r="2" spans="1:9">
      <c r="A2" s="712" t="s">
        <v>524</v>
      </c>
      <c r="B2" s="712"/>
      <c r="C2" s="712"/>
      <c r="D2" s="712"/>
      <c r="E2" s="712"/>
      <c r="F2" s="712"/>
      <c r="G2" s="712"/>
      <c r="H2" s="712"/>
    </row>
    <row r="3" spans="1:9">
      <c r="A3" s="712" t="s">
        <v>156</v>
      </c>
      <c r="B3" s="712"/>
      <c r="C3" s="712"/>
      <c r="D3" s="712"/>
      <c r="E3" s="712"/>
      <c r="F3" s="712"/>
      <c r="G3" s="712"/>
      <c r="H3" s="712"/>
    </row>
    <row r="4" spans="1:9">
      <c r="A4" s="713" t="str">
        <f>'ADJ DETAIL-INPUT'!A3</f>
        <v>TWELVE MONTHS ENDED JUNE 30, 2023</v>
      </c>
      <c r="B4" s="713"/>
      <c r="C4" s="713"/>
      <c r="D4" s="713"/>
      <c r="E4" s="713"/>
      <c r="F4" s="713"/>
      <c r="G4" s="713"/>
      <c r="H4" s="713"/>
    </row>
    <row r="5" spans="1:9">
      <c r="A5" s="714" t="s">
        <v>135</v>
      </c>
      <c r="B5" s="714"/>
      <c r="C5" s="714"/>
      <c r="D5" s="714"/>
      <c r="E5" s="714"/>
      <c r="F5" s="714"/>
      <c r="G5" s="714"/>
      <c r="H5" s="714"/>
    </row>
    <row r="6" spans="1:9" ht="13.5" thickBot="1">
      <c r="C6" s="21"/>
      <c r="D6" s="22"/>
      <c r="E6" s="22"/>
      <c r="I6" s="25" t="s">
        <v>525</v>
      </c>
    </row>
    <row r="7" spans="1:9" ht="13.5" thickBot="1">
      <c r="C7" s="24"/>
      <c r="D7" s="24"/>
      <c r="E7" s="709" t="s">
        <v>524</v>
      </c>
      <c r="F7" s="710"/>
      <c r="G7" s="711"/>
      <c r="I7" s="25" t="s">
        <v>526</v>
      </c>
    </row>
    <row r="8" spans="1:9">
      <c r="C8" s="24"/>
      <c r="D8" s="24"/>
      <c r="E8" s="443">
        <f>'ADJ DETAIL-INPUT'!W9</f>
        <v>2.139999999999997</v>
      </c>
      <c r="F8" s="26"/>
      <c r="G8" s="26"/>
      <c r="I8" s="25"/>
    </row>
    <row r="9" spans="1:9">
      <c r="C9" s="24"/>
      <c r="D9" s="24"/>
      <c r="E9" s="26" t="s">
        <v>24</v>
      </c>
      <c r="F9" s="25" t="s">
        <v>555</v>
      </c>
      <c r="I9" s="25" t="s">
        <v>527</v>
      </c>
    </row>
    <row r="10" spans="1:9">
      <c r="B10" s="141" t="s">
        <v>136</v>
      </c>
      <c r="C10" s="24"/>
      <c r="D10" s="24"/>
      <c r="E10" s="145" t="s">
        <v>248</v>
      </c>
      <c r="F10" s="27" t="s">
        <v>137</v>
      </c>
      <c r="G10" s="27" t="s">
        <v>32</v>
      </c>
      <c r="I10" s="27" t="str">
        <f>F10</f>
        <v>Adjustments</v>
      </c>
    </row>
    <row r="11" spans="1:9">
      <c r="A11" s="414">
        <f>'ADJ SUMMARY'!A10</f>
        <v>1</v>
      </c>
      <c r="B11" s="40" t="str">
        <f>'ADJ SUMMARY'!C10</f>
        <v>Results of Operations</v>
      </c>
      <c r="C11" s="24"/>
      <c r="D11" s="24"/>
      <c r="E11" s="144">
        <f>'ADJ SUMMARY'!E10</f>
        <v>2109184.7999999998</v>
      </c>
      <c r="F11" s="140"/>
      <c r="G11" s="23">
        <f>SUM(E11:F11)</f>
        <v>2109184.7999999998</v>
      </c>
      <c r="I11" s="144">
        <f>ROUND(E11*$E$71*-$F$78,0)+(E75*0.21)</f>
        <v>226.21999999999935</v>
      </c>
    </row>
    <row r="12" spans="1:9">
      <c r="A12" s="414">
        <f>'ADJ SUMMARY'!A11</f>
        <v>1.01</v>
      </c>
      <c r="B12" s="142" t="str">
        <f>'ADJ SUMMARY'!C11</f>
        <v>Deferred FIT Rate Base</v>
      </c>
      <c r="C12" s="24"/>
      <c r="D12" s="24"/>
      <c r="E12" s="28"/>
      <c r="F12" s="144">
        <f>'ADJ SUMMARY'!E11</f>
        <v>2942</v>
      </c>
      <c r="G12" s="23">
        <f>SUM(E12:F12)</f>
        <v>2942</v>
      </c>
      <c r="I12" s="144">
        <f t="shared" ref="I12:I44" si="0">ROUND(F12*$E$71*-$F$78,0)</f>
        <v>-16</v>
      </c>
    </row>
    <row r="13" spans="1:9">
      <c r="A13" s="414">
        <f>'ADJ SUMMARY'!A12</f>
        <v>1.02</v>
      </c>
      <c r="B13" s="142" t="str">
        <f>'ADJ SUMMARY'!C12</f>
        <v>Deferred Debits and Credits</v>
      </c>
      <c r="C13" s="24"/>
      <c r="D13" s="24"/>
      <c r="E13" s="28"/>
      <c r="F13" s="144">
        <f>'ADJ SUMMARY'!E12</f>
        <v>0</v>
      </c>
      <c r="G13" s="23">
        <f t="shared" ref="G13:G27" si="1">SUM(E13:F13)</f>
        <v>0</v>
      </c>
      <c r="I13" s="144">
        <f t="shared" si="0"/>
        <v>0</v>
      </c>
    </row>
    <row r="14" spans="1:9">
      <c r="A14" s="414">
        <f>'ADJ SUMMARY'!A13</f>
        <v>1.03</v>
      </c>
      <c r="B14" s="142" t="str">
        <f>'ADJ SUMMARY'!C13</f>
        <v>Working Capital</v>
      </c>
      <c r="C14" s="24"/>
      <c r="D14" s="24"/>
      <c r="E14" s="28"/>
      <c r="F14" s="144">
        <f>'ADJ SUMMARY'!E13</f>
        <v>-3239</v>
      </c>
      <c r="G14" s="23">
        <f t="shared" si="1"/>
        <v>-3239</v>
      </c>
      <c r="I14" s="144">
        <f t="shared" si="0"/>
        <v>17</v>
      </c>
    </row>
    <row r="15" spans="1:9">
      <c r="A15" s="414">
        <f>'ADJ SUMMARY'!A14</f>
        <v>1.04</v>
      </c>
      <c r="B15" s="142" t="str">
        <f>'ADJ SUMMARY'!C14</f>
        <v>Remove Colstrip</v>
      </c>
      <c r="C15" s="24"/>
      <c r="D15" s="24"/>
      <c r="E15" s="28"/>
      <c r="F15" s="144">
        <f>'ADJ SUMMARY'!E14</f>
        <v>-24878</v>
      </c>
      <c r="G15" s="23">
        <f t="shared" ref="G15" si="2">SUM(E15:F15)</f>
        <v>-24878</v>
      </c>
      <c r="I15" s="144">
        <f t="shared" ref="I15" si="3">ROUND(F15*$E$71*-$F$78,0)</f>
        <v>134</v>
      </c>
    </row>
    <row r="16" spans="1:9">
      <c r="A16" s="414">
        <f>'ADJ SUMMARY'!A15</f>
        <v>2.0099999999999998</v>
      </c>
      <c r="B16" s="142" t="str">
        <f>'ADJ SUMMARY'!C15</f>
        <v>Eliminate B &amp; O Taxes</v>
      </c>
      <c r="C16" s="24"/>
      <c r="D16" s="24"/>
      <c r="E16" s="28"/>
      <c r="F16" s="144">
        <f>'ADJ SUMMARY'!E15</f>
        <v>0</v>
      </c>
      <c r="G16" s="23">
        <f t="shared" si="1"/>
        <v>0</v>
      </c>
      <c r="I16" s="144">
        <f t="shared" si="0"/>
        <v>0</v>
      </c>
    </row>
    <row r="17" spans="1:9">
      <c r="A17" s="414">
        <f>'ADJ SUMMARY'!A16</f>
        <v>2.0199999999999996</v>
      </c>
      <c r="B17" s="142" t="str">
        <f>'ADJ SUMMARY'!C16</f>
        <v>Restate Property Tax</v>
      </c>
      <c r="C17" s="24"/>
      <c r="D17" s="24"/>
      <c r="E17" s="28"/>
      <c r="F17" s="144">
        <f>'ADJ SUMMARY'!E16</f>
        <v>0</v>
      </c>
      <c r="G17" s="23">
        <f t="shared" si="1"/>
        <v>0</v>
      </c>
      <c r="I17" s="144">
        <f t="shared" si="0"/>
        <v>0</v>
      </c>
    </row>
    <row r="18" spans="1:9">
      <c r="A18" s="414">
        <f>'ADJ SUMMARY'!A17</f>
        <v>2.0299999999999994</v>
      </c>
      <c r="B18" s="142" t="str">
        <f>'ADJ SUMMARY'!C17</f>
        <v>Uncollectible Expense</v>
      </c>
      <c r="C18" s="24"/>
      <c r="D18" s="24"/>
      <c r="E18" s="28"/>
      <c r="F18" s="144">
        <f>'ADJ SUMMARY'!E17</f>
        <v>0</v>
      </c>
      <c r="G18" s="23">
        <f t="shared" si="1"/>
        <v>0</v>
      </c>
      <c r="I18" s="144">
        <f t="shared" si="0"/>
        <v>0</v>
      </c>
    </row>
    <row r="19" spans="1:9">
      <c r="A19" s="414">
        <f>'ADJ SUMMARY'!A18</f>
        <v>2.0399999999999991</v>
      </c>
      <c r="B19" s="142" t="str">
        <f>'ADJ SUMMARY'!C18</f>
        <v>Regulatory Expense</v>
      </c>
      <c r="C19" s="24"/>
      <c r="D19" s="24"/>
      <c r="E19" s="28"/>
      <c r="F19" s="144">
        <f>'ADJ SUMMARY'!E18</f>
        <v>0</v>
      </c>
      <c r="G19" s="23">
        <f t="shared" si="1"/>
        <v>0</v>
      </c>
      <c r="I19" s="144">
        <f t="shared" si="0"/>
        <v>0</v>
      </c>
    </row>
    <row r="20" spans="1:9">
      <c r="A20" s="414">
        <f>'ADJ SUMMARY'!A19</f>
        <v>2.0499999999999989</v>
      </c>
      <c r="B20" s="142" t="str">
        <f>'ADJ SUMMARY'!C19</f>
        <v>Injuries and Damages</v>
      </c>
      <c r="C20" s="24"/>
      <c r="D20" s="24"/>
      <c r="E20" s="28"/>
      <c r="F20" s="144">
        <f>'ADJ SUMMARY'!E19</f>
        <v>0</v>
      </c>
      <c r="G20" s="23">
        <f t="shared" si="1"/>
        <v>0</v>
      </c>
      <c r="I20" s="144">
        <f t="shared" si="0"/>
        <v>0</v>
      </c>
    </row>
    <row r="21" spans="1:9">
      <c r="A21" s="414">
        <f>'ADJ SUMMARY'!A20</f>
        <v>2.0599999999999987</v>
      </c>
      <c r="B21" s="142" t="str">
        <f>'ADJ SUMMARY'!C20</f>
        <v>FIT/DFIT/ ITC Expense</v>
      </c>
      <c r="C21" s="24"/>
      <c r="D21" s="24"/>
      <c r="E21" s="28"/>
      <c r="F21" s="144">
        <f>'ADJ SUMMARY'!E20</f>
        <v>0</v>
      </c>
      <c r="G21" s="23">
        <f t="shared" si="1"/>
        <v>0</v>
      </c>
      <c r="I21" s="144">
        <f t="shared" si="0"/>
        <v>0</v>
      </c>
    </row>
    <row r="22" spans="1:9">
      <c r="A22" s="414">
        <f>'ADJ SUMMARY'!A21</f>
        <v>2.0699999999999985</v>
      </c>
      <c r="B22" s="142" t="str">
        <f>'ADJ SUMMARY'!C21</f>
        <v>Office Space Charges to Non-Utility</v>
      </c>
      <c r="C22" s="24"/>
      <c r="D22" s="24"/>
      <c r="E22" s="28"/>
      <c r="F22" s="144">
        <f>'ADJ SUMMARY'!E21</f>
        <v>0</v>
      </c>
      <c r="G22" s="23">
        <f t="shared" si="1"/>
        <v>0</v>
      </c>
      <c r="I22" s="144">
        <f t="shared" si="0"/>
        <v>0</v>
      </c>
    </row>
    <row r="23" spans="1:9">
      <c r="A23" s="414">
        <f>'ADJ SUMMARY'!A22</f>
        <v>2.0799999999999983</v>
      </c>
      <c r="B23" s="142" t="str">
        <f>'ADJ SUMMARY'!C22</f>
        <v>Restate Excise Taxes</v>
      </c>
      <c r="C23" s="24"/>
      <c r="D23" s="24"/>
      <c r="E23" s="28"/>
      <c r="F23" s="144">
        <f>'ADJ SUMMARY'!E22</f>
        <v>0</v>
      </c>
      <c r="G23" s="23">
        <f t="shared" si="1"/>
        <v>0</v>
      </c>
      <c r="I23" s="144">
        <f t="shared" si="0"/>
        <v>0</v>
      </c>
    </row>
    <row r="24" spans="1:9">
      <c r="A24" s="414">
        <f>'ADJ SUMMARY'!A23</f>
        <v>2.0899999999999981</v>
      </c>
      <c r="B24" s="142" t="str">
        <f>'ADJ SUMMARY'!C23</f>
        <v>Net Gains &amp; Losses</v>
      </c>
      <c r="C24" s="24"/>
      <c r="D24" s="24"/>
      <c r="E24" s="28"/>
      <c r="F24" s="144">
        <f>'ADJ SUMMARY'!E23</f>
        <v>0</v>
      </c>
      <c r="G24" s="23">
        <f t="shared" si="1"/>
        <v>0</v>
      </c>
      <c r="I24" s="144">
        <f t="shared" si="0"/>
        <v>0</v>
      </c>
    </row>
    <row r="25" spans="1:9">
      <c r="A25" s="414">
        <f>'ADJ SUMMARY'!A24</f>
        <v>2.0999999999999979</v>
      </c>
      <c r="B25" s="142" t="str">
        <f>'ADJ SUMMARY'!C24</f>
        <v>Weather Normalization</v>
      </c>
      <c r="C25" s="24"/>
      <c r="D25" s="24"/>
      <c r="E25" s="28"/>
      <c r="F25" s="144">
        <f>'ADJ SUMMARY'!E24</f>
        <v>0</v>
      </c>
      <c r="G25" s="23">
        <f t="shared" si="1"/>
        <v>0</v>
      </c>
      <c r="I25" s="144">
        <f t="shared" si="0"/>
        <v>0</v>
      </c>
    </row>
    <row r="26" spans="1:9">
      <c r="A26" s="414">
        <f>'ADJ SUMMARY'!A25</f>
        <v>2.1099999999999977</v>
      </c>
      <c r="B26" s="142" t="str">
        <f>'ADJ SUMMARY'!C25</f>
        <v>Eliminate Adder Schedules</v>
      </c>
      <c r="C26" s="24"/>
      <c r="D26" s="24"/>
      <c r="E26" s="28"/>
      <c r="F26" s="144">
        <f>'ADJ SUMMARY'!E25</f>
        <v>0</v>
      </c>
      <c r="G26" s="23">
        <f t="shared" si="1"/>
        <v>0</v>
      </c>
      <c r="I26" s="144">
        <f t="shared" si="0"/>
        <v>0</v>
      </c>
    </row>
    <row r="27" spans="1:9">
      <c r="A27" s="414">
        <f>'ADJ SUMMARY'!A26</f>
        <v>2.1199999999999974</v>
      </c>
      <c r="B27" s="142" t="str">
        <f>'ADJ SUMMARY'!C26</f>
        <v>Misc. Restating Non-Util / Non- Recurring Expenses</v>
      </c>
      <c r="C27" s="24"/>
      <c r="D27" s="24"/>
      <c r="E27" s="28"/>
      <c r="F27" s="144">
        <f>'ADJ SUMMARY'!E26</f>
        <v>0</v>
      </c>
      <c r="G27" s="23">
        <f t="shared" si="1"/>
        <v>0</v>
      </c>
      <c r="I27" s="144">
        <f t="shared" si="0"/>
        <v>0</v>
      </c>
    </row>
    <row r="28" spans="1:9">
      <c r="A28" s="414">
        <f>'ADJ SUMMARY'!A27</f>
        <v>2.1299999999999972</v>
      </c>
      <c r="B28" s="142" t="str">
        <f>'ADJ SUMMARY'!C27</f>
        <v>Restating Incentives Expense</v>
      </c>
      <c r="C28" s="24"/>
      <c r="D28" s="24"/>
      <c r="E28" s="28"/>
      <c r="F28" s="144">
        <f>'ADJ SUMMARY'!E27</f>
        <v>0</v>
      </c>
      <c r="G28" s="23">
        <f t="shared" ref="G28:G37" si="4">SUM(E28:F28)</f>
        <v>0</v>
      </c>
      <c r="I28" s="144">
        <f t="shared" si="0"/>
        <v>0</v>
      </c>
    </row>
    <row r="29" spans="1:9">
      <c r="A29" s="414">
        <f>'ADJ SUMMARY'!A28</f>
        <v>2.139999999999997</v>
      </c>
      <c r="B29" s="142" t="str">
        <f>'ADJ SUMMARY'!C28</f>
        <v>Restate Debt Interest</v>
      </c>
      <c r="C29" s="24"/>
      <c r="D29" s="24"/>
      <c r="E29" s="28"/>
      <c r="F29" s="144">
        <f>'ADJ SUMMARY'!E28</f>
        <v>0</v>
      </c>
      <c r="G29" s="23">
        <f t="shared" si="4"/>
        <v>0</v>
      </c>
      <c r="I29" s="144">
        <f t="shared" si="0"/>
        <v>0</v>
      </c>
    </row>
    <row r="30" spans="1:9">
      <c r="A30" s="414">
        <f>'ADJ SUMMARY'!A29</f>
        <v>2.1499999999999968</v>
      </c>
      <c r="B30" s="142" t="str">
        <f>'ADJ SUMMARY'!C29</f>
        <v>Restate Capital 06.2023 EOP</v>
      </c>
      <c r="C30" s="24"/>
      <c r="D30" s="24"/>
      <c r="E30" s="28"/>
      <c r="F30" s="144">
        <f>'ADJ SUMMARY'!E29</f>
        <v>53929.599999999999</v>
      </c>
      <c r="G30" s="23">
        <f t="shared" si="4"/>
        <v>53929.599999999999</v>
      </c>
      <c r="I30" s="144">
        <f t="shared" si="0"/>
        <v>-291</v>
      </c>
    </row>
    <row r="31" spans="1:9">
      <c r="A31" s="414">
        <f>'ADJ SUMMARY'!A30</f>
        <v>2.1599999999999966</v>
      </c>
      <c r="B31" s="142" t="str">
        <f>'ADJ SUMMARY'!C30</f>
        <v>Eliminate WA Power Cost Defer</v>
      </c>
      <c r="C31" s="24"/>
      <c r="D31" s="24"/>
      <c r="E31" s="28"/>
      <c r="F31" s="144">
        <f>'ADJ SUMMARY'!E30</f>
        <v>0</v>
      </c>
      <c r="G31" s="23">
        <f t="shared" si="4"/>
        <v>0</v>
      </c>
      <c r="I31" s="144">
        <f t="shared" si="0"/>
        <v>0</v>
      </c>
    </row>
    <row r="32" spans="1:9">
      <c r="A32" s="414">
        <f>'ADJ SUMMARY'!A31</f>
        <v>2.1699999999999964</v>
      </c>
      <c r="B32" s="142" t="str">
        <f>'ADJ SUMMARY'!C31</f>
        <v>Nez Perce Settlement Adjustment</v>
      </c>
      <c r="C32" s="24"/>
      <c r="D32" s="24"/>
      <c r="E32" s="28"/>
      <c r="F32" s="144">
        <f>'ADJ SUMMARY'!E31</f>
        <v>0</v>
      </c>
      <c r="G32" s="23">
        <f t="shared" si="4"/>
        <v>0</v>
      </c>
      <c r="I32" s="144">
        <f t="shared" si="0"/>
        <v>0</v>
      </c>
    </row>
    <row r="33" spans="1:9">
      <c r="A33" s="414">
        <f>'ADJ SUMMARY'!A32</f>
        <v>2.1799999999999962</v>
      </c>
      <c r="B33" s="142" t="str">
        <f>'ADJ SUMMARY'!C32</f>
        <v>Normalize CS2 Major Maint</v>
      </c>
      <c r="C33" s="24"/>
      <c r="D33" s="24"/>
      <c r="E33" s="28"/>
      <c r="F33" s="144">
        <f>'ADJ SUMMARY'!E32</f>
        <v>0</v>
      </c>
      <c r="G33" s="23">
        <f t="shared" si="4"/>
        <v>0</v>
      </c>
      <c r="I33" s="144">
        <f t="shared" si="0"/>
        <v>0</v>
      </c>
    </row>
    <row r="34" spans="1:9">
      <c r="A34" s="414">
        <f>'ADJ SUMMARY'!A33</f>
        <v>2.1899999999999959</v>
      </c>
      <c r="B34" s="142" t="str">
        <f>'ADJ SUMMARY'!C33</f>
        <v>Authorized Power Supply</v>
      </c>
      <c r="C34" s="24"/>
      <c r="D34" s="24"/>
      <c r="E34" s="28"/>
      <c r="F34" s="144">
        <f>'ADJ SUMMARY'!E33</f>
        <v>0</v>
      </c>
      <c r="G34" s="23">
        <f t="shared" si="4"/>
        <v>0</v>
      </c>
      <c r="I34" s="144">
        <f t="shared" si="0"/>
        <v>0</v>
      </c>
    </row>
    <row r="35" spans="1:9" hidden="1" outlineLevel="1">
      <c r="A35" s="414">
        <f>'ADJ SUMMARY'!A34</f>
        <v>0</v>
      </c>
      <c r="B35" s="142" t="str">
        <f>'ADJ SUMMARY'!C34</f>
        <v/>
      </c>
      <c r="C35" s="24"/>
      <c r="D35" s="24"/>
      <c r="E35" s="28"/>
      <c r="F35" s="144">
        <f>'ADJ SUMMARY'!E34</f>
        <v>0</v>
      </c>
      <c r="G35" s="23">
        <f t="shared" si="4"/>
        <v>0</v>
      </c>
      <c r="I35" s="144">
        <f t="shared" si="0"/>
        <v>0</v>
      </c>
    </row>
    <row r="36" spans="1:9" collapsed="1">
      <c r="A36" s="445" t="str">
        <f>'ADJ SUMMARY'!A37</f>
        <v>3.00P</v>
      </c>
      <c r="B36" s="142" t="str">
        <f>'ADJ SUMMARY'!C37</f>
        <v>Pro Forma Power Supply</v>
      </c>
      <c r="C36" s="24"/>
      <c r="D36" s="24"/>
      <c r="E36" s="28"/>
      <c r="F36" s="144">
        <f>'ADJ SUMMARY'!E37</f>
        <v>0</v>
      </c>
      <c r="G36" s="23">
        <f t="shared" si="4"/>
        <v>0</v>
      </c>
      <c r="I36" s="144">
        <f t="shared" si="0"/>
        <v>0</v>
      </c>
    </row>
    <row r="37" spans="1:9">
      <c r="A37" s="445" t="str">
        <f>'ADJ SUMMARY'!A38</f>
        <v>3.00T</v>
      </c>
      <c r="B37" s="142" t="str">
        <f>'ADJ SUMMARY'!C38</f>
        <v>Pro Forma Transmission Revenue/Expense</v>
      </c>
      <c r="C37" s="24"/>
      <c r="D37" s="24"/>
      <c r="E37" s="28"/>
      <c r="F37" s="144">
        <f>'ADJ SUMMARY'!E38</f>
        <v>0</v>
      </c>
      <c r="G37" s="23">
        <f t="shared" si="4"/>
        <v>0</v>
      </c>
      <c r="I37" s="144">
        <f t="shared" si="0"/>
        <v>0</v>
      </c>
    </row>
    <row r="38" spans="1:9">
      <c r="A38" s="414">
        <f>'ADJ SUMMARY'!A39</f>
        <v>3.01</v>
      </c>
      <c r="B38" s="142" t="str">
        <f>'ADJ SUMMARY'!C39</f>
        <v>Pro Forma Revenue Normalization</v>
      </c>
      <c r="C38" s="24"/>
      <c r="D38" s="24"/>
      <c r="E38" s="28"/>
      <c r="F38" s="144">
        <f>'ADJ SUMMARY'!E39</f>
        <v>0</v>
      </c>
      <c r="G38" s="23">
        <f t="shared" ref="G38:G64" si="5">SUM(E38:F38)</f>
        <v>0</v>
      </c>
      <c r="I38" s="144">
        <f t="shared" si="0"/>
        <v>0</v>
      </c>
    </row>
    <row r="39" spans="1:9">
      <c r="A39" s="414">
        <f>'ADJ SUMMARY'!A40</f>
        <v>3.0199999999999996</v>
      </c>
      <c r="B39" s="142" t="str">
        <f>'ADJ SUMMARY'!C40</f>
        <v>Pro Forma Def. Debits, Credits &amp; Regulatory Amorts</v>
      </c>
      <c r="C39" s="24"/>
      <c r="D39" s="24"/>
      <c r="E39" s="28"/>
      <c r="F39" s="144">
        <f>'ADJ SUMMARY'!E40</f>
        <v>0</v>
      </c>
      <c r="G39" s="23">
        <f t="shared" si="5"/>
        <v>0</v>
      </c>
      <c r="I39" s="144">
        <f t="shared" si="0"/>
        <v>0</v>
      </c>
    </row>
    <row r="40" spans="1:9">
      <c r="A40" s="414">
        <f>'ADJ SUMMARY'!A41</f>
        <v>3.0299999999999994</v>
      </c>
      <c r="B40" s="142" t="str">
        <f>'ADJ SUMMARY'!C41</f>
        <v>Pro Forma EDIT (RSGM)</v>
      </c>
      <c r="C40" s="24"/>
      <c r="D40" s="24"/>
      <c r="E40" s="28"/>
      <c r="F40" s="144">
        <f>'ADJ SUMMARY'!E41</f>
        <v>0</v>
      </c>
      <c r="G40" s="23">
        <f t="shared" si="5"/>
        <v>0</v>
      </c>
      <c r="I40" s="144">
        <f t="shared" si="0"/>
        <v>0</v>
      </c>
    </row>
    <row r="41" spans="1:9">
      <c r="A41" s="414">
        <f>'ADJ SUMMARY'!A42</f>
        <v>3.0399999999999991</v>
      </c>
      <c r="B41" s="142" t="str">
        <f>'ADJ SUMMARY'!C42</f>
        <v>Pro Forma AMI Amortization</v>
      </c>
      <c r="C41" s="24"/>
      <c r="D41" s="24"/>
      <c r="E41" s="28"/>
      <c r="F41" s="144">
        <f>'ADJ SUMMARY'!E42</f>
        <v>-7529</v>
      </c>
      <c r="G41" s="23">
        <f t="shared" si="5"/>
        <v>-7529</v>
      </c>
      <c r="I41" s="144">
        <f t="shared" si="0"/>
        <v>41</v>
      </c>
    </row>
    <row r="42" spans="1:9">
      <c r="A42" s="414">
        <f>'ADJ SUMMARY'!A43</f>
        <v>3.0499999999999989</v>
      </c>
      <c r="B42" s="142" t="str">
        <f>'ADJ SUMMARY'!C43</f>
        <v>Pro Forma Labor Non-Exec</v>
      </c>
      <c r="C42" s="24"/>
      <c r="D42" s="24"/>
      <c r="E42" s="28"/>
      <c r="F42" s="144">
        <f>'ADJ SUMMARY'!E43</f>
        <v>0</v>
      </c>
      <c r="G42" s="23">
        <f t="shared" si="5"/>
        <v>0</v>
      </c>
      <c r="I42" s="144">
        <f t="shared" si="0"/>
        <v>0</v>
      </c>
    </row>
    <row r="43" spans="1:9">
      <c r="A43" s="414">
        <f>'ADJ SUMMARY'!A44</f>
        <v>3.0599999999999987</v>
      </c>
      <c r="B43" s="142" t="str">
        <f>'ADJ SUMMARY'!C44</f>
        <v>Pro Forma Labor Exec</v>
      </c>
      <c r="C43" s="24"/>
      <c r="D43" s="24"/>
      <c r="E43" s="28"/>
      <c r="F43" s="144">
        <f>'ADJ SUMMARY'!E44</f>
        <v>0</v>
      </c>
      <c r="G43" s="23">
        <f t="shared" si="5"/>
        <v>0</v>
      </c>
      <c r="I43" s="144">
        <f t="shared" si="0"/>
        <v>0</v>
      </c>
    </row>
    <row r="44" spans="1:9">
      <c r="A44" s="414">
        <f>'ADJ SUMMARY'!A45</f>
        <v>3.0699999999999985</v>
      </c>
      <c r="B44" s="142" t="str">
        <f>'ADJ SUMMARY'!C45</f>
        <v>Pro Forma Employee Benefits</v>
      </c>
      <c r="C44" s="24"/>
      <c r="D44" s="24"/>
      <c r="E44" s="28"/>
      <c r="F44" s="144">
        <f>'ADJ SUMMARY'!E45</f>
        <v>0</v>
      </c>
      <c r="G44" s="23">
        <f t="shared" si="5"/>
        <v>0</v>
      </c>
      <c r="I44" s="144">
        <f t="shared" si="0"/>
        <v>0</v>
      </c>
    </row>
    <row r="45" spans="1:9">
      <c r="A45" s="414">
        <f>'ADJ SUMMARY'!A46</f>
        <v>3.0799999999999983</v>
      </c>
      <c r="B45" s="142" t="str">
        <f>'ADJ SUMMARY'!C46</f>
        <v>Pro Forma Incentives</v>
      </c>
      <c r="C45" s="24"/>
      <c r="D45" s="24"/>
      <c r="E45" s="28"/>
      <c r="F45" s="144">
        <f>'ADJ SUMMARY'!E46</f>
        <v>0</v>
      </c>
      <c r="G45" s="23">
        <f t="shared" ref="G45" si="6">SUM(E45:F45)</f>
        <v>0</v>
      </c>
      <c r="I45" s="144">
        <f t="shared" ref="I45" si="7">ROUND(F45*$E$71*-$F$78,0)</f>
        <v>0</v>
      </c>
    </row>
    <row r="46" spans="1:9">
      <c r="A46" s="414">
        <f>'ADJ SUMMARY'!A47</f>
        <v>3.0899999999999981</v>
      </c>
      <c r="B46" s="142" t="str">
        <f>'ADJ SUMMARY'!C47</f>
        <v>Pro Forma LIRAP Labor</v>
      </c>
      <c r="C46" s="24"/>
      <c r="D46" s="24"/>
      <c r="E46" s="28"/>
      <c r="F46" s="144">
        <f>'ADJ SUMMARY'!E47</f>
        <v>0</v>
      </c>
      <c r="G46" s="23">
        <f t="shared" si="5"/>
        <v>0</v>
      </c>
      <c r="I46" s="144">
        <f t="shared" ref="I46:I68" si="8">ROUND(F46*$E$71*-$F$78,0)</f>
        <v>0</v>
      </c>
    </row>
    <row r="47" spans="1:9">
      <c r="A47" s="414">
        <f>'ADJ SUMMARY'!A48</f>
        <v>3.0999999999999979</v>
      </c>
      <c r="B47" s="142" t="str">
        <f>'ADJ SUMMARY'!C48</f>
        <v>Pro Forma CCA Labor</v>
      </c>
      <c r="C47" s="24"/>
      <c r="D47" s="24"/>
      <c r="E47" s="28"/>
      <c r="F47" s="144">
        <f>'ADJ SUMMARY'!E48</f>
        <v>0</v>
      </c>
      <c r="G47" s="23">
        <f t="shared" si="5"/>
        <v>0</v>
      </c>
      <c r="I47" s="144">
        <f t="shared" si="8"/>
        <v>0</v>
      </c>
    </row>
    <row r="48" spans="1:9">
      <c r="A48" s="414">
        <f>'ADJ SUMMARY'!A49</f>
        <v>3.1099999999999977</v>
      </c>
      <c r="B48" s="142" t="str">
        <f>'ADJ SUMMARY'!C49</f>
        <v>Pro Forma Property Tax</v>
      </c>
      <c r="C48" s="24"/>
      <c r="D48" s="24"/>
      <c r="E48" s="28"/>
      <c r="F48" s="144">
        <f>'ADJ SUMMARY'!E49</f>
        <v>0</v>
      </c>
      <c r="G48" s="23">
        <f t="shared" si="5"/>
        <v>0</v>
      </c>
      <c r="I48" s="144">
        <f t="shared" si="8"/>
        <v>0</v>
      </c>
    </row>
    <row r="49" spans="1:9">
      <c r="A49" s="414">
        <f>'ADJ SUMMARY'!A50</f>
        <v>3.1199999999999974</v>
      </c>
      <c r="B49" s="142" t="str">
        <f>'ADJ SUMMARY'!C50</f>
        <v>Pro Forma Insurance Expense</v>
      </c>
      <c r="C49" s="24"/>
      <c r="D49" s="24"/>
      <c r="E49" s="28"/>
      <c r="F49" s="144">
        <f>'ADJ SUMMARY'!E50</f>
        <v>0</v>
      </c>
      <c r="G49" s="23">
        <f t="shared" si="5"/>
        <v>0</v>
      </c>
      <c r="I49" s="144">
        <f t="shared" si="8"/>
        <v>0</v>
      </c>
    </row>
    <row r="50" spans="1:9">
      <c r="A50" s="414">
        <f>'ADJ SUMMARY'!A51</f>
        <v>3.1299999999999972</v>
      </c>
      <c r="B50" s="142" t="str">
        <f>'ADJ SUMMARY'!C51</f>
        <v>Pro Forma IS/IT Expense</v>
      </c>
      <c r="C50" s="24"/>
      <c r="D50" s="24"/>
      <c r="E50" s="28"/>
      <c r="F50" s="144">
        <f>'ADJ SUMMARY'!E51</f>
        <v>0</v>
      </c>
      <c r="G50" s="23">
        <f t="shared" si="5"/>
        <v>0</v>
      </c>
      <c r="I50" s="144">
        <f t="shared" si="8"/>
        <v>0</v>
      </c>
    </row>
    <row r="51" spans="1:9">
      <c r="A51" s="414">
        <f>'ADJ SUMMARY'!A52</f>
        <v>3.139999999999997</v>
      </c>
      <c r="B51" s="142" t="str">
        <f>'ADJ SUMMARY'!C52</f>
        <v>Pro Forma Misc O&amp;M Exp</v>
      </c>
      <c r="C51" s="24"/>
      <c r="D51" s="24"/>
      <c r="E51" s="28"/>
      <c r="F51" s="144">
        <f>'ADJ SUMMARY'!E52</f>
        <v>0</v>
      </c>
      <c r="G51" s="23">
        <f t="shared" si="5"/>
        <v>0</v>
      </c>
      <c r="I51" s="144">
        <f t="shared" si="8"/>
        <v>0</v>
      </c>
    </row>
    <row r="52" spans="1:9">
      <c r="A52" s="414">
        <f>'ADJ SUMMARY'!A53</f>
        <v>3.1499999999999968</v>
      </c>
      <c r="B52" s="142" t="str">
        <f>'ADJ SUMMARY'!C53</f>
        <v>Pro Forma Capital Additions to 12.31.2023 EOP</v>
      </c>
      <c r="C52" s="24"/>
      <c r="D52" s="24"/>
      <c r="E52" s="28"/>
      <c r="F52" s="144">
        <f>'ADJ SUMMARY'!E53</f>
        <v>83421.310559021265</v>
      </c>
      <c r="G52" s="23">
        <f t="shared" ref="G52:G53" si="9">SUM(E52:F52)</f>
        <v>83421.310559021265</v>
      </c>
      <c r="I52" s="144">
        <f t="shared" si="8"/>
        <v>-450</v>
      </c>
    </row>
    <row r="53" spans="1:9">
      <c r="A53" s="414">
        <f>'ADJ SUMMARY'!A54</f>
        <v>3.1599999999999966</v>
      </c>
      <c r="B53" s="142" t="str">
        <f>'ADJ SUMMARY'!C54</f>
        <v>Pro Forma Depreciation Expense</v>
      </c>
      <c r="C53" s="24"/>
      <c r="D53" s="24"/>
      <c r="E53" s="28"/>
      <c r="F53" s="144">
        <f>'ADJ SUMMARY'!E54</f>
        <v>0</v>
      </c>
      <c r="G53" s="23">
        <f t="shared" si="9"/>
        <v>0</v>
      </c>
      <c r="I53" s="144">
        <f t="shared" si="8"/>
        <v>0</v>
      </c>
    </row>
    <row r="54" spans="1:9">
      <c r="A54" s="414">
        <f>'ADJ SUMMARY'!A55</f>
        <v>3.1699999999999964</v>
      </c>
      <c r="B54" s="142" t="str">
        <f>'ADJ SUMMARY'!C55</f>
        <v>Pro Forma Capital Additions to 12.31.2024 EOP</v>
      </c>
      <c r="C54" s="24"/>
      <c r="D54" s="24"/>
      <c r="E54" s="28"/>
      <c r="F54" s="144">
        <f>'ADJ SUMMARY'!E55</f>
        <v>70224.200000000012</v>
      </c>
      <c r="G54" s="23">
        <f t="shared" si="5"/>
        <v>70224.200000000012</v>
      </c>
      <c r="I54" s="144">
        <f t="shared" si="8"/>
        <v>-379</v>
      </c>
    </row>
    <row r="55" spans="1:9">
      <c r="A55" s="414">
        <f>'ADJ SUMMARY'!A56</f>
        <v>3.1799999999999962</v>
      </c>
      <c r="B55" s="142" t="str">
        <f>'ADJ SUMMARY'!C56</f>
        <v>Pro Forma New Regulatory Amortizations</v>
      </c>
      <c r="C55" s="24"/>
      <c r="D55" s="24"/>
      <c r="E55" s="28"/>
      <c r="F55" s="144">
        <f>'ADJ SUMMARY'!E56</f>
        <v>0</v>
      </c>
      <c r="G55" s="23">
        <f t="shared" si="5"/>
        <v>0</v>
      </c>
      <c r="I55" s="144">
        <f t="shared" si="8"/>
        <v>0</v>
      </c>
    </row>
    <row r="56" spans="1:9">
      <c r="A56" s="414">
        <f>'ADJ SUMMARY'!A57</f>
        <v>3.1899999999999959</v>
      </c>
      <c r="B56" s="142" t="str">
        <f>'ADJ SUMMARY'!C57</f>
        <v>Pro Forma Nucleus/ETRM Expense</v>
      </c>
      <c r="C56" s="24"/>
      <c r="D56" s="24"/>
      <c r="E56" s="28"/>
      <c r="F56" s="144">
        <f>'ADJ SUMMARY'!E57</f>
        <v>0</v>
      </c>
      <c r="G56" s="23">
        <f t="shared" si="5"/>
        <v>0</v>
      </c>
      <c r="I56" s="144">
        <f t="shared" si="8"/>
        <v>0</v>
      </c>
    </row>
    <row r="57" spans="1:9">
      <c r="A57" s="414">
        <f>'ADJ SUMMARY'!A58</f>
        <v>3.1999999999999957</v>
      </c>
      <c r="B57" s="142" t="str">
        <f>'ADJ SUMMARY'!C58</f>
        <v>Pro Forma BOD Fees Expense</v>
      </c>
      <c r="C57" s="24"/>
      <c r="D57" s="24"/>
      <c r="E57" s="28"/>
      <c r="F57" s="144">
        <f>'ADJ SUMMARY'!E58</f>
        <v>0</v>
      </c>
      <c r="G57" s="23">
        <f t="shared" ref="G57" si="10">SUM(E57:F57)</f>
        <v>0</v>
      </c>
      <c r="I57" s="144">
        <f t="shared" ref="I57" si="11">ROUND(F57*$E$71*-$F$78,0)</f>
        <v>0</v>
      </c>
    </row>
    <row r="58" spans="1:9">
      <c r="A58" s="414">
        <f>'ADJ SUMMARY'!A59</f>
        <v>3.2099999999999955</v>
      </c>
      <c r="B58" s="142" t="str">
        <f>'ADJ SUMMARY'!C59</f>
        <v>PF Transportation Electrification Return (Kicker)</v>
      </c>
      <c r="C58" s="24"/>
      <c r="D58" s="24"/>
      <c r="E58" s="28"/>
      <c r="F58" s="144">
        <f>'ADJ SUMMARY'!E59</f>
        <v>0</v>
      </c>
      <c r="G58" s="23">
        <f t="shared" si="5"/>
        <v>0</v>
      </c>
      <c r="I58" s="144">
        <f t="shared" si="8"/>
        <v>0</v>
      </c>
    </row>
    <row r="59" spans="1:9">
      <c r="A59" s="414">
        <f>'ADJ SUMMARY'!A60</f>
        <v>3.2199999999999953</v>
      </c>
      <c r="B59" s="142" t="str">
        <f>'ADJ SUMMARY'!C60</f>
        <v>Pro Forma Remove Normalize CS2 Major Maint</v>
      </c>
      <c r="C59" s="24"/>
      <c r="D59" s="24"/>
      <c r="E59" s="28"/>
      <c r="F59" s="144">
        <f>'ADJ SUMMARY'!E60</f>
        <v>0</v>
      </c>
      <c r="G59" s="23">
        <f t="shared" si="5"/>
        <v>0</v>
      </c>
      <c r="I59" s="144">
        <f t="shared" si="8"/>
        <v>0</v>
      </c>
    </row>
    <row r="60" spans="1:9">
      <c r="A60" s="414">
        <f>'ADJ SUMMARY'!A61</f>
        <v>3.2299999999999951</v>
      </c>
      <c r="B60" s="142" t="str">
        <f>'ADJ SUMMARY'!C61</f>
        <v>Pro Forma PPA Interest</v>
      </c>
      <c r="C60" s="24"/>
      <c r="D60" s="24"/>
      <c r="E60" s="28"/>
      <c r="F60" s="144">
        <f>'ADJ SUMMARY'!E61</f>
        <v>0</v>
      </c>
      <c r="G60" s="23">
        <f t="shared" si="5"/>
        <v>0</v>
      </c>
      <c r="I60" s="144">
        <f t="shared" si="8"/>
        <v>0</v>
      </c>
    </row>
    <row r="61" spans="1:9">
      <c r="A61" s="414">
        <f>'ADJ SUMMARY'!A62</f>
        <v>3.2399999999999949</v>
      </c>
      <c r="B61" s="142" t="str">
        <f>'ADJ SUMMARY'!C62</f>
        <v>Pro Forma Wildfire Expense</v>
      </c>
      <c r="C61" s="24"/>
      <c r="D61" s="24"/>
      <c r="E61" s="28"/>
      <c r="F61" s="144">
        <f>'ADJ SUMMARY'!E62</f>
        <v>0</v>
      </c>
      <c r="G61" s="23">
        <f t="shared" si="5"/>
        <v>0</v>
      </c>
      <c r="I61" s="144">
        <f t="shared" si="8"/>
        <v>0</v>
      </c>
    </row>
    <row r="62" spans="1:9">
      <c r="A62" s="414">
        <f>'ADJ SUMMARY'!A63</f>
        <v>4.01</v>
      </c>
      <c r="B62" s="142" t="str">
        <f>'ADJ SUMMARY'!C63</f>
        <v>Provisional Capital Additions to 12.31.2025 AMA</v>
      </c>
      <c r="C62" s="24"/>
      <c r="D62" s="24"/>
      <c r="E62" s="28"/>
      <c r="F62" s="144">
        <f>'ADJ SUMMARY'!E63</f>
        <v>25760.870174959498</v>
      </c>
      <c r="G62" s="23">
        <f t="shared" si="5"/>
        <v>25760.870174959498</v>
      </c>
      <c r="I62" s="144">
        <f t="shared" si="8"/>
        <v>-139</v>
      </c>
    </row>
    <row r="63" spans="1:9">
      <c r="A63" s="414">
        <f>'ADJ SUMMARY'!A64</f>
        <v>4.0199999999999996</v>
      </c>
      <c r="B63" s="142" t="str">
        <f>'ADJ SUMMARY'!C64</f>
        <v>2024-2025 Capital Adds O&amp;M &amp; Revenue Offsets</v>
      </c>
      <c r="C63" s="24"/>
      <c r="D63" s="24"/>
      <c r="E63" s="28"/>
      <c r="F63" s="144">
        <f>'ADJ SUMMARY'!E64</f>
        <v>0</v>
      </c>
      <c r="G63" s="23">
        <f t="shared" si="5"/>
        <v>0</v>
      </c>
      <c r="I63" s="144">
        <f t="shared" si="8"/>
        <v>0</v>
      </c>
    </row>
    <row r="64" spans="1:9" hidden="1" outlineLevel="1">
      <c r="A64" s="414">
        <f>'ADJ SUMMARY'!A65</f>
        <v>0</v>
      </c>
      <c r="B64" s="142" t="str">
        <f>'ADJ SUMMARY'!C65</f>
        <v/>
      </c>
      <c r="C64" s="24"/>
      <c r="D64" s="24"/>
      <c r="E64" s="28"/>
      <c r="F64" s="144">
        <f>'ADJ SUMMARY'!E65</f>
        <v>0</v>
      </c>
      <c r="G64" s="23">
        <f t="shared" si="5"/>
        <v>0</v>
      </c>
      <c r="I64" s="144">
        <f t="shared" si="8"/>
        <v>0</v>
      </c>
    </row>
    <row r="65" spans="1:12" hidden="1" outlineLevel="1">
      <c r="A65" s="414">
        <f>'ADJ SUMMARY'!A66</f>
        <v>0</v>
      </c>
      <c r="B65" s="142" t="str">
        <f>'ADJ SUMMARY'!C66</f>
        <v/>
      </c>
      <c r="C65" s="24"/>
      <c r="D65" s="24"/>
      <c r="E65" s="28"/>
      <c r="F65" s="144">
        <f>'ADJ SUMMARY'!E66</f>
        <v>0</v>
      </c>
      <c r="G65" s="23">
        <f t="shared" ref="G65:G68" si="12">SUM(E65:F65)</f>
        <v>0</v>
      </c>
      <c r="I65" s="144">
        <f t="shared" si="8"/>
        <v>0</v>
      </c>
    </row>
    <row r="66" spans="1:12" hidden="1" outlineLevel="1">
      <c r="A66" s="414">
        <f>'ADJ SUMMARY'!A67</f>
        <v>0</v>
      </c>
      <c r="B66" s="142" t="str">
        <f>'ADJ SUMMARY'!C67</f>
        <v/>
      </c>
      <c r="C66" s="24"/>
      <c r="D66" s="24"/>
      <c r="E66" s="28"/>
      <c r="F66" s="144">
        <f>'ADJ SUMMARY'!E67</f>
        <v>0</v>
      </c>
      <c r="G66" s="23">
        <f t="shared" si="12"/>
        <v>0</v>
      </c>
      <c r="I66" s="144">
        <f t="shared" si="8"/>
        <v>0</v>
      </c>
    </row>
    <row r="67" spans="1:12" hidden="1" outlineLevel="1">
      <c r="A67" s="414">
        <f>'ADJ SUMMARY'!A68</f>
        <v>0</v>
      </c>
      <c r="B67" s="142" t="str">
        <f>'ADJ SUMMARY'!C68</f>
        <v/>
      </c>
      <c r="C67" s="24"/>
      <c r="D67" s="24"/>
      <c r="E67" s="28"/>
      <c r="F67" s="144">
        <f>'ADJ SUMMARY'!E68</f>
        <v>0</v>
      </c>
      <c r="G67" s="23">
        <f t="shared" si="12"/>
        <v>0</v>
      </c>
      <c r="I67" s="144">
        <f t="shared" si="8"/>
        <v>0</v>
      </c>
    </row>
    <row r="68" spans="1:12" hidden="1" outlineLevel="1">
      <c r="A68" s="414">
        <f>'ADJ SUMMARY'!A69</f>
        <v>0</v>
      </c>
      <c r="B68" s="142" t="str">
        <f>'ADJ SUMMARY'!C69</f>
        <v/>
      </c>
      <c r="C68" s="24"/>
      <c r="D68" s="24"/>
      <c r="E68" s="199"/>
      <c r="F68" s="275">
        <f>'ADJ SUMMARY'!E69</f>
        <v>0</v>
      </c>
      <c r="G68" s="200">
        <f t="shared" si="12"/>
        <v>0</v>
      </c>
      <c r="H68" s="200"/>
      <c r="I68" s="275">
        <f t="shared" si="8"/>
        <v>0</v>
      </c>
    </row>
    <row r="69" spans="1:12" collapsed="1">
      <c r="B69" s="142" t="s">
        <v>559</v>
      </c>
      <c r="C69" s="24"/>
      <c r="D69" s="24"/>
      <c r="E69" s="42">
        <f>SUM(E11:E68)</f>
        <v>2109184.7999999998</v>
      </c>
      <c r="F69" s="42">
        <f>SUM(F11:F68)</f>
        <v>200631.98073398077</v>
      </c>
      <c r="G69" s="42">
        <f>SUM(G11:G68)</f>
        <v>2309816.7807339807</v>
      </c>
      <c r="H69" s="28"/>
      <c r="I69" s="42"/>
      <c r="K69" s="446">
        <f>G69-'ADJ SUMMARY'!E70</f>
        <v>0</v>
      </c>
      <c r="L69" s="447" t="s">
        <v>552</v>
      </c>
    </row>
    <row r="70" spans="1:12" ht="5.25" customHeight="1">
      <c r="C70" s="24"/>
      <c r="D70" s="24"/>
      <c r="E70" s="42"/>
      <c r="F70" s="42"/>
      <c r="G70" s="42"/>
    </row>
    <row r="71" spans="1:12">
      <c r="B71" s="40" t="s">
        <v>157</v>
      </c>
      <c r="C71" s="24"/>
      <c r="D71" s="24"/>
      <c r="E71" s="94">
        <f>'RR Summary'!N13</f>
        <v>2.5700000000000001E-2</v>
      </c>
      <c r="F71" s="94">
        <f>E71-I71</f>
        <v>2.5700000000000001E-2</v>
      </c>
      <c r="G71" s="44"/>
      <c r="I71" s="94"/>
    </row>
    <row r="72" spans="1:12" ht="6" customHeight="1">
      <c r="C72" s="24"/>
      <c r="D72" s="24"/>
      <c r="E72" s="42"/>
      <c r="F72" s="42"/>
      <c r="G72" s="42"/>
    </row>
    <row r="73" spans="1:12">
      <c r="B73" s="40" t="s">
        <v>138</v>
      </c>
      <c r="C73" s="24"/>
      <c r="D73" s="24"/>
      <c r="E73" s="42">
        <f>E69*E71</f>
        <v>54206.049359999997</v>
      </c>
      <c r="F73" s="42">
        <f>F69*F71</f>
        <v>5156.2419048633064</v>
      </c>
      <c r="G73" s="42">
        <f>SUM(E73:F73)</f>
        <v>59362.291264863306</v>
      </c>
      <c r="I73" s="42">
        <f>SUM(I11:I68)</f>
        <v>-856.78000000000065</v>
      </c>
    </row>
    <row r="74" spans="1:12">
      <c r="C74" s="24"/>
      <c r="D74" s="24"/>
      <c r="E74" s="42"/>
      <c r="F74" s="42"/>
      <c r="G74" s="42"/>
      <c r="I74" s="42"/>
    </row>
    <row r="75" spans="1:12">
      <c r="B75" s="40" t="s">
        <v>523</v>
      </c>
      <c r="C75" s="24"/>
      <c r="D75" s="288" t="s">
        <v>678</v>
      </c>
      <c r="E75" s="444">
        <v>55282</v>
      </c>
      <c r="F75" s="146"/>
      <c r="G75" s="44">
        <f>SUM(E75:F75)</f>
        <v>55282</v>
      </c>
      <c r="I75" s="146"/>
    </row>
    <row r="76" spans="1:12" ht="5.25" customHeight="1">
      <c r="C76" s="24"/>
      <c r="D76" s="24"/>
      <c r="E76" s="42"/>
      <c r="F76" s="42"/>
      <c r="G76" s="42"/>
      <c r="I76" s="42"/>
    </row>
    <row r="77" spans="1:12">
      <c r="B77" s="40" t="s">
        <v>140</v>
      </c>
      <c r="C77" s="24"/>
      <c r="D77" s="24"/>
      <c r="E77" s="42">
        <f>E73-E75</f>
        <v>-1075.9506400000027</v>
      </c>
      <c r="F77" s="42">
        <f>F73-F75</f>
        <v>5156.2419048633064</v>
      </c>
      <c r="G77" s="42">
        <f>SUM(E77:F77)</f>
        <v>4080.2912648633037</v>
      </c>
      <c r="I77" s="42"/>
    </row>
    <row r="78" spans="1:12" ht="18" customHeight="1">
      <c r="B78" s="40" t="s">
        <v>141</v>
      </c>
      <c r="D78" s="24"/>
      <c r="E78" s="147">
        <v>0.21</v>
      </c>
      <c r="F78" s="147">
        <v>0.21</v>
      </c>
      <c r="G78" s="44"/>
      <c r="I78" s="147"/>
    </row>
    <row r="79" spans="1:12" ht="5.25" customHeight="1" thickBot="1">
      <c r="D79" s="24"/>
      <c r="E79" s="42"/>
      <c r="F79" s="42"/>
      <c r="G79" s="42"/>
      <c r="I79" s="42"/>
    </row>
    <row r="80" spans="1:12" ht="13.5" thickBot="1">
      <c r="B80" s="40" t="s">
        <v>142</v>
      </c>
      <c r="D80" s="24"/>
      <c r="E80" s="155">
        <f>ROUND(E77*-E78,0)</f>
        <v>226</v>
      </c>
      <c r="F80" s="55">
        <f>ROUND(F77*-F78,0)</f>
        <v>-1083</v>
      </c>
      <c r="G80" s="55">
        <f>SUM(E80:F80)</f>
        <v>-857</v>
      </c>
      <c r="I80" s="55">
        <f>I73</f>
        <v>-856.78000000000065</v>
      </c>
      <c r="J80" s="154" t="s">
        <v>556</v>
      </c>
      <c r="K80" s="23">
        <f>'ADJ DETAIL-INPUT'!BL52+'ADJ DETAIL-INPUT'!W51-I80</f>
        <v>-3.0800021293543978E-2</v>
      </c>
    </row>
    <row r="81" spans="1:9" ht="13.5" thickTop="1">
      <c r="D81" s="24"/>
      <c r="E81" s="156">
        <f>E8</f>
        <v>2.139999999999997</v>
      </c>
      <c r="F81" s="43"/>
      <c r="G81" s="43"/>
      <c r="I81" s="43"/>
    </row>
    <row r="82" spans="1:9" ht="13.5" thickBot="1">
      <c r="E82" s="157" t="s">
        <v>24</v>
      </c>
    </row>
    <row r="83" spans="1:9" hidden="1">
      <c r="A83" s="416" t="s">
        <v>223</v>
      </c>
      <c r="B83" s="143" t="s">
        <v>222</v>
      </c>
    </row>
    <row r="84" spans="1:9" hidden="1">
      <c r="B84" s="141" t="s">
        <v>139</v>
      </c>
    </row>
    <row r="85" spans="1:9" hidden="1">
      <c r="B85" s="40" t="s">
        <v>143</v>
      </c>
      <c r="C85" s="47">
        <v>2430</v>
      </c>
      <c r="H85" s="23" t="s">
        <v>217</v>
      </c>
    </row>
    <row r="86" spans="1:9" hidden="1">
      <c r="B86" s="40" t="s">
        <v>144</v>
      </c>
      <c r="C86" s="46">
        <v>2935</v>
      </c>
      <c r="H86" s="23" t="s">
        <v>217</v>
      </c>
    </row>
    <row r="87" spans="1:9" hidden="1">
      <c r="B87" s="40" t="s">
        <v>145</v>
      </c>
      <c r="C87" s="29">
        <f>C85+C86</f>
        <v>5365</v>
      </c>
    </row>
    <row r="88" spans="1:9" hidden="1">
      <c r="C88" s="28"/>
    </row>
    <row r="89" spans="1:9" hidden="1">
      <c r="C89" s="33"/>
      <c r="D89" s="25"/>
      <c r="E89" s="25" t="s">
        <v>146</v>
      </c>
    </row>
    <row r="90" spans="1:9" hidden="1">
      <c r="C90" s="27" t="s">
        <v>124</v>
      </c>
      <c r="D90" s="27" t="s">
        <v>147</v>
      </c>
      <c r="E90" s="27" t="s">
        <v>30</v>
      </c>
    </row>
    <row r="91" spans="1:9" hidden="1">
      <c r="B91" s="40" t="s">
        <v>148</v>
      </c>
      <c r="C91" s="28" t="e">
        <f>#REF!</f>
        <v>#REF!</v>
      </c>
      <c r="D91" s="30" t="e">
        <f>ROUND(C91/$C$94,4)</f>
        <v>#REF!</v>
      </c>
      <c r="E91" s="28" t="e">
        <f>D91*E94</f>
        <v>#REF!</v>
      </c>
      <c r="F91" s="50"/>
    </row>
    <row r="92" spans="1:9" hidden="1">
      <c r="B92" s="40" t="s">
        <v>149</v>
      </c>
      <c r="C92" s="23" t="e">
        <f>#REF!</f>
        <v>#REF!</v>
      </c>
      <c r="D92" s="30" t="e">
        <f>ROUND(C92/$C$94,4)</f>
        <v>#REF!</v>
      </c>
      <c r="E92" s="23" t="e">
        <f>D92*E94</f>
        <v>#REF!</v>
      </c>
    </row>
    <row r="93" spans="1:9" hidden="1">
      <c r="B93" s="40" t="s">
        <v>150</v>
      </c>
      <c r="C93" s="23" t="e">
        <f>#REF!</f>
        <v>#REF!</v>
      </c>
      <c r="D93" s="30" t="e">
        <f>ROUND(C93/$C$94,4)-0.0001</f>
        <v>#REF!</v>
      </c>
      <c r="E93" s="23" t="e">
        <f>E94*D93</f>
        <v>#REF!</v>
      </c>
    </row>
    <row r="94" spans="1:9" hidden="1">
      <c r="B94" s="40" t="s">
        <v>151</v>
      </c>
      <c r="C94" s="29" t="e">
        <f>C91+C92+C93</f>
        <v>#REF!</v>
      </c>
      <c r="D94" s="34" t="e">
        <f>D91+D92+D93</f>
        <v>#REF!</v>
      </c>
      <c r="E94" s="29">
        <f>C87</f>
        <v>5365</v>
      </c>
    </row>
    <row r="95" spans="1:9" hidden="1"/>
    <row r="96" spans="1:9" hidden="1">
      <c r="B96" s="40" t="s">
        <v>152</v>
      </c>
      <c r="C96" s="28" t="e">
        <f>#REF!</f>
        <v>#REF!</v>
      </c>
      <c r="D96" s="30" t="e">
        <f>C96/C98</f>
        <v>#REF!</v>
      </c>
      <c r="E96" s="28" t="e">
        <f>D96*E98</f>
        <v>#REF!</v>
      </c>
    </row>
    <row r="97" spans="1:6" hidden="1">
      <c r="B97" s="40" t="s">
        <v>153</v>
      </c>
      <c r="C97" s="23" t="e">
        <f>#REF!</f>
        <v>#REF!</v>
      </c>
      <c r="D97" s="30" t="e">
        <f>C97/C98</f>
        <v>#REF!</v>
      </c>
      <c r="E97" s="23" t="e">
        <f>D97*E98</f>
        <v>#REF!</v>
      </c>
    </row>
    <row r="98" spans="1:6" hidden="1">
      <c r="B98" s="40" t="s">
        <v>151</v>
      </c>
      <c r="C98" s="29" t="e">
        <f>C96+C97</f>
        <v>#REF!</v>
      </c>
      <c r="D98" s="34" t="e">
        <f>D96+D97</f>
        <v>#REF!</v>
      </c>
      <c r="E98" s="29" t="e">
        <f>E91</f>
        <v>#REF!</v>
      </c>
    </row>
    <row r="99" spans="1:6" hidden="1"/>
    <row r="100" spans="1:6" hidden="1">
      <c r="B100" s="40" t="s">
        <v>154</v>
      </c>
      <c r="C100" s="28" t="e">
        <f>#REF!</f>
        <v>#REF!</v>
      </c>
      <c r="D100" s="41" t="e">
        <f>C100/C102</f>
        <v>#REF!</v>
      </c>
      <c r="E100" s="28" t="e">
        <f>E102*D100</f>
        <v>#REF!</v>
      </c>
    </row>
    <row r="101" spans="1:6" hidden="1">
      <c r="B101" s="40" t="s">
        <v>155</v>
      </c>
      <c r="C101" s="23" t="e">
        <f>#REF!</f>
        <v>#REF!</v>
      </c>
      <c r="D101" s="36" t="e">
        <f>C101/C102</f>
        <v>#REF!</v>
      </c>
      <c r="E101" s="23" t="e">
        <f>E102*D101</f>
        <v>#REF!</v>
      </c>
    </row>
    <row r="102" spans="1:6" hidden="1">
      <c r="B102" s="40" t="s">
        <v>151</v>
      </c>
      <c r="C102" s="29" t="e">
        <f>SUM(C100:C101)</f>
        <v>#REF!</v>
      </c>
      <c r="D102" s="37" t="e">
        <f>SUM(D100:D101)</f>
        <v>#REF!</v>
      </c>
      <c r="E102" s="29" t="e">
        <f>E92</f>
        <v>#REF!</v>
      </c>
    </row>
    <row r="103" spans="1:6" hidden="1">
      <c r="A103" s="417" t="str">
        <f>A1</f>
        <v>AVISTA UTILITIES</v>
      </c>
      <c r="C103" s="21"/>
      <c r="D103" s="22"/>
      <c r="E103" s="21"/>
      <c r="F103" s="22"/>
    </row>
    <row r="104" spans="1:6" hidden="1">
      <c r="A104" s="417" t="str">
        <f>A2</f>
        <v>Restate Debt Interest</v>
      </c>
      <c r="C104" s="21"/>
      <c r="D104" s="22"/>
      <c r="E104" s="21"/>
      <c r="F104" s="22"/>
    </row>
    <row r="105" spans="1:6" hidden="1">
      <c r="A105" s="417" t="s">
        <v>158</v>
      </c>
      <c r="C105" s="21"/>
      <c r="D105" s="22"/>
      <c r="E105" s="21"/>
      <c r="F105" s="22"/>
    </row>
    <row r="106" spans="1:6" hidden="1">
      <c r="A106" s="418" t="str">
        <f>A4</f>
        <v>TWELVE MONTHS ENDED JUNE 30, 2023</v>
      </c>
      <c r="C106" s="21"/>
      <c r="D106" s="22"/>
      <c r="E106" s="21"/>
      <c r="F106" s="22"/>
    </row>
    <row r="107" spans="1:6" hidden="1">
      <c r="A107" s="415" t="s">
        <v>135</v>
      </c>
      <c r="C107" s="21"/>
      <c r="D107" s="22"/>
      <c r="E107" s="22"/>
      <c r="F107" s="22"/>
    </row>
    <row r="108" spans="1:6" hidden="1">
      <c r="C108" s="24"/>
      <c r="D108" s="24"/>
      <c r="E108" s="26"/>
      <c r="F108" s="25" t="s">
        <v>23</v>
      </c>
    </row>
    <row r="109" spans="1:6" hidden="1">
      <c r="B109" s="141" t="s">
        <v>136</v>
      </c>
      <c r="C109" s="24"/>
      <c r="D109" s="24"/>
      <c r="E109" s="26"/>
      <c r="F109" s="27" t="s">
        <v>137</v>
      </c>
    </row>
    <row r="110" spans="1:6" hidden="1">
      <c r="A110" s="415" t="e">
        <f>'ADJ SUMMARY'!#REF!</f>
        <v>#REF!</v>
      </c>
      <c r="B110" s="40" t="e">
        <f>'ADJ SUMMARY'!#REF!</f>
        <v>#REF!</v>
      </c>
      <c r="C110" s="24"/>
      <c r="D110" s="24"/>
      <c r="E110" s="28"/>
      <c r="F110" s="49" t="e">
        <f>'ADJ SUMMARY'!#REF!</f>
        <v>#REF!</v>
      </c>
    </row>
    <row r="111" spans="1:6" hidden="1">
      <c r="A111" s="415" t="e">
        <f>'ADJ SUMMARY'!#REF!</f>
        <v>#REF!</v>
      </c>
      <c r="B111" s="40" t="e">
        <f>'ADJ SUMMARY'!#REF!</f>
        <v>#REF!</v>
      </c>
      <c r="C111" s="24"/>
      <c r="D111" s="24"/>
      <c r="E111" s="28"/>
      <c r="F111" s="49" t="e">
        <f>'ADJ SUMMARY'!#REF!</f>
        <v>#REF!</v>
      </c>
    </row>
    <row r="112" spans="1:6" hidden="1">
      <c r="A112" s="415" t="e">
        <f>'ADJ SUMMARY'!#REF!</f>
        <v>#REF!</v>
      </c>
      <c r="B112" s="40" t="e">
        <f>'ADJ SUMMARY'!#REF!</f>
        <v>#REF!</v>
      </c>
      <c r="C112" s="24"/>
      <c r="D112" s="24"/>
      <c r="E112" s="28"/>
      <c r="F112" s="49" t="e">
        <f>'ADJ SUMMARY'!#REF!</f>
        <v>#REF!</v>
      </c>
    </row>
    <row r="113" spans="1:6" hidden="1">
      <c r="A113" s="415" t="e">
        <f>'ADJ SUMMARY'!#REF!</f>
        <v>#REF!</v>
      </c>
      <c r="B113" s="40" t="e">
        <f>'ADJ SUMMARY'!#REF!</f>
        <v>#REF!</v>
      </c>
      <c r="C113" s="24"/>
      <c r="D113" s="24"/>
      <c r="E113" s="28"/>
      <c r="F113" s="49" t="e">
        <f>'ADJ SUMMARY'!#REF!</f>
        <v>#REF!</v>
      </c>
    </row>
    <row r="114" spans="1:6" hidden="1">
      <c r="A114" s="415" t="e">
        <f>'ADJ SUMMARY'!#REF!</f>
        <v>#REF!</v>
      </c>
      <c r="B114" s="40" t="e">
        <f>'ADJ SUMMARY'!#REF!</f>
        <v>#REF!</v>
      </c>
      <c r="C114" s="24"/>
      <c r="D114" s="24"/>
      <c r="E114" s="28"/>
      <c r="F114" s="49" t="e">
        <f>'ADJ SUMMARY'!#REF!</f>
        <v>#REF!</v>
      </c>
    </row>
    <row r="115" spans="1:6" hidden="1">
      <c r="A115" s="415" t="e">
        <f>'ADJ SUMMARY'!#REF!</f>
        <v>#REF!</v>
      </c>
      <c r="B115" s="40" t="e">
        <f>'ADJ SUMMARY'!#REF!</f>
        <v>#REF!</v>
      </c>
      <c r="C115" s="24"/>
      <c r="D115" s="24"/>
      <c r="E115" s="28"/>
      <c r="F115" s="49" t="e">
        <f>'ADJ SUMMARY'!#REF!</f>
        <v>#REF!</v>
      </c>
    </row>
    <row r="116" spans="1:6" hidden="1">
      <c r="A116" s="415" t="e">
        <f>'ADJ SUMMARY'!#REF!</f>
        <v>#REF!</v>
      </c>
      <c r="B116" s="40" t="e">
        <f>'ADJ SUMMARY'!#REF!</f>
        <v>#REF!</v>
      </c>
      <c r="C116" s="24"/>
      <c r="D116" s="24"/>
      <c r="E116" s="28"/>
      <c r="F116" s="49" t="e">
        <f>'ADJ SUMMARY'!#REF!</f>
        <v>#REF!</v>
      </c>
    </row>
    <row r="117" spans="1:6" hidden="1">
      <c r="A117" s="415" t="e">
        <f>'ADJ SUMMARY'!#REF!</f>
        <v>#REF!</v>
      </c>
      <c r="B117" s="40" t="e">
        <f>'ADJ SUMMARY'!#REF!</f>
        <v>#REF!</v>
      </c>
      <c r="C117" s="24"/>
      <c r="D117" s="24"/>
      <c r="E117" s="28"/>
      <c r="F117" s="49" t="e">
        <f>'ADJ SUMMARY'!#REF!</f>
        <v>#REF!</v>
      </c>
    </row>
    <row r="118" spans="1:6" hidden="1">
      <c r="A118" s="415" t="e">
        <f>'ADJ SUMMARY'!#REF!</f>
        <v>#REF!</v>
      </c>
      <c r="B118" s="40" t="e">
        <f>'ADJ SUMMARY'!#REF!</f>
        <v>#REF!</v>
      </c>
      <c r="C118" s="24"/>
      <c r="D118" s="24"/>
      <c r="E118" s="28"/>
      <c r="F118" s="49" t="e">
        <f>'ADJ SUMMARY'!#REF!</f>
        <v>#REF!</v>
      </c>
    </row>
    <row r="119" spans="1:6" hidden="1">
      <c r="A119" s="415" t="e">
        <f>'ADJ SUMMARY'!#REF!</f>
        <v>#REF!</v>
      </c>
      <c r="B119" s="40" t="e">
        <f>'ADJ SUMMARY'!#REF!</f>
        <v>#REF!</v>
      </c>
      <c r="C119" s="24"/>
      <c r="D119" s="24"/>
      <c r="E119" s="28"/>
      <c r="F119" s="49" t="e">
        <f>'ADJ SUMMARY'!#REF!</f>
        <v>#REF!</v>
      </c>
    </row>
    <row r="120" spans="1:6" hidden="1">
      <c r="A120" s="415" t="e">
        <f>'ADJ SUMMARY'!#REF!</f>
        <v>#REF!</v>
      </c>
      <c r="B120" s="40" t="e">
        <f>'ADJ SUMMARY'!#REF!</f>
        <v>#REF!</v>
      </c>
      <c r="C120" s="24"/>
      <c r="D120" s="24"/>
      <c r="E120" s="28"/>
      <c r="F120" s="49" t="e">
        <f>'ADJ SUMMARY'!#REF!</f>
        <v>#REF!</v>
      </c>
    </row>
    <row r="121" spans="1:6" hidden="1">
      <c r="A121" s="415" t="e">
        <f>'ADJ SUMMARY'!#REF!</f>
        <v>#REF!</v>
      </c>
      <c r="B121" s="40" t="e">
        <f>'ADJ SUMMARY'!#REF!</f>
        <v>#REF!</v>
      </c>
      <c r="C121" s="24"/>
      <c r="D121" s="24"/>
      <c r="E121" s="28"/>
      <c r="F121" s="49" t="e">
        <f>'ADJ SUMMARY'!#REF!</f>
        <v>#REF!</v>
      </c>
    </row>
    <row r="122" spans="1:6" hidden="1">
      <c r="A122" s="415" t="e">
        <f>'ADJ SUMMARY'!#REF!</f>
        <v>#REF!</v>
      </c>
      <c r="B122" s="40" t="e">
        <f>'ADJ SUMMARY'!#REF!</f>
        <v>#REF!</v>
      </c>
      <c r="C122" s="24"/>
      <c r="D122" s="24"/>
      <c r="E122" s="28"/>
      <c r="F122" s="49" t="e">
        <f>'ADJ SUMMARY'!#REF!</f>
        <v>#REF!</v>
      </c>
    </row>
    <row r="123" spans="1:6" hidden="1">
      <c r="A123" s="415" t="e">
        <f>'ADJ SUMMARY'!#REF!</f>
        <v>#REF!</v>
      </c>
      <c r="B123" s="40" t="e">
        <f>'ADJ SUMMARY'!#REF!</f>
        <v>#REF!</v>
      </c>
      <c r="C123" s="24"/>
      <c r="D123" s="24"/>
      <c r="E123" s="28"/>
      <c r="F123" s="49" t="e">
        <f>'ADJ SUMMARY'!#REF!</f>
        <v>#REF!</v>
      </c>
    </row>
    <row r="124" spans="1:6" hidden="1">
      <c r="A124" s="415" t="e">
        <f>'ADJ SUMMARY'!#REF!</f>
        <v>#REF!</v>
      </c>
      <c r="B124" s="40" t="e">
        <f>'ADJ SUMMARY'!#REF!</f>
        <v>#REF!</v>
      </c>
      <c r="C124" s="24"/>
      <c r="D124" s="24"/>
      <c r="E124" s="28"/>
      <c r="F124" s="49" t="e">
        <f>'ADJ SUMMARY'!#REF!</f>
        <v>#REF!</v>
      </c>
    </row>
    <row r="125" spans="1:6" hidden="1">
      <c r="A125" s="415" t="e">
        <f>'ADJ SUMMARY'!#REF!</f>
        <v>#REF!</v>
      </c>
      <c r="B125" s="40" t="e">
        <f>'ADJ SUMMARY'!#REF!</f>
        <v>#REF!</v>
      </c>
      <c r="C125" s="24"/>
      <c r="D125" s="24"/>
      <c r="E125" s="28"/>
      <c r="F125" s="49" t="e">
        <f>'ADJ SUMMARY'!#REF!</f>
        <v>#REF!</v>
      </c>
    </row>
    <row r="126" spans="1:6" hidden="1">
      <c r="A126" s="415" t="e">
        <f>'ADJ SUMMARY'!#REF!</f>
        <v>#REF!</v>
      </c>
      <c r="B126" s="40" t="e">
        <f>'ADJ SUMMARY'!#REF!</f>
        <v>#REF!</v>
      </c>
      <c r="C126" s="24"/>
      <c r="D126" s="24"/>
      <c r="E126" s="28"/>
      <c r="F126" s="49" t="e">
        <f>'ADJ SUMMARY'!#REF!</f>
        <v>#REF!</v>
      </c>
    </row>
    <row r="127" spans="1:6" hidden="1">
      <c r="A127" s="415" t="e">
        <f>'ADJ SUMMARY'!#REF!</f>
        <v>#REF!</v>
      </c>
      <c r="B127" s="40" t="e">
        <f>'ADJ SUMMARY'!#REF!</f>
        <v>#REF!</v>
      </c>
      <c r="C127" s="24"/>
      <c r="D127" s="24"/>
      <c r="E127" s="28"/>
      <c r="F127" s="49" t="e">
        <f>'ADJ SUMMARY'!#REF!</f>
        <v>#REF!</v>
      </c>
    </row>
    <row r="128" spans="1:6" hidden="1">
      <c r="A128" s="415" t="e">
        <f>'ADJ SUMMARY'!#REF!</f>
        <v>#REF!</v>
      </c>
      <c r="B128" s="40" t="e">
        <f>'ADJ SUMMARY'!#REF!</f>
        <v>#REF!</v>
      </c>
      <c r="C128" s="24"/>
      <c r="D128" s="24"/>
      <c r="E128" s="28"/>
      <c r="F128" s="49" t="e">
        <f>'ADJ SUMMARY'!#REF!</f>
        <v>#REF!</v>
      </c>
    </row>
    <row r="129" spans="1:6" hidden="1">
      <c r="A129" s="415" t="e">
        <f>'ADJ SUMMARY'!#REF!</f>
        <v>#REF!</v>
      </c>
      <c r="B129" s="40" t="e">
        <f>'ADJ SUMMARY'!#REF!</f>
        <v>#REF!</v>
      </c>
      <c r="C129" s="24"/>
      <c r="D129" s="24"/>
      <c r="E129" s="28"/>
      <c r="F129" s="49" t="e">
        <f>'ADJ SUMMARY'!#REF!</f>
        <v>#REF!</v>
      </c>
    </row>
    <row r="130" spans="1:6" hidden="1">
      <c r="A130" s="415" t="e">
        <f>'ADJ SUMMARY'!#REF!</f>
        <v>#REF!</v>
      </c>
      <c r="B130" s="40" t="e">
        <f>'ADJ SUMMARY'!#REF!</f>
        <v>#REF!</v>
      </c>
      <c r="C130" s="24"/>
      <c r="D130" s="24"/>
      <c r="E130" s="28"/>
      <c r="F130" s="49" t="e">
        <f>'ADJ SUMMARY'!#REF!</f>
        <v>#REF!</v>
      </c>
    </row>
    <row r="131" spans="1:6" ht="5.25" hidden="1" customHeight="1">
      <c r="C131" s="24"/>
      <c r="D131" s="24"/>
      <c r="E131" s="28"/>
      <c r="F131" s="49"/>
    </row>
    <row r="132" spans="1:6" ht="13.5" hidden="1" customHeight="1">
      <c r="A132" s="415" t="e">
        <f>'ADJ SUMMARY'!#REF!</f>
        <v>#REF!</v>
      </c>
      <c r="B132" s="40" t="e">
        <f>'ADJ SUMMARY'!#REF!</f>
        <v>#REF!</v>
      </c>
      <c r="C132" s="24"/>
      <c r="D132" s="24"/>
      <c r="E132" s="28"/>
      <c r="F132" s="49" t="e">
        <f>'ADJ SUMMARY'!#REF!</f>
        <v>#REF!</v>
      </c>
    </row>
    <row r="133" spans="1:6" hidden="1">
      <c r="A133" s="415" t="e">
        <f>'ADJ SUMMARY'!#REF!</f>
        <v>#REF!</v>
      </c>
      <c r="B133" s="40" t="e">
        <f>'ADJ SUMMARY'!#REF!</f>
        <v>#REF!</v>
      </c>
      <c r="C133" s="24"/>
      <c r="D133" s="24"/>
      <c r="E133" s="28"/>
      <c r="F133" s="49" t="e">
        <f>'ADJ SUMMARY'!#REF!</f>
        <v>#REF!</v>
      </c>
    </row>
    <row r="134" spans="1:6" hidden="1">
      <c r="A134" s="415" t="e">
        <f>'ADJ SUMMARY'!#REF!</f>
        <v>#REF!</v>
      </c>
      <c r="B134" s="40" t="e">
        <f>'ADJ SUMMARY'!#REF!</f>
        <v>#REF!</v>
      </c>
      <c r="C134" s="24"/>
      <c r="D134" s="24"/>
      <c r="E134" s="28"/>
      <c r="F134" s="49" t="e">
        <f>'ADJ SUMMARY'!#REF!</f>
        <v>#REF!</v>
      </c>
    </row>
    <row r="135" spans="1:6" hidden="1">
      <c r="A135" s="415" t="e">
        <f>'ADJ SUMMARY'!#REF!</f>
        <v>#REF!</v>
      </c>
      <c r="B135" s="40" t="e">
        <f>'ADJ SUMMARY'!#REF!</f>
        <v>#REF!</v>
      </c>
      <c r="C135" s="24"/>
      <c r="D135" s="24"/>
      <c r="E135" s="28"/>
      <c r="F135" s="49" t="e">
        <f>'ADJ SUMMARY'!#REF!</f>
        <v>#REF!</v>
      </c>
    </row>
    <row r="136" spans="1:6" hidden="1">
      <c r="A136" s="415" t="e">
        <f>'ADJ SUMMARY'!#REF!</f>
        <v>#REF!</v>
      </c>
      <c r="B136" s="40" t="e">
        <f>'ADJ SUMMARY'!#REF!</f>
        <v>#REF!</v>
      </c>
      <c r="C136" s="24"/>
      <c r="D136" s="24"/>
      <c r="E136" s="28"/>
      <c r="F136" s="49" t="e">
        <f>'ADJ SUMMARY'!#REF!</f>
        <v>#REF!</v>
      </c>
    </row>
    <row r="137" spans="1:6" hidden="1">
      <c r="A137" s="415" t="e">
        <f>'ADJ SUMMARY'!#REF!</f>
        <v>#REF!</v>
      </c>
      <c r="B137" s="40" t="e">
        <f>'ADJ SUMMARY'!#REF!</f>
        <v>#REF!</v>
      </c>
      <c r="C137" s="24"/>
      <c r="D137" s="24"/>
      <c r="E137" s="28"/>
      <c r="F137" s="49" t="e">
        <f>'ADJ SUMMARY'!#REF!</f>
        <v>#REF!</v>
      </c>
    </row>
    <row r="138" spans="1:6" hidden="1">
      <c r="A138" s="415" t="e">
        <f>'ADJ SUMMARY'!#REF!</f>
        <v>#REF!</v>
      </c>
      <c r="B138" s="40" t="e">
        <f>'ADJ SUMMARY'!#REF!</f>
        <v>#REF!</v>
      </c>
      <c r="C138" s="24"/>
      <c r="D138" s="24"/>
      <c r="E138" s="28"/>
      <c r="F138" s="49" t="e">
        <f>'ADJ SUMMARY'!#REF!</f>
        <v>#REF!</v>
      </c>
    </row>
    <row r="139" spans="1:6" hidden="1">
      <c r="A139" s="415" t="e">
        <f>'ADJ SUMMARY'!#REF!</f>
        <v>#REF!</v>
      </c>
      <c r="B139" s="40" t="e">
        <f>'ADJ SUMMARY'!#REF!</f>
        <v>#REF!</v>
      </c>
      <c r="C139" s="24"/>
      <c r="D139" s="24"/>
      <c r="E139" s="28"/>
      <c r="F139" s="49" t="e">
        <f>'ADJ SUMMARY'!#REF!</f>
        <v>#REF!</v>
      </c>
    </row>
    <row r="140" spans="1:6" hidden="1">
      <c r="A140" s="415" t="e">
        <f>'ADJ SUMMARY'!#REF!</f>
        <v>#REF!</v>
      </c>
      <c r="B140" s="40" t="e">
        <f>'ADJ SUMMARY'!#REF!</f>
        <v>#REF!</v>
      </c>
      <c r="C140" s="24"/>
      <c r="D140" s="24"/>
      <c r="E140" s="28"/>
      <c r="F140" s="49" t="e">
        <f>'ADJ SUMMARY'!#REF!</f>
        <v>#REF!</v>
      </c>
    </row>
    <row r="141" spans="1:6" hidden="1">
      <c r="A141" s="415" t="e">
        <f>'ADJ SUMMARY'!#REF!</f>
        <v>#REF!</v>
      </c>
      <c r="B141" s="40" t="e">
        <f>'ADJ SUMMARY'!#REF!</f>
        <v>#REF!</v>
      </c>
      <c r="C141" s="24"/>
      <c r="D141" s="24"/>
      <c r="E141" s="28"/>
      <c r="F141" s="49" t="e">
        <f>'ADJ SUMMARY'!#REF!</f>
        <v>#REF!</v>
      </c>
    </row>
    <row r="142" spans="1:6" hidden="1">
      <c r="A142" s="415" t="e">
        <f>'ADJ SUMMARY'!#REF!</f>
        <v>#REF!</v>
      </c>
      <c r="B142" s="40" t="e">
        <f>'ADJ SUMMARY'!#REF!</f>
        <v>#REF!</v>
      </c>
      <c r="C142" s="24"/>
      <c r="D142" s="24"/>
      <c r="E142" s="28"/>
      <c r="F142" s="49" t="e">
        <f>'ADJ SUMMARY'!#REF!</f>
        <v>#REF!</v>
      </c>
    </row>
    <row r="143" spans="1:6" hidden="1">
      <c r="A143" s="415" t="e">
        <f>'ADJ SUMMARY'!#REF!</f>
        <v>#REF!</v>
      </c>
      <c r="B143" s="40" t="e">
        <f>'ADJ SUMMARY'!#REF!</f>
        <v>#REF!</v>
      </c>
      <c r="C143" s="24"/>
      <c r="D143" s="24"/>
      <c r="E143" s="28"/>
      <c r="F143" s="49" t="e">
        <f>'ADJ SUMMARY'!#REF!</f>
        <v>#REF!</v>
      </c>
    </row>
    <row r="144" spans="1:6" hidden="1">
      <c r="A144" s="415" t="e">
        <f>'ADJ SUMMARY'!#REF!</f>
        <v>#REF!</v>
      </c>
      <c r="B144" s="40" t="e">
        <f>'ADJ SUMMARY'!#REF!</f>
        <v>#REF!</v>
      </c>
      <c r="C144" s="24"/>
      <c r="D144" s="24"/>
      <c r="E144" s="28"/>
      <c r="F144" s="49" t="e">
        <f>'ADJ SUMMARY'!#REF!</f>
        <v>#REF!</v>
      </c>
    </row>
    <row r="145" spans="1:8" hidden="1">
      <c r="A145" s="415" t="e">
        <f>'ADJ SUMMARY'!#REF!</f>
        <v>#REF!</v>
      </c>
      <c r="B145" s="40" t="e">
        <f>'ADJ SUMMARY'!#REF!</f>
        <v>#REF!</v>
      </c>
      <c r="C145" s="24"/>
      <c r="D145" s="24"/>
      <c r="E145" s="28"/>
      <c r="F145" s="49" t="e">
        <f>'ADJ SUMMARY'!#REF!</f>
        <v>#REF!</v>
      </c>
    </row>
    <row r="146" spans="1:8" ht="13.5" hidden="1" customHeight="1">
      <c r="A146" s="415" t="e">
        <f>'ADJ SUMMARY'!#REF!</f>
        <v>#REF!</v>
      </c>
      <c r="B146" s="40" t="e">
        <f>'ADJ SUMMARY'!#REF!</f>
        <v>#REF!</v>
      </c>
      <c r="C146" s="24"/>
      <c r="D146" s="24"/>
      <c r="E146" s="28"/>
      <c r="F146" s="49" t="e">
        <f>'ADJ SUMMARY'!#REF!</f>
        <v>#REF!</v>
      </c>
    </row>
    <row r="147" spans="1:8" ht="0.75" hidden="1" customHeight="1">
      <c r="A147" s="415" t="e">
        <f>'ADJ SUMMARY'!#REF!</f>
        <v>#REF!</v>
      </c>
      <c r="B147" s="40" t="e">
        <f>'ADJ SUMMARY'!#REF!</f>
        <v>#REF!</v>
      </c>
      <c r="C147" s="24"/>
      <c r="D147" s="24"/>
      <c r="E147" s="28"/>
      <c r="F147" s="49" t="e">
        <f>'ADJ SUMMARY'!#REF!</f>
        <v>#REF!</v>
      </c>
    </row>
    <row r="148" spans="1:8" ht="13.5" hidden="1" customHeight="1">
      <c r="B148" s="40" t="s">
        <v>175</v>
      </c>
      <c r="C148" s="24"/>
      <c r="D148" s="24"/>
      <c r="E148" s="28"/>
      <c r="F148" s="29" t="e">
        <f>SUM(F110:F147)</f>
        <v>#REF!</v>
      </c>
    </row>
    <row r="149" spans="1:8" hidden="1">
      <c r="C149" s="24"/>
      <c r="D149" s="24"/>
      <c r="E149" s="24"/>
      <c r="F149" s="23"/>
      <c r="G149" s="56"/>
    </row>
    <row r="150" spans="1:8" hidden="1">
      <c r="B150" s="40" t="str">
        <f>B71</f>
        <v>Weighted Average Cost of Debt</v>
      </c>
      <c r="C150" s="38"/>
      <c r="D150" s="38"/>
      <c r="E150" s="39"/>
      <c r="F150" s="65" t="e">
        <f>'RR Summary'!#REF!</f>
        <v>#REF!</v>
      </c>
      <c r="H150" s="56" t="s">
        <v>220</v>
      </c>
    </row>
    <row r="151" spans="1:8" hidden="1">
      <c r="C151" s="24"/>
      <c r="D151" s="24"/>
      <c r="F151" s="23"/>
    </row>
    <row r="152" spans="1:8" hidden="1">
      <c r="B152" s="40" t="s">
        <v>138</v>
      </c>
      <c r="C152" s="24"/>
      <c r="D152" s="24"/>
      <c r="E152" s="28"/>
      <c r="F152" s="28" t="e">
        <f>F148*F150</f>
        <v>#REF!</v>
      </c>
    </row>
    <row r="153" spans="1:8" hidden="1">
      <c r="C153" s="24"/>
      <c r="D153" s="24"/>
      <c r="E153" s="24"/>
      <c r="F153" s="23"/>
    </row>
    <row r="154" spans="1:8" hidden="1">
      <c r="B154" s="40" t="s">
        <v>224</v>
      </c>
      <c r="C154" s="24"/>
      <c r="D154" s="24"/>
      <c r="F154" s="58">
        <v>21469</v>
      </c>
      <c r="H154" s="60" t="s">
        <v>225</v>
      </c>
    </row>
    <row r="155" spans="1:8" hidden="1">
      <c r="C155" s="24"/>
      <c r="D155" s="24"/>
      <c r="E155" s="24"/>
      <c r="F155" s="23"/>
    </row>
    <row r="156" spans="1:8" hidden="1">
      <c r="B156" s="40" t="s">
        <v>140</v>
      </c>
      <c r="C156" s="24"/>
      <c r="D156" s="24"/>
      <c r="E156" s="28"/>
      <c r="F156" s="28" t="e">
        <f>F152-F154</f>
        <v>#REF!</v>
      </c>
    </row>
    <row r="157" spans="1:8" hidden="1">
      <c r="B157" s="40" t="s">
        <v>141</v>
      </c>
      <c r="D157" s="24"/>
      <c r="E157" s="31"/>
      <c r="F157" s="32">
        <v>0.35</v>
      </c>
    </row>
    <row r="158" spans="1:8" hidden="1">
      <c r="D158" s="24"/>
      <c r="E158" s="24"/>
      <c r="F158" s="23"/>
    </row>
    <row r="159" spans="1:8" hidden="1">
      <c r="B159" s="40" t="s">
        <v>142</v>
      </c>
      <c r="D159" s="24"/>
      <c r="E159" s="28"/>
      <c r="F159" s="28" t="e">
        <f>F156*-F157</f>
        <v>#REF!</v>
      </c>
      <c r="G159" s="28"/>
    </row>
    <row r="162" spans="2:5" hidden="1">
      <c r="B162" s="141" t="s">
        <v>139</v>
      </c>
    </row>
    <row r="163" spans="2:5" hidden="1">
      <c r="B163" s="40" t="s">
        <v>143</v>
      </c>
      <c r="C163" s="28">
        <f>C85</f>
        <v>2430</v>
      </c>
    </row>
    <row r="164" spans="2:5" hidden="1">
      <c r="B164" s="40" t="s">
        <v>144</v>
      </c>
      <c r="C164" s="23">
        <f>C86</f>
        <v>2935</v>
      </c>
    </row>
    <row r="165" spans="2:5" hidden="1">
      <c r="B165" s="40" t="s">
        <v>145</v>
      </c>
      <c r="C165" s="29">
        <f>C163+C164</f>
        <v>5365</v>
      </c>
    </row>
    <row r="166" spans="2:5" hidden="1">
      <c r="C166" s="28"/>
    </row>
    <row r="167" spans="2:5" hidden="1">
      <c r="C167" s="33"/>
      <c r="D167" s="25"/>
      <c r="E167" s="25" t="s">
        <v>146</v>
      </c>
    </row>
    <row r="168" spans="2:5" hidden="1">
      <c r="C168" s="27" t="s">
        <v>124</v>
      </c>
      <c r="D168" s="27" t="s">
        <v>147</v>
      </c>
      <c r="E168" s="27" t="s">
        <v>30</v>
      </c>
    </row>
    <row r="169" spans="2:5" hidden="1">
      <c r="B169" s="40" t="s">
        <v>148</v>
      </c>
      <c r="C169" s="28" t="e">
        <f>$C$91</f>
        <v>#REF!</v>
      </c>
      <c r="D169" s="30" t="e">
        <f>C169/C172</f>
        <v>#REF!</v>
      </c>
      <c r="E169" s="28" t="e">
        <f>D169*E172</f>
        <v>#REF!</v>
      </c>
    </row>
    <row r="170" spans="2:5" hidden="1">
      <c r="B170" s="40" t="s">
        <v>149</v>
      </c>
      <c r="C170" s="23" t="e">
        <f>$C$92</f>
        <v>#REF!</v>
      </c>
      <c r="D170" s="30" t="e">
        <f>C170/C172</f>
        <v>#REF!</v>
      </c>
      <c r="E170" s="23" t="e">
        <f>D170*E172</f>
        <v>#REF!</v>
      </c>
    </row>
    <row r="171" spans="2:5" hidden="1">
      <c r="B171" s="40" t="s">
        <v>150</v>
      </c>
      <c r="C171" s="23" t="e">
        <f>$C$93</f>
        <v>#REF!</v>
      </c>
      <c r="D171" s="30" t="e">
        <f>C171/C172</f>
        <v>#REF!</v>
      </c>
      <c r="E171" s="23" t="e">
        <f>E172*D171</f>
        <v>#REF!</v>
      </c>
    </row>
    <row r="172" spans="2:5" hidden="1">
      <c r="B172" s="40" t="s">
        <v>151</v>
      </c>
      <c r="C172" s="29" t="e">
        <f>C169+C170+C171</f>
        <v>#REF!</v>
      </c>
      <c r="D172" s="34" t="e">
        <f>D169+D170+D171</f>
        <v>#REF!</v>
      </c>
      <c r="E172" s="29">
        <f>C165</f>
        <v>5365</v>
      </c>
    </row>
    <row r="173" spans="2:5" hidden="1"/>
    <row r="174" spans="2:5" hidden="1">
      <c r="B174" s="40" t="s">
        <v>152</v>
      </c>
      <c r="C174" s="28" t="e">
        <f>$C$96</f>
        <v>#REF!</v>
      </c>
      <c r="D174" s="30" t="e">
        <f>C174/C176</f>
        <v>#REF!</v>
      </c>
      <c r="E174" s="28" t="e">
        <f>D174*E176</f>
        <v>#REF!</v>
      </c>
    </row>
    <row r="175" spans="2:5" hidden="1">
      <c r="B175" s="40" t="s">
        <v>153</v>
      </c>
      <c r="C175" s="23" t="e">
        <f>$C$97</f>
        <v>#REF!</v>
      </c>
      <c r="D175" s="30" t="e">
        <f>C175/C176</f>
        <v>#REF!</v>
      </c>
      <c r="E175" s="23" t="e">
        <f>D175*E176</f>
        <v>#REF!</v>
      </c>
    </row>
    <row r="176" spans="2:5" hidden="1">
      <c r="B176" s="40" t="s">
        <v>151</v>
      </c>
      <c r="C176" s="29" t="e">
        <f>C174+C175</f>
        <v>#REF!</v>
      </c>
      <c r="D176" s="34" t="e">
        <f>D174+D175</f>
        <v>#REF!</v>
      </c>
      <c r="E176" s="29" t="e">
        <f>E169</f>
        <v>#REF!</v>
      </c>
    </row>
    <row r="178" spans="2:5" hidden="1">
      <c r="B178" s="40" t="s">
        <v>154</v>
      </c>
      <c r="C178" s="28" t="e">
        <f>$C$100</f>
        <v>#REF!</v>
      </c>
      <c r="D178" s="35" t="e">
        <f>C178/C180</f>
        <v>#REF!</v>
      </c>
      <c r="E178" s="28" t="e">
        <f>E180*D178</f>
        <v>#REF!</v>
      </c>
    </row>
    <row r="179" spans="2:5" hidden="1">
      <c r="B179" s="40" t="s">
        <v>155</v>
      </c>
      <c r="C179" s="23" t="e">
        <f>C$101</f>
        <v>#REF!</v>
      </c>
      <c r="D179" s="36" t="e">
        <f>C179/C180</f>
        <v>#REF!</v>
      </c>
      <c r="E179" s="23" t="e">
        <f>E180*D179</f>
        <v>#REF!</v>
      </c>
    </row>
    <row r="180" spans="2:5" hidden="1">
      <c r="B180" s="40" t="s">
        <v>151</v>
      </c>
      <c r="C180" s="29" t="e">
        <f>SUM(C178:C179)</f>
        <v>#REF!</v>
      </c>
      <c r="D180" s="37" t="e">
        <f>SUM(D178:D179)</f>
        <v>#REF!</v>
      </c>
      <c r="E180" s="29" t="e">
        <f>E170</f>
        <v>#REF!</v>
      </c>
    </row>
  </sheetData>
  <mergeCells count="6">
    <mergeCell ref="E7:G7"/>
    <mergeCell ref="A1:H1"/>
    <mergeCell ref="A2:H2"/>
    <mergeCell ref="A3:H3"/>
    <mergeCell ref="A4:H4"/>
    <mergeCell ref="A5:H5"/>
  </mergeCells>
  <phoneticPr fontId="0" type="noConversion"/>
  <printOptions horizontalCentered="1"/>
  <pageMargins left="0.75" right="0.75" top="0.5" bottom="0.5" header="0.5" footer="0.25"/>
  <pageSetup scale="78" orientation="portrait" r:id="rId1"/>
  <headerFooter alignWithMargins="0">
    <oddFooter>&amp;RPage &amp;P of &amp;N</oddFooter>
  </headerFooter>
  <rowBreaks count="1" manualBreakCount="1">
    <brk id="102" max="16383" man="1"/>
  </rowBreaks>
  <colBreaks count="1" manualBreakCount="1">
    <brk id="9" max="62" man="1"/>
  </col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A1:Y103"/>
  <sheetViews>
    <sheetView workbookViewId="0">
      <selection sqref="A1:N1"/>
    </sheetView>
  </sheetViews>
  <sheetFormatPr defaultColWidth="9.28515625" defaultRowHeight="12.75" outlineLevelRow="1"/>
  <cols>
    <col min="1" max="1" width="8" style="428" customWidth="1"/>
    <col min="2" max="2" width="12.28515625" style="5" customWidth="1"/>
    <col min="3" max="3" width="26" style="5" customWidth="1"/>
    <col min="4" max="4" width="13.28515625" style="5" customWidth="1"/>
    <col min="5" max="5" width="13.7109375" style="5" customWidth="1"/>
    <col min="6" max="6" width="1.5703125" style="5" customWidth="1"/>
    <col min="7" max="7" width="11.42578125" style="5" customWidth="1"/>
    <col min="8" max="8" width="11.42578125" style="18" customWidth="1"/>
    <col min="9" max="9" width="2" style="5" customWidth="1"/>
    <col min="10" max="10" width="12.7109375" style="5" customWidth="1"/>
    <col min="11" max="11" width="12" style="5" customWidth="1"/>
    <col min="12" max="12" width="1.28515625" style="5" customWidth="1"/>
    <col min="13" max="13" width="13.42578125" style="5" customWidth="1"/>
    <col min="14" max="14" width="9.42578125" style="5" customWidth="1"/>
    <col min="15" max="15" width="7.5703125" style="5" customWidth="1"/>
    <col min="16" max="16" width="9.7109375" style="5" bestFit="1" customWidth="1"/>
    <col min="17" max="17" width="8.5703125" style="42" bestFit="1" customWidth="1"/>
    <col min="18" max="18" width="7.42578125" style="5" bestFit="1" customWidth="1"/>
    <col min="20" max="20" width="13" customWidth="1"/>
    <col min="21" max="21" width="9.7109375" bestFit="1" customWidth="1"/>
    <col min="26" max="16384" width="9.28515625" style="5"/>
  </cols>
  <sheetData>
    <row r="1" spans="1:16" ht="18.75">
      <c r="A1" s="716" t="s">
        <v>87</v>
      </c>
      <c r="B1" s="716"/>
      <c r="C1" s="716"/>
      <c r="D1" s="716"/>
      <c r="E1" s="716"/>
      <c r="F1" s="716"/>
      <c r="G1" s="716"/>
      <c r="H1" s="716"/>
      <c r="I1" s="716"/>
      <c r="J1" s="716"/>
      <c r="K1" s="716"/>
      <c r="L1" s="716"/>
      <c r="M1" s="716"/>
      <c r="N1" s="716"/>
    </row>
    <row r="2" spans="1:16" ht="18.75">
      <c r="A2" s="716" t="s">
        <v>114</v>
      </c>
      <c r="B2" s="716"/>
      <c r="C2" s="716"/>
      <c r="D2" s="716"/>
      <c r="E2" s="716"/>
      <c r="F2" s="716"/>
      <c r="G2" s="716"/>
      <c r="H2" s="716"/>
      <c r="I2" s="716"/>
      <c r="J2" s="716"/>
      <c r="K2" s="716"/>
      <c r="L2" s="716"/>
      <c r="M2" s="716"/>
      <c r="N2" s="716"/>
      <c r="O2" s="81"/>
    </row>
    <row r="3" spans="1:16" ht="15.75" customHeight="1">
      <c r="A3" s="716" t="s">
        <v>236</v>
      </c>
      <c r="B3" s="716"/>
      <c r="C3" s="716"/>
      <c r="D3" s="716"/>
      <c r="E3" s="716"/>
      <c r="F3" s="716"/>
      <c r="G3" s="716"/>
      <c r="H3" s="716"/>
      <c r="I3" s="716"/>
      <c r="J3" s="716"/>
      <c r="K3" s="716"/>
      <c r="L3" s="716"/>
      <c r="M3" s="716"/>
      <c r="N3" s="716"/>
      <c r="O3" s="81"/>
    </row>
    <row r="4" spans="1:16" ht="15.75" customHeight="1">
      <c r="A4" s="716" t="s">
        <v>233</v>
      </c>
      <c r="B4" s="716"/>
      <c r="C4" s="716"/>
      <c r="D4" s="716"/>
      <c r="E4" s="716"/>
      <c r="F4" s="716"/>
      <c r="G4" s="716"/>
      <c r="H4" s="716"/>
      <c r="I4" s="716"/>
      <c r="J4" s="716"/>
      <c r="K4" s="716"/>
      <c r="L4" s="716"/>
      <c r="M4" s="716"/>
      <c r="N4" s="716"/>
      <c r="O4" s="81"/>
    </row>
    <row r="5" spans="1:16">
      <c r="B5" s="11"/>
      <c r="C5" s="11"/>
      <c r="F5" s="434"/>
      <c r="H5" s="5"/>
    </row>
    <row r="6" spans="1:16">
      <c r="B6" s="11"/>
      <c r="C6" s="11"/>
      <c r="H6" s="5"/>
      <c r="I6" s="6"/>
      <c r="M6" s="705" t="s">
        <v>229</v>
      </c>
      <c r="N6" s="705"/>
      <c r="O6" s="6"/>
    </row>
    <row r="7" spans="1:16">
      <c r="B7" s="11"/>
      <c r="C7" s="11"/>
      <c r="D7" s="704" t="s">
        <v>705</v>
      </c>
      <c r="E7" s="704"/>
      <c r="G7" s="704" t="s">
        <v>706</v>
      </c>
      <c r="H7" s="704"/>
      <c r="I7" s="6"/>
      <c r="J7" s="705" t="s">
        <v>230</v>
      </c>
      <c r="K7" s="705"/>
      <c r="M7" s="705" t="s">
        <v>231</v>
      </c>
      <c r="N7" s="705"/>
      <c r="O7" s="6"/>
    </row>
    <row r="8" spans="1:16">
      <c r="B8" s="11"/>
      <c r="C8" s="11"/>
      <c r="D8" s="717" t="s">
        <v>77</v>
      </c>
      <c r="E8" s="717"/>
      <c r="G8" s="717" t="s">
        <v>77</v>
      </c>
      <c r="H8" s="717"/>
      <c r="I8" s="6"/>
      <c r="J8" s="717" t="s">
        <v>77</v>
      </c>
      <c r="K8" s="717"/>
      <c r="M8" s="6" t="s">
        <v>232</v>
      </c>
      <c r="N8" s="6" t="s">
        <v>23</v>
      </c>
      <c r="O8" s="6"/>
    </row>
    <row r="9" spans="1:16">
      <c r="A9" s="136" t="s">
        <v>78</v>
      </c>
      <c r="B9" s="8" t="s">
        <v>79</v>
      </c>
      <c r="C9" s="6"/>
      <c r="D9" s="8" t="s">
        <v>80</v>
      </c>
      <c r="E9" s="8" t="s">
        <v>23</v>
      </c>
      <c r="F9" s="6"/>
      <c r="G9" s="8" t="s">
        <v>80</v>
      </c>
      <c r="H9" s="8" t="s">
        <v>23</v>
      </c>
      <c r="I9" s="6"/>
      <c r="J9" s="8" t="s">
        <v>80</v>
      </c>
      <c r="K9" s="8" t="s">
        <v>23</v>
      </c>
      <c r="M9" s="64">
        <f>'CF '!E24</f>
        <v>0.75248000000000004</v>
      </c>
      <c r="N9" s="72">
        <f>'RR Summary'!M16</f>
        <v>7.6100000000000001E-2</v>
      </c>
      <c r="O9" s="13"/>
      <c r="P9" s="5" t="s">
        <v>624</v>
      </c>
    </row>
    <row r="10" spans="1:16">
      <c r="A10" s="137">
        <f>'ADJ DETAIL-INPUT'!E$9</f>
        <v>1</v>
      </c>
      <c r="B10" s="11" t="str">
        <f>TRIM(CONCATENATE('ADJ DETAIL-INPUT'!E$7," ",'ADJ DETAIL-INPUT'!E$8," "))</f>
        <v>Results of Operations</v>
      </c>
      <c r="D10" s="10">
        <v>125206.70000000007</v>
      </c>
      <c r="E10" s="10">
        <v>2109184.7999999998</v>
      </c>
      <c r="G10" s="9">
        <f>'ADJ DETAIL-INPUT'!E$56</f>
        <v>125206.70000000007</v>
      </c>
      <c r="H10" s="10">
        <f>'ADJ DETAIL-INPUT'!E$80</f>
        <v>2109184.7999999998</v>
      </c>
      <c r="I10" s="18"/>
      <c r="J10" s="9">
        <f>G10-D10</f>
        <v>0</v>
      </c>
      <c r="K10" s="9">
        <f>H10-E10</f>
        <v>0</v>
      </c>
      <c r="L10" s="15"/>
      <c r="M10" s="68">
        <f>J10/$M$9*-1</f>
        <v>0</v>
      </c>
      <c r="N10" s="68">
        <f>K10*$N$9/$M$9</f>
        <v>0</v>
      </c>
      <c r="O10" s="68">
        <f>(H10*$N$9/$M$9)-(G10/$M$9)</f>
        <v>46914.553582819382</v>
      </c>
      <c r="P10" s="9">
        <f>SUM(M10:N10)</f>
        <v>0</v>
      </c>
    </row>
    <row r="11" spans="1:16" s="16" customFormat="1">
      <c r="A11" s="137">
        <f>'ADJ DETAIL-INPUT'!F$9</f>
        <v>1.01</v>
      </c>
      <c r="B11" s="11" t="str">
        <f>TRIM(CONCATENATE('ADJ DETAIL-INPUT'!F$6," ",'ADJ DETAIL-INPUT'!F$7," ",'ADJ DETAIL-INPUT'!F$8))</f>
        <v>Deferred FIT Rate Base</v>
      </c>
      <c r="C11" s="5"/>
      <c r="D11" s="10">
        <v>15.877974000000002</v>
      </c>
      <c r="E11" s="10">
        <v>2942</v>
      </c>
      <c r="F11" s="5"/>
      <c r="G11" s="10">
        <f>'ADJ DETAIL-INPUT'!F$56</f>
        <v>15.877974000000002</v>
      </c>
      <c r="H11" s="10">
        <f>'ADJ DETAIL-INPUT'!F$80</f>
        <v>2942</v>
      </c>
      <c r="I11" s="18"/>
      <c r="J11" s="9">
        <f t="shared" ref="J11:J13" si="0">G11-D11</f>
        <v>0</v>
      </c>
      <c r="K11" s="9">
        <f t="shared" ref="K11:K13" si="1">H11-E11</f>
        <v>0</v>
      </c>
      <c r="L11" s="15"/>
      <c r="M11" s="68">
        <f t="shared" ref="M11:M13" si="2">J11/$M$9*-1</f>
        <v>0</v>
      </c>
      <c r="N11" s="68">
        <f t="shared" ref="N11:N13" si="3">K11*$N$9/$M$9</f>
        <v>0</v>
      </c>
      <c r="O11" s="68">
        <f>(H11*$N$9/$M$9)-(G11/$M$9)</f>
        <v>276.43023867743989</v>
      </c>
      <c r="P11" s="9">
        <f t="shared" ref="P11:P13" si="4">SUM(M11:N11)</f>
        <v>0</v>
      </c>
    </row>
    <row r="12" spans="1:16" s="16" customFormat="1">
      <c r="A12" s="137">
        <f>'ADJ DETAIL-INPUT'!G$9</f>
        <v>1.02</v>
      </c>
      <c r="B12" s="11" t="str">
        <f>TRIM(CONCATENATE('ADJ DETAIL-INPUT'!G$6," ",'ADJ DETAIL-INPUT'!G$7," ",'ADJ DETAIL-INPUT'!G$8))</f>
        <v>Deferred Debits and Credits</v>
      </c>
      <c r="C12" s="5"/>
      <c r="D12" s="10">
        <v>0</v>
      </c>
      <c r="E12" s="10">
        <v>0</v>
      </c>
      <c r="F12" s="5"/>
      <c r="G12" s="10">
        <f>'ADJ DETAIL-INPUT'!G$56</f>
        <v>0</v>
      </c>
      <c r="H12" s="10">
        <f>'ADJ DETAIL-INPUT'!G$80</f>
        <v>0</v>
      </c>
      <c r="I12" s="18"/>
      <c r="J12" s="9">
        <f t="shared" si="0"/>
        <v>0</v>
      </c>
      <c r="K12" s="9">
        <f t="shared" si="1"/>
        <v>0</v>
      </c>
      <c r="L12" s="73"/>
      <c r="M12" s="68">
        <f t="shared" si="2"/>
        <v>0</v>
      </c>
      <c r="N12" s="68">
        <f t="shared" si="3"/>
        <v>0</v>
      </c>
      <c r="O12" s="68">
        <f t="shared" ref="O12:O38" si="5">(H12*$N$9/$M$9)-(G12/$M$9)</f>
        <v>0</v>
      </c>
      <c r="P12" s="9">
        <f t="shared" si="4"/>
        <v>0</v>
      </c>
    </row>
    <row r="13" spans="1:16" ht="12.75" customHeight="1">
      <c r="A13" s="137">
        <f>'ADJ DETAIL-INPUT'!H$9</f>
        <v>1.03</v>
      </c>
      <c r="B13" s="715" t="str">
        <f>TRIM(CONCATENATE('ADJ DETAIL-INPUT'!H$6," ",'ADJ DETAIL-INPUT'!H$7," ",'ADJ DETAIL-INPUT'!H$8))</f>
        <v>Working Capital</v>
      </c>
      <c r="C13" s="715"/>
      <c r="D13" s="10">
        <v>-17.480882999999999</v>
      </c>
      <c r="E13" s="10">
        <v>-3239</v>
      </c>
      <c r="G13" s="10">
        <f>'ADJ DETAIL-INPUT'!H$56</f>
        <v>-17.480882999999999</v>
      </c>
      <c r="H13" s="10">
        <f>'ADJ DETAIL-INPUT'!H$80</f>
        <v>-3239</v>
      </c>
      <c r="I13" s="18"/>
      <c r="J13" s="9">
        <f t="shared" si="0"/>
        <v>0</v>
      </c>
      <c r="K13" s="9">
        <f t="shared" si="1"/>
        <v>0</v>
      </c>
      <c r="M13" s="68">
        <f t="shared" si="2"/>
        <v>0</v>
      </c>
      <c r="N13" s="68">
        <f t="shared" si="3"/>
        <v>0</v>
      </c>
      <c r="O13" s="68">
        <f t="shared" si="5"/>
        <v>-304.33635046778647</v>
      </c>
      <c r="P13" s="9">
        <f t="shared" si="4"/>
        <v>0</v>
      </c>
    </row>
    <row r="14" spans="1:16" ht="12.75" customHeight="1">
      <c r="A14" s="137">
        <f>'ADJ DETAIL-INPUT'!I$9</f>
        <v>1.04</v>
      </c>
      <c r="B14" s="715" t="str">
        <f>TRIM(CONCATENATE('ADJ DETAIL-INPUT'!I$6," ",'ADJ DETAIL-INPUT'!I$7," ",'ADJ DETAIL-INPUT'!I$8))</f>
        <v>Remove Colstrip</v>
      </c>
      <c r="C14" s="715"/>
      <c r="D14" s="10">
        <v>-1683.4565659999998</v>
      </c>
      <c r="E14" s="10">
        <v>-24878</v>
      </c>
      <c r="G14" s="10">
        <f>'ADJ DETAIL-INPUT'!I$56</f>
        <v>-1683.4565659999998</v>
      </c>
      <c r="H14" s="10">
        <f>'ADJ DETAIL-INPUT'!I$80</f>
        <v>-24878</v>
      </c>
      <c r="I14" s="18"/>
      <c r="J14" s="9">
        <f t="shared" ref="J14" si="6">G14-D14</f>
        <v>0</v>
      </c>
      <c r="K14" s="9">
        <f t="shared" ref="K14" si="7">H14-E14</f>
        <v>0</v>
      </c>
      <c r="M14" s="479">
        <f t="shared" ref="M14" si="8">J14/$M$9*-1</f>
        <v>0</v>
      </c>
      <c r="N14" s="479">
        <f t="shared" ref="N14" si="9">K14*$N$9/$M$9</f>
        <v>0</v>
      </c>
      <c r="O14" s="479">
        <f t="shared" ref="O14" si="10">(H14*$N$9/$M$9)-(G14/$M$9)</f>
        <v>-278.75722145439113</v>
      </c>
      <c r="P14" s="9">
        <f t="shared" ref="P14" si="11">SUM(M14:N14)</f>
        <v>0</v>
      </c>
    </row>
    <row r="15" spans="1:16">
      <c r="B15" s="5" t="s">
        <v>82</v>
      </c>
      <c r="D15" s="12">
        <f>SUM(D10:D14)</f>
        <v>123521.64052500008</v>
      </c>
      <c r="E15" s="12">
        <f>SUM(E10:E14)</f>
        <v>2084009.7999999998</v>
      </c>
      <c r="G15" s="12">
        <f>SUM(G10:G14)</f>
        <v>123521.64052500008</v>
      </c>
      <c r="H15" s="12">
        <f>SUM(H10:H14)</f>
        <v>2084009.7999999998</v>
      </c>
      <c r="I15" s="20"/>
      <c r="J15" s="12">
        <f>SUM(J10:J14)</f>
        <v>0</v>
      </c>
      <c r="K15" s="12">
        <f>SUM(K10:K14)</f>
        <v>0</v>
      </c>
      <c r="L15" s="6"/>
      <c r="M15" s="68">
        <f>SUM(M10:M14)</f>
        <v>0</v>
      </c>
      <c r="N15" s="68">
        <f>SUM(N10:N14)</f>
        <v>0</v>
      </c>
      <c r="O15" s="68">
        <f t="shared" si="5"/>
        <v>46607.890249574615</v>
      </c>
    </row>
    <row r="17" spans="1:16" s="15" customFormat="1">
      <c r="A17" s="137">
        <f>'ADJ DETAIL-INPUT'!J$9</f>
        <v>2.0099999999999998</v>
      </c>
      <c r="B17" s="11" t="str">
        <f>TRIM(CONCATENATE('ADJ DETAIL-INPUT'!J$6," ",'ADJ DETAIL-INPUT'!J$7," ",'ADJ DETAIL-INPUT'!J$8))</f>
        <v>Eliminate B &amp; O Taxes</v>
      </c>
      <c r="C17" s="5"/>
      <c r="D17" s="10">
        <v>50.56</v>
      </c>
      <c r="E17" s="10">
        <v>0</v>
      </c>
      <c r="F17" s="5"/>
      <c r="G17" s="10">
        <f>'ADJ DETAIL-INPUT'!J$56</f>
        <v>50.56</v>
      </c>
      <c r="H17" s="10">
        <f>'ADJ DETAIL-INPUT'!J$80</f>
        <v>0</v>
      </c>
      <c r="I17" s="18"/>
      <c r="J17" s="9">
        <f t="shared" ref="J17:J33" si="12">G17-D17</f>
        <v>0</v>
      </c>
      <c r="K17" s="9">
        <f t="shared" ref="K17:K33" si="13">H17-E17</f>
        <v>0</v>
      </c>
      <c r="L17" s="74"/>
      <c r="M17" s="68">
        <f t="shared" ref="M17:M33" si="14">J17/$M$9*-1</f>
        <v>0</v>
      </c>
      <c r="N17" s="68">
        <f t="shared" ref="N17:N33" si="15">K17*$N$9/$M$9</f>
        <v>0</v>
      </c>
      <c r="O17" s="68">
        <f t="shared" si="5"/>
        <v>-67.191154582181582</v>
      </c>
      <c r="P17" s="9">
        <f t="shared" ref="P17:P35" si="16">SUM(M17:N17)</f>
        <v>0</v>
      </c>
    </row>
    <row r="18" spans="1:16" s="15" customFormat="1">
      <c r="A18" s="137">
        <f>'ADJ DETAIL-INPUT'!K$9</f>
        <v>2.0199999999999996</v>
      </c>
      <c r="B18" s="11" t="str">
        <f>TRIM(CONCATENATE('ADJ DETAIL-INPUT'!K$6," ",'ADJ DETAIL-INPUT'!K$7," ",'ADJ DETAIL-INPUT'!K$8))</f>
        <v>Restate Property Tax</v>
      </c>
      <c r="C18" s="5"/>
      <c r="D18" s="10">
        <v>-1072.82</v>
      </c>
      <c r="E18" s="10">
        <v>0</v>
      </c>
      <c r="F18" s="5"/>
      <c r="G18" s="10">
        <f>'ADJ DETAIL-INPUT'!K$56</f>
        <v>-1072.82</v>
      </c>
      <c r="H18" s="10">
        <f>'ADJ DETAIL-INPUT'!K$80</f>
        <v>0</v>
      </c>
      <c r="I18" s="18"/>
      <c r="J18" s="9">
        <f t="shared" si="12"/>
        <v>0</v>
      </c>
      <c r="K18" s="9">
        <f t="shared" si="13"/>
        <v>0</v>
      </c>
      <c r="L18" s="74"/>
      <c r="M18" s="68">
        <f t="shared" si="14"/>
        <v>0</v>
      </c>
      <c r="N18" s="68">
        <f t="shared" si="15"/>
        <v>0</v>
      </c>
      <c r="O18" s="68">
        <f t="shared" si="5"/>
        <v>1425.7123112906654</v>
      </c>
      <c r="P18" s="9">
        <f t="shared" si="16"/>
        <v>0</v>
      </c>
    </row>
    <row r="19" spans="1:16" s="15" customFormat="1">
      <c r="A19" s="137">
        <f>'ADJ DETAIL-INPUT'!L$9</f>
        <v>2.0299999999999994</v>
      </c>
      <c r="B19" s="11" t="str">
        <f>TRIM(CONCATENATE('ADJ DETAIL-INPUT'!L$6," ",'ADJ DETAIL-INPUT'!L$7," ",'ADJ DETAIL-INPUT'!L$8))</f>
        <v>Uncollectible Expense</v>
      </c>
      <c r="C19" s="5"/>
      <c r="D19" s="10">
        <v>-720.48</v>
      </c>
      <c r="E19" s="10">
        <v>0</v>
      </c>
      <c r="F19" s="5"/>
      <c r="G19" s="10">
        <f>'ADJ DETAIL-INPUT'!L$56</f>
        <v>-720.48</v>
      </c>
      <c r="H19" s="10">
        <f>'ADJ DETAIL-INPUT'!L$80</f>
        <v>0</v>
      </c>
      <c r="I19" s="18"/>
      <c r="J19" s="9">
        <f t="shared" si="12"/>
        <v>0</v>
      </c>
      <c r="K19" s="9">
        <f t="shared" si="13"/>
        <v>0</v>
      </c>
      <c r="L19" s="74"/>
      <c r="M19" s="68">
        <f t="shared" si="14"/>
        <v>0</v>
      </c>
      <c r="N19" s="68">
        <f t="shared" si="15"/>
        <v>0</v>
      </c>
      <c r="O19" s="68">
        <f t="shared" si="5"/>
        <v>957.47395279608759</v>
      </c>
      <c r="P19" s="9">
        <f t="shared" si="16"/>
        <v>0</v>
      </c>
    </row>
    <row r="20" spans="1:16" s="15" customFormat="1">
      <c r="A20" s="137">
        <f>'ADJ DETAIL-INPUT'!M$9</f>
        <v>2.0399999999999991</v>
      </c>
      <c r="B20" s="11" t="str">
        <f>TRIM(CONCATENATE('ADJ DETAIL-INPUT'!M$6," ",'ADJ DETAIL-INPUT'!M$7," ",'ADJ DETAIL-INPUT'!M$8))</f>
        <v>Regulatory Expense</v>
      </c>
      <c r="C20" s="5"/>
      <c r="D20" s="10">
        <v>-658.86</v>
      </c>
      <c r="E20" s="10">
        <v>0</v>
      </c>
      <c r="F20" s="5"/>
      <c r="G20" s="10">
        <f>'ADJ DETAIL-INPUT'!M$56</f>
        <v>-658.86</v>
      </c>
      <c r="H20" s="10">
        <f>'ADJ DETAIL-INPUT'!M$80</f>
        <v>0</v>
      </c>
      <c r="I20" s="18"/>
      <c r="J20" s="9">
        <f t="shared" si="12"/>
        <v>0</v>
      </c>
      <c r="K20" s="9">
        <f t="shared" si="13"/>
        <v>0</v>
      </c>
      <c r="L20" s="74"/>
      <c r="M20" s="68">
        <f t="shared" si="14"/>
        <v>0</v>
      </c>
      <c r="N20" s="68">
        <f t="shared" si="15"/>
        <v>0</v>
      </c>
      <c r="O20" s="68">
        <f t="shared" si="5"/>
        <v>875.58473314905382</v>
      </c>
      <c r="P20" s="9">
        <f t="shared" si="16"/>
        <v>0</v>
      </c>
    </row>
    <row r="21" spans="1:16" s="15" customFormat="1">
      <c r="A21" s="137">
        <f>'ADJ DETAIL-INPUT'!N$9</f>
        <v>2.0499999999999989</v>
      </c>
      <c r="B21" s="11" t="str">
        <f>TRIM(CONCATENATE('ADJ DETAIL-INPUT'!N$6," ",'ADJ DETAIL-INPUT'!N$7," ",'ADJ DETAIL-INPUT'!N$8))</f>
        <v>Injuries and Damages</v>
      </c>
      <c r="C21" s="5"/>
      <c r="D21" s="10">
        <v>248.85000000000002</v>
      </c>
      <c r="E21" s="10">
        <v>0</v>
      </c>
      <c r="F21" s="5"/>
      <c r="G21" s="10">
        <f>'ADJ DETAIL-INPUT'!N$56</f>
        <v>248.85000000000002</v>
      </c>
      <c r="H21" s="10">
        <f>'ADJ DETAIL-INPUT'!N$80</f>
        <v>0</v>
      </c>
      <c r="I21" s="18"/>
      <c r="J21" s="9">
        <f t="shared" si="12"/>
        <v>0</v>
      </c>
      <c r="K21" s="9">
        <f t="shared" si="13"/>
        <v>0</v>
      </c>
      <c r="L21" s="74"/>
      <c r="M21" s="68">
        <f t="shared" si="14"/>
        <v>0</v>
      </c>
      <c r="N21" s="68">
        <f t="shared" si="15"/>
        <v>0</v>
      </c>
      <c r="O21" s="68">
        <f t="shared" si="5"/>
        <v>-330.70646395917498</v>
      </c>
      <c r="P21" s="9">
        <f t="shared" si="16"/>
        <v>0</v>
      </c>
    </row>
    <row r="22" spans="1:16" s="53" customFormat="1">
      <c r="A22" s="137">
        <f>'ADJ DETAIL-INPUT'!O$9</f>
        <v>2.0599999999999987</v>
      </c>
      <c r="B22" s="11" t="str">
        <f>TRIM(CONCATENATE('ADJ DETAIL-INPUT'!O$6," ",'ADJ DETAIL-INPUT'!O$7," ",'ADJ DETAIL-INPUT'!O$8))</f>
        <v>FIT/DFIT/ ITC Expense</v>
      </c>
      <c r="C22" s="5"/>
      <c r="D22" s="10">
        <v>209</v>
      </c>
      <c r="E22" s="10">
        <v>0</v>
      </c>
      <c r="F22" s="5"/>
      <c r="G22" s="10">
        <f>'ADJ DETAIL-INPUT'!O$56</f>
        <v>209</v>
      </c>
      <c r="H22" s="10">
        <f>'ADJ DETAIL-INPUT'!O$80</f>
        <v>0</v>
      </c>
      <c r="I22" s="18"/>
      <c r="J22" s="9">
        <f t="shared" si="12"/>
        <v>0</v>
      </c>
      <c r="K22" s="9">
        <f t="shared" si="13"/>
        <v>0</v>
      </c>
      <c r="L22" s="52"/>
      <c r="M22" s="68">
        <f t="shared" si="14"/>
        <v>0</v>
      </c>
      <c r="N22" s="68">
        <f t="shared" si="15"/>
        <v>0</v>
      </c>
      <c r="O22" s="68">
        <f t="shared" si="5"/>
        <v>-277.74824580055281</v>
      </c>
      <c r="P22" s="9">
        <f t="shared" si="16"/>
        <v>0</v>
      </c>
    </row>
    <row r="23" spans="1:16">
      <c r="A23" s="137">
        <f>'ADJ DETAIL-INPUT'!P$9</f>
        <v>2.0699999999999985</v>
      </c>
      <c r="B23" s="11" t="str">
        <f>TRIM(CONCATENATE('ADJ DETAIL-INPUT'!P$6," ",'ADJ DETAIL-INPUT'!P$7," ",'ADJ DETAIL-INPUT'!P$8))</f>
        <v>Office Space Charges to Non-Utility</v>
      </c>
      <c r="D23" s="10">
        <v>26.07</v>
      </c>
      <c r="E23" s="10">
        <v>0</v>
      </c>
      <c r="G23" s="10">
        <f>'ADJ DETAIL-INPUT'!P$56</f>
        <v>26.07</v>
      </c>
      <c r="H23" s="10">
        <f>'ADJ DETAIL-INPUT'!P$80</f>
        <v>0</v>
      </c>
      <c r="I23" s="18"/>
      <c r="J23" s="9">
        <f t="shared" si="12"/>
        <v>0</v>
      </c>
      <c r="K23" s="9">
        <f t="shared" si="13"/>
        <v>0</v>
      </c>
      <c r="L23" s="6"/>
      <c r="M23" s="68">
        <f t="shared" si="14"/>
        <v>0</v>
      </c>
      <c r="N23" s="68">
        <f t="shared" si="15"/>
        <v>0</v>
      </c>
      <c r="O23" s="68">
        <f t="shared" si="5"/>
        <v>-34.645439081437381</v>
      </c>
      <c r="P23" s="9">
        <f t="shared" si="16"/>
        <v>0</v>
      </c>
    </row>
    <row r="24" spans="1:16" s="53" customFormat="1">
      <c r="A24" s="137">
        <f>'ADJ DETAIL-INPUT'!Q$9</f>
        <v>2.0799999999999983</v>
      </c>
      <c r="B24" s="11" t="str">
        <f>TRIM(CONCATENATE('ADJ DETAIL-INPUT'!Q$6," ",'ADJ DETAIL-INPUT'!Q$7," ",'ADJ DETAIL-INPUT'!Q$8))</f>
        <v>Restate Excise Taxes</v>
      </c>
      <c r="C24" s="5"/>
      <c r="D24" s="10">
        <v>45.82</v>
      </c>
      <c r="E24" s="10">
        <v>0</v>
      </c>
      <c r="F24" s="5"/>
      <c r="G24" s="10">
        <f>'ADJ DETAIL-INPUT'!Q$56</f>
        <v>45.82</v>
      </c>
      <c r="H24" s="10">
        <f>'ADJ DETAIL-INPUT'!Q$80</f>
        <v>0</v>
      </c>
      <c r="I24" s="18"/>
      <c r="J24" s="9">
        <f t="shared" si="12"/>
        <v>0</v>
      </c>
      <c r="K24" s="9">
        <f t="shared" si="13"/>
        <v>0</v>
      </c>
      <c r="L24" s="52"/>
      <c r="M24" s="68">
        <f t="shared" si="14"/>
        <v>0</v>
      </c>
      <c r="N24" s="68">
        <f t="shared" si="15"/>
        <v>0</v>
      </c>
      <c r="O24" s="68">
        <f t="shared" si="5"/>
        <v>-60.891983840102057</v>
      </c>
      <c r="P24" s="9">
        <f t="shared" si="16"/>
        <v>0</v>
      </c>
    </row>
    <row r="25" spans="1:16" s="53" customFormat="1">
      <c r="A25" s="137">
        <f>'ADJ DETAIL-INPUT'!R$9</f>
        <v>2.0899999999999981</v>
      </c>
      <c r="B25" s="11" t="str">
        <f>TRIM(CONCATENATE('ADJ DETAIL-INPUT'!R$6," ",'ADJ DETAIL-INPUT'!R$7," ",'ADJ DETAIL-INPUT'!R$8))</f>
        <v>Net Gains &amp; Losses</v>
      </c>
      <c r="C25" s="5"/>
      <c r="D25" s="10">
        <v>53.72</v>
      </c>
      <c r="E25" s="10">
        <v>0</v>
      </c>
      <c r="F25" s="5"/>
      <c r="G25" s="10">
        <f>'ADJ DETAIL-INPUT'!R$56</f>
        <v>53.72</v>
      </c>
      <c r="H25" s="10">
        <f>'ADJ DETAIL-INPUT'!R$80</f>
        <v>0</v>
      </c>
      <c r="I25" s="18"/>
      <c r="J25" s="9">
        <f t="shared" si="12"/>
        <v>0</v>
      </c>
      <c r="K25" s="9">
        <f t="shared" si="13"/>
        <v>0</v>
      </c>
      <c r="L25" s="52"/>
      <c r="M25" s="68">
        <f t="shared" si="14"/>
        <v>0</v>
      </c>
      <c r="N25" s="68">
        <f t="shared" si="15"/>
        <v>0</v>
      </c>
      <c r="O25" s="68">
        <f t="shared" si="5"/>
        <v>-71.390601743567927</v>
      </c>
      <c r="P25" s="9">
        <f t="shared" si="16"/>
        <v>0</v>
      </c>
    </row>
    <row r="26" spans="1:16">
      <c r="A26" s="137">
        <f>'ADJ DETAIL-INPUT'!S$9</f>
        <v>2.0999999999999979</v>
      </c>
      <c r="B26" s="11" t="str">
        <f>TRIM(CONCATENATE('ADJ DETAIL-INPUT'!S$6," ",'ADJ DETAIL-INPUT'!S$7," ",'ADJ DETAIL-INPUT'!S$8))</f>
        <v>Weather Normalization</v>
      </c>
      <c r="D26" s="10">
        <v>-1101.26</v>
      </c>
      <c r="E26" s="10">
        <v>0</v>
      </c>
      <c r="G26" s="10">
        <f>'ADJ DETAIL-INPUT'!S$56</f>
        <v>-1101.26</v>
      </c>
      <c r="H26" s="10">
        <f>'ADJ DETAIL-INPUT'!S$80</f>
        <v>0</v>
      </c>
      <c r="I26" s="57"/>
      <c r="J26" s="9">
        <f t="shared" si="12"/>
        <v>0</v>
      </c>
      <c r="K26" s="9">
        <f t="shared" si="13"/>
        <v>0</v>
      </c>
      <c r="L26" s="6"/>
      <c r="M26" s="68">
        <f t="shared" si="14"/>
        <v>0</v>
      </c>
      <c r="N26" s="68">
        <f t="shared" si="15"/>
        <v>0</v>
      </c>
      <c r="O26" s="68">
        <f t="shared" si="5"/>
        <v>1463.5073357431427</v>
      </c>
      <c r="P26" s="9">
        <f t="shared" si="16"/>
        <v>0</v>
      </c>
    </row>
    <row r="27" spans="1:16" s="53" customFormat="1">
      <c r="A27" s="137">
        <f>'ADJ DETAIL-INPUT'!T$9</f>
        <v>2.1099999999999977</v>
      </c>
      <c r="B27" s="11" t="str">
        <f>TRIM(CONCATENATE('ADJ DETAIL-INPUT'!T$6," ",'ADJ DETAIL-INPUT'!T$7," ",'ADJ DETAIL-INPUT'!T$8))</f>
        <v>Eliminate Adder Schedules</v>
      </c>
      <c r="C27" s="5"/>
      <c r="D27" s="10">
        <v>2.3699999999989814</v>
      </c>
      <c r="E27" s="10">
        <v>0</v>
      </c>
      <c r="F27" s="5"/>
      <c r="G27" s="10">
        <f>'ADJ DETAIL-INPUT'!T$56</f>
        <v>2.3699999999989814</v>
      </c>
      <c r="H27" s="10">
        <f>'ADJ DETAIL-INPUT'!U$80</f>
        <v>0</v>
      </c>
      <c r="I27" s="18"/>
      <c r="J27" s="9">
        <f t="shared" si="12"/>
        <v>0</v>
      </c>
      <c r="K27" s="9">
        <f t="shared" si="13"/>
        <v>0</v>
      </c>
      <c r="M27" s="68">
        <f t="shared" si="14"/>
        <v>0</v>
      </c>
      <c r="N27" s="68">
        <f t="shared" si="15"/>
        <v>0</v>
      </c>
      <c r="O27" s="68">
        <f t="shared" si="5"/>
        <v>-3.1495853710384081</v>
      </c>
      <c r="P27" s="9">
        <f t="shared" si="16"/>
        <v>0</v>
      </c>
    </row>
    <row r="28" spans="1:16" s="53" customFormat="1">
      <c r="A28" s="137">
        <f>'ADJ DETAIL-INPUT'!U$9</f>
        <v>2.1199999999999974</v>
      </c>
      <c r="B28" s="11" t="str">
        <f>TRIM(CONCATENATE('ADJ DETAIL-INPUT'!U$6," ",'ADJ DETAIL-INPUT'!U$7," ",'ADJ DETAIL-INPUT'!U$8))</f>
        <v>Misc. Restating Non-Util / Non- Recurring Expenses</v>
      </c>
      <c r="C28" s="5"/>
      <c r="D28" s="10">
        <v>1024.6300000000001</v>
      </c>
      <c r="E28" s="10">
        <v>0</v>
      </c>
      <c r="F28" s="5"/>
      <c r="G28" s="10">
        <f>'ADJ DETAIL-INPUT'!U$56</f>
        <v>1024.6300000000001</v>
      </c>
      <c r="H28" s="10">
        <f>'ADJ DETAIL-INPUT'!U$80</f>
        <v>0</v>
      </c>
      <c r="I28" s="18"/>
      <c r="J28" s="9">
        <f t="shared" si="12"/>
        <v>0</v>
      </c>
      <c r="K28" s="9">
        <f t="shared" si="13"/>
        <v>0</v>
      </c>
      <c r="M28" s="68">
        <f t="shared" si="14"/>
        <v>0</v>
      </c>
      <c r="N28" s="68">
        <f t="shared" si="15"/>
        <v>0</v>
      </c>
      <c r="O28" s="68">
        <f t="shared" si="5"/>
        <v>-1361.6707420795237</v>
      </c>
      <c r="P28" s="9">
        <f t="shared" si="16"/>
        <v>0</v>
      </c>
    </row>
    <row r="29" spans="1:16" s="15" customFormat="1" ht="12" customHeight="1">
      <c r="A29" s="137">
        <f>'ADJ DETAIL-INPUT'!V$9</f>
        <v>2.1299999999999972</v>
      </c>
      <c r="B29" s="11" t="str">
        <f>TRIM(CONCATENATE('ADJ DETAIL-INPUT'!V$6," ",'ADJ DETAIL-INPUT'!V$7," ",'ADJ DETAIL-INPUT'!V$8))</f>
        <v>Restating Incentives Expense</v>
      </c>
      <c r="C29" s="5"/>
      <c r="D29" s="10">
        <v>-624.62535000000003</v>
      </c>
      <c r="E29" s="10">
        <v>0</v>
      </c>
      <c r="F29" s="5"/>
      <c r="G29" s="10">
        <f>'ADJ DETAIL-INPUT'!V$56</f>
        <v>-624.62535000000003</v>
      </c>
      <c r="H29" s="10">
        <f>'ADJ DETAIL-INPUT'!V$80</f>
        <v>0</v>
      </c>
      <c r="I29" s="18"/>
      <c r="J29" s="9">
        <f t="shared" ref="J29" si="17">G29-D29</f>
        <v>0</v>
      </c>
      <c r="K29" s="9">
        <f t="shared" ref="K29" si="18">H29-E29</f>
        <v>0</v>
      </c>
      <c r="L29" s="74"/>
      <c r="M29" s="68">
        <f t="shared" ref="M29" si="19">J29/$M$9*-1</f>
        <v>0</v>
      </c>
      <c r="N29" s="68">
        <f t="shared" ref="N29" si="20">K29*$N$9/$M$9</f>
        <v>0</v>
      </c>
      <c r="O29" s="68">
        <f t="shared" si="5"/>
        <v>830.08897246438448</v>
      </c>
      <c r="P29" s="9">
        <f>SUM(M29:N29)</f>
        <v>0</v>
      </c>
    </row>
    <row r="30" spans="1:16" s="53" customFormat="1">
      <c r="A30" s="137">
        <f>'ADJ DETAIL-INPUT'!W$9</f>
        <v>2.139999999999997</v>
      </c>
      <c r="B30" s="11" t="str">
        <f>TRIM(CONCATENATE('ADJ DETAIL-INPUT'!W$6," ",'ADJ DETAIL-INPUT'!W$7," ",'ADJ DETAIL-INPUT'!W$8))</f>
        <v>Restate Debt Interest</v>
      </c>
      <c r="C30" s="5"/>
      <c r="D30" s="10">
        <v>-226</v>
      </c>
      <c r="E30" s="10">
        <v>0</v>
      </c>
      <c r="F30" s="5"/>
      <c r="G30" s="10">
        <f>'ADJ DETAIL-INPUT'!W$56</f>
        <v>-226</v>
      </c>
      <c r="H30" s="10">
        <f>'ADJ DETAIL-INPUT'!W$80</f>
        <v>0</v>
      </c>
      <c r="I30" s="18"/>
      <c r="J30" s="9">
        <f>G30-D30</f>
        <v>0</v>
      </c>
      <c r="K30" s="9">
        <f>H30-E30</f>
        <v>0</v>
      </c>
      <c r="L30" s="52"/>
      <c r="M30" s="68">
        <f>J30/$M$9*-1</f>
        <v>0</v>
      </c>
      <c r="N30" s="68">
        <f>K30*$N$9/$M$9</f>
        <v>0</v>
      </c>
      <c r="O30" s="68">
        <f t="shared" si="5"/>
        <v>300.34020837763126</v>
      </c>
      <c r="P30" s="9">
        <f>SUM(M30:N30)</f>
        <v>0</v>
      </c>
    </row>
    <row r="31" spans="1:16" s="53" customFormat="1">
      <c r="A31" s="137">
        <f>'ADJ DETAIL-INPUT'!X$9</f>
        <v>2.1499999999999968</v>
      </c>
      <c r="B31" s="11" t="str">
        <f>TRIM(CONCATENATE('ADJ DETAIL-INPUT'!X$6," ",'ADJ DETAIL-INPUT'!X$7," ",'ADJ DETAIL-INPUT'!X$8))</f>
        <v>Restate Capital 06.2023 EOP</v>
      </c>
      <c r="C31" s="5"/>
      <c r="D31" s="10">
        <v>291.05805119999997</v>
      </c>
      <c r="E31" s="10">
        <v>53929.599999999999</v>
      </c>
      <c r="F31" s="5"/>
      <c r="G31" s="10">
        <f>'ADJ DETAIL-INPUT'!X$56</f>
        <v>291.05805119999997</v>
      </c>
      <c r="H31" s="10">
        <f>'ADJ DETAIL-INPUT'!X$80</f>
        <v>53929.599999999999</v>
      </c>
      <c r="I31" s="18"/>
      <c r="J31" s="9">
        <f t="shared" ref="J31" si="21">G31-D31</f>
        <v>0</v>
      </c>
      <c r="K31" s="9">
        <f t="shared" ref="K31" si="22">H31-E31</f>
        <v>0</v>
      </c>
      <c r="L31" s="52"/>
      <c r="M31" s="68">
        <f t="shared" ref="M31" si="23">J31/$M$9*-1</f>
        <v>0</v>
      </c>
      <c r="N31" s="68">
        <f t="shared" ref="N31" si="24">K31*$N$9/$M$9</f>
        <v>0</v>
      </c>
      <c r="O31" s="68">
        <f t="shared" si="5"/>
        <v>5067.223725281734</v>
      </c>
      <c r="P31" s="9">
        <f>SUM(M31:N31)</f>
        <v>0</v>
      </c>
    </row>
    <row r="32" spans="1:16" s="15" customFormat="1">
      <c r="A32" s="137">
        <f>'ADJ DETAIL-INPUT'!Y$9</f>
        <v>2.1599999999999966</v>
      </c>
      <c r="B32" s="11" t="str">
        <f>TRIM(CONCATENATE('ADJ DETAIL-INPUT'!Y$6," ",'ADJ DETAIL-INPUT'!Y$7," ",'ADJ DETAIL-INPUT'!Y$8))</f>
        <v>Eliminate WA Power Cost Defer</v>
      </c>
      <c r="C32" s="5"/>
      <c r="D32" s="10">
        <v>-31140</v>
      </c>
      <c r="E32" s="10">
        <v>0</v>
      </c>
      <c r="F32" s="5"/>
      <c r="G32" s="10">
        <f>'ADJ DETAIL-INPUT'!Y$56</f>
        <v>-31140</v>
      </c>
      <c r="H32" s="10">
        <f>'ADJ DETAIL-INPUT'!Y$80</f>
        <v>0</v>
      </c>
      <c r="I32" s="18"/>
      <c r="J32" s="9">
        <f t="shared" si="12"/>
        <v>0</v>
      </c>
      <c r="K32" s="9">
        <f t="shared" si="13"/>
        <v>0</v>
      </c>
      <c r="L32" s="74"/>
      <c r="M32" s="68">
        <f t="shared" si="14"/>
        <v>0</v>
      </c>
      <c r="N32" s="68">
        <f t="shared" si="15"/>
        <v>0</v>
      </c>
      <c r="O32" s="68">
        <f t="shared" si="5"/>
        <v>41383.159685307248</v>
      </c>
      <c r="P32" s="9">
        <f t="shared" si="16"/>
        <v>0</v>
      </c>
    </row>
    <row r="33" spans="1:16" s="15" customFormat="1" ht="12" customHeight="1">
      <c r="A33" s="137">
        <f>'ADJ DETAIL-INPUT'!Z$9</f>
        <v>2.1699999999999964</v>
      </c>
      <c r="B33" s="11" t="str">
        <f>TRIM(CONCATENATE('ADJ DETAIL-INPUT'!Z$6," ",'ADJ DETAIL-INPUT'!Z$7," ",'ADJ DETAIL-INPUT'!Z$8))</f>
        <v>Nez Perce Settlement Adjustment</v>
      </c>
      <c r="C33" s="5"/>
      <c r="D33" s="10">
        <v>11.85</v>
      </c>
      <c r="E33" s="10">
        <v>0</v>
      </c>
      <c r="F33" s="5"/>
      <c r="G33" s="10">
        <f>'ADJ DETAIL-INPUT'!Z$56</f>
        <v>11.85</v>
      </c>
      <c r="H33" s="10">
        <f>'ADJ DETAIL-INPUT'!Z$80</f>
        <v>0</v>
      </c>
      <c r="I33" s="18"/>
      <c r="J33" s="9">
        <f t="shared" si="12"/>
        <v>0</v>
      </c>
      <c r="K33" s="9">
        <f t="shared" si="13"/>
        <v>0</v>
      </c>
      <c r="L33" s="74"/>
      <c r="M33" s="68">
        <f t="shared" si="14"/>
        <v>0</v>
      </c>
      <c r="N33" s="68">
        <f t="shared" si="15"/>
        <v>0</v>
      </c>
      <c r="O33" s="68">
        <f t="shared" si="5"/>
        <v>-15.747926855198807</v>
      </c>
      <c r="P33" s="9">
        <f t="shared" si="16"/>
        <v>0</v>
      </c>
    </row>
    <row r="34" spans="1:16">
      <c r="A34" s="476">
        <f>'ADJ DETAIL-INPUT'!AA$9</f>
        <v>2.1799999999999962</v>
      </c>
      <c r="B34" s="11" t="str">
        <f>TRIM(CONCATENATE('ADJ DETAIL-INPUT'!AA$6," ",'ADJ DETAIL-INPUT'!AA$7," ",'ADJ DETAIL-INPUT'!AA$8))</f>
        <v>Normalize CS2 Major Maint</v>
      </c>
      <c r="D34" s="10">
        <v>-263.86</v>
      </c>
      <c r="E34" s="10">
        <v>0</v>
      </c>
      <c r="G34" s="10">
        <f>'ADJ DETAIL-INPUT'!AA$56</f>
        <v>-263.86</v>
      </c>
      <c r="H34" s="10">
        <f>'ADJ DETAIL-INPUT'!AA$80</f>
        <v>0</v>
      </c>
      <c r="I34" s="18"/>
      <c r="J34" s="9">
        <f>G34-D34</f>
        <v>0</v>
      </c>
      <c r="K34" s="9">
        <f>H34-E34</f>
        <v>0</v>
      </c>
      <c r="L34" s="6"/>
      <c r="M34" s="68">
        <f>J34/$M$9*-1</f>
        <v>0</v>
      </c>
      <c r="N34" s="68">
        <f>K34*$N$9/$M$9</f>
        <v>0</v>
      </c>
      <c r="O34" s="68">
        <f t="shared" si="5"/>
        <v>350.65383797576015</v>
      </c>
      <c r="P34" s="9">
        <f t="shared" si="16"/>
        <v>0</v>
      </c>
    </row>
    <row r="35" spans="1:16" s="53" customFormat="1">
      <c r="A35" s="137">
        <f>'ADJ DETAIL-INPUT'!AB$9</f>
        <v>2.1899999999999959</v>
      </c>
      <c r="B35" s="11" t="str">
        <f>TRIM(CONCATENATE('ADJ DETAIL-INPUT'!AB$6," ",'ADJ DETAIL-INPUT'!AB$7," ",'ADJ DETAIL-INPUT'!AB$8))</f>
        <v>Authorized Power Supply</v>
      </c>
      <c r="C35" s="5"/>
      <c r="D35" s="10">
        <v>46581.56</v>
      </c>
      <c r="E35" s="10">
        <v>0</v>
      </c>
      <c r="F35" s="5"/>
      <c r="G35" s="10">
        <f>'ADJ DETAIL-INPUT'!AB$56</f>
        <v>46581.56</v>
      </c>
      <c r="H35" s="10">
        <f>'ADJ DETAIL-INPUT'!AB$80</f>
        <v>0</v>
      </c>
      <c r="I35" s="18"/>
      <c r="J35" s="9">
        <f t="shared" ref="J35" si="25">G35-D35</f>
        <v>0</v>
      </c>
      <c r="K35" s="9">
        <f t="shared" ref="K35" si="26">H35-E35</f>
        <v>0</v>
      </c>
      <c r="L35" s="52"/>
      <c r="M35" s="68">
        <f t="shared" ref="M35" si="27">J35/$M$9*-1</f>
        <v>0</v>
      </c>
      <c r="N35" s="68">
        <f t="shared" ref="N35" si="28">K35*$N$9/$M$9</f>
        <v>0</v>
      </c>
      <c r="O35" s="68">
        <f t="shared" si="5"/>
        <v>-61904.05060599617</v>
      </c>
      <c r="P35" s="9">
        <f t="shared" si="16"/>
        <v>0</v>
      </c>
    </row>
    <row r="36" spans="1:16" s="53" customFormat="1" hidden="1" outlineLevel="1">
      <c r="A36" s="137">
        <f>'ADJ DETAIL-INPUT'!AC$9</f>
        <v>0</v>
      </c>
      <c r="B36" s="11" t="str">
        <f>TRIM(CONCATENATE('ADJ DETAIL-INPUT'!AC$6," ",'ADJ DETAIL-INPUT'!AC$7," ",'ADJ DETAIL-INPUT'!AC$8))</f>
        <v/>
      </c>
      <c r="C36" s="5"/>
      <c r="D36" s="10">
        <v>0</v>
      </c>
      <c r="E36" s="10">
        <v>0</v>
      </c>
      <c r="F36" s="5"/>
      <c r="G36" s="10">
        <f>'ADJ DETAIL-INPUT'!AC$56</f>
        <v>0</v>
      </c>
      <c r="H36" s="10">
        <f>'ADJ DETAIL-INPUT'!AC$80</f>
        <v>0</v>
      </c>
      <c r="I36" s="18"/>
      <c r="J36" s="9">
        <f t="shared" ref="J36" si="29">G36-D36</f>
        <v>0</v>
      </c>
      <c r="K36" s="9">
        <f t="shared" ref="K36" si="30">H36-E36</f>
        <v>0</v>
      </c>
      <c r="L36" s="52"/>
      <c r="M36" s="68">
        <f t="shared" ref="M36" si="31">J36/$M$9*-1</f>
        <v>0</v>
      </c>
      <c r="N36" s="68">
        <f t="shared" ref="N36" si="32">K36*$N$9/$M$9</f>
        <v>0</v>
      </c>
      <c r="O36" s="68">
        <f t="shared" si="5"/>
        <v>0</v>
      </c>
      <c r="P36" s="9">
        <f t="shared" ref="P36" si="33">SUM(M36:N36)</f>
        <v>0</v>
      </c>
    </row>
    <row r="37" spans="1:16" s="45" customFormat="1" ht="3.75" customHeight="1" collapsed="1">
      <c r="A37" s="137"/>
      <c r="B37" s="11"/>
      <c r="C37" s="5"/>
      <c r="D37" s="7"/>
      <c r="E37" s="7"/>
      <c r="F37" s="5"/>
      <c r="G37" s="59"/>
      <c r="H37" s="59"/>
      <c r="I37" s="18"/>
      <c r="J37" s="59"/>
      <c r="K37" s="477"/>
      <c r="L37" s="75"/>
      <c r="M37" s="77"/>
      <c r="N37" s="77"/>
      <c r="O37" s="68"/>
    </row>
    <row r="38" spans="1:16" ht="13.5" thickBot="1">
      <c r="A38" s="137"/>
      <c r="B38" s="5" t="s">
        <v>83</v>
      </c>
      <c r="D38" s="14">
        <f>SUM(D15:D37)</f>
        <v>136259.22322620009</v>
      </c>
      <c r="E38" s="14">
        <f>SUM(E15:E37)</f>
        <v>2137939.4</v>
      </c>
      <c r="G38" s="14">
        <f>SUM(G15:G37)</f>
        <v>136259.22322620009</v>
      </c>
      <c r="H38" s="14">
        <f>SUM(H15:H37)</f>
        <v>2137939.4</v>
      </c>
      <c r="I38" s="20"/>
      <c r="J38" s="14">
        <f>SUM(J15:J37)</f>
        <v>0</v>
      </c>
      <c r="K38" s="14">
        <f>SUM(K15:K37)</f>
        <v>0</v>
      </c>
      <c r="L38" s="6"/>
      <c r="M38" s="480">
        <f>SUM(M15:M37)</f>
        <v>0</v>
      </c>
      <c r="N38" s="480">
        <f>SUM(N15:N37)</f>
        <v>0</v>
      </c>
      <c r="O38" s="480">
        <f t="shared" si="5"/>
        <v>35134.44226265137</v>
      </c>
    </row>
    <row r="39" spans="1:16" ht="14.25" customHeight="1" thickTop="1">
      <c r="A39" s="428" t="s">
        <v>824</v>
      </c>
      <c r="G39" s="48"/>
      <c r="H39" s="9"/>
      <c r="I39" s="20"/>
      <c r="J39" s="10"/>
      <c r="K39" s="463"/>
      <c r="L39" s="6"/>
      <c r="O39" s="68"/>
    </row>
    <row r="40" spans="1:16">
      <c r="A40" s="137" t="str">
        <f>'ADJ DETAIL-INPUT'!AE$9</f>
        <v>3.00P</v>
      </c>
      <c r="B40" s="11" t="str">
        <f>TRIM(CONCATENATE('ADJ DETAIL-INPUT'!AE$6," ",'ADJ DETAIL-INPUT'!AE$7," ",'ADJ DETAIL-INPUT'!AE$8))</f>
        <v>Pro Forma Power Supply</v>
      </c>
      <c r="D40" s="10">
        <v>-16488.88</v>
      </c>
      <c r="E40" s="10">
        <v>0</v>
      </c>
      <c r="G40" s="10">
        <f>'ADJ DETAIL-INPUT'!AE$56</f>
        <v>-16488.88</v>
      </c>
      <c r="H40" s="10">
        <f>'ADJ DETAIL-INPUT'!AE$80</f>
        <v>0</v>
      </c>
      <c r="I40" s="18"/>
      <c r="J40" s="9">
        <f t="shared" ref="J40:J66" si="34">G40-D40</f>
        <v>0</v>
      </c>
      <c r="K40" s="9">
        <f t="shared" ref="K40:K66" si="35">H40-E40</f>
        <v>0</v>
      </c>
      <c r="L40" s="6"/>
      <c r="M40" s="68">
        <f t="shared" ref="M40:M66" si="36">J40/$M$9*-1</f>
        <v>0</v>
      </c>
      <c r="N40" s="68">
        <f t="shared" ref="N40:N66" si="37">K40*$N$9/$M$9</f>
        <v>0</v>
      </c>
      <c r="O40" s="68">
        <f t="shared" ref="O40:O51" si="38">(H40*$N$9/$M$9)-(G40/$M$9)</f>
        <v>21912.71528811397</v>
      </c>
      <c r="P40" s="9">
        <f t="shared" ref="P40:P66" si="39">SUM(M40:N40)</f>
        <v>0</v>
      </c>
    </row>
    <row r="41" spans="1:16">
      <c r="A41" s="137" t="str">
        <f>'ADJ DETAIL-INPUT'!AF$9</f>
        <v>3.00T</v>
      </c>
      <c r="B41" s="11" t="str">
        <f>TRIM(CONCATENATE('ADJ DETAIL-INPUT'!AF$6," ",'ADJ DETAIL-INPUT'!AF$7," ",'ADJ DETAIL-INPUT'!AF$8))</f>
        <v>Pro Forma Transmission Revenue/Expense</v>
      </c>
      <c r="D41" s="10">
        <v>2563.5500000000002</v>
      </c>
      <c r="E41" s="10">
        <v>0</v>
      </c>
      <c r="G41" s="10">
        <f>'ADJ DETAIL-INPUT'!AF$56</f>
        <v>2563.5500000000002</v>
      </c>
      <c r="H41" s="10">
        <f>'ADJ DETAIL-INPUT'!AF$80</f>
        <v>0</v>
      </c>
      <c r="I41" s="18"/>
      <c r="J41" s="9">
        <f t="shared" ref="J41" si="40">G41-D41</f>
        <v>0</v>
      </c>
      <c r="K41" s="9">
        <f t="shared" ref="K41" si="41">H41-E41</f>
        <v>0</v>
      </c>
      <c r="L41" s="6"/>
      <c r="M41" s="68">
        <f t="shared" ref="M41" si="42">J41/$M$9*-1</f>
        <v>0</v>
      </c>
      <c r="N41" s="68">
        <f t="shared" ref="N41" si="43">K41*$N$9/$M$9</f>
        <v>0</v>
      </c>
      <c r="O41" s="68">
        <f t="shared" ref="O41" si="44">(H41*$N$9/$M$9)-(G41/$M$9)</f>
        <v>-3406.8015096746758</v>
      </c>
      <c r="P41" s="9">
        <f t="shared" ref="P41" si="45">SUM(M41:N41)</f>
        <v>0</v>
      </c>
    </row>
    <row r="42" spans="1:16">
      <c r="A42" s="137">
        <f>'ADJ DETAIL-INPUT'!AG$9</f>
        <v>3.01</v>
      </c>
      <c r="B42" s="11" t="str">
        <f>TRIM(CONCATENATE('ADJ DETAIL-INPUT'!AG$6," ",'ADJ DETAIL-INPUT'!AG$7," ",'ADJ DETAIL-INPUT'!AG$8))</f>
        <v>Pro Forma Revenue Normalization</v>
      </c>
      <c r="D42" s="10">
        <v>25155.97</v>
      </c>
      <c r="E42" s="10">
        <v>0</v>
      </c>
      <c r="G42" s="10">
        <f>'ADJ DETAIL-INPUT'!AG$56</f>
        <v>25155.97</v>
      </c>
      <c r="H42" s="10">
        <f>'ADJ DETAIL-INPUT'!AG$80</f>
        <v>0</v>
      </c>
      <c r="I42" s="18"/>
      <c r="J42" s="9">
        <f t="shared" ref="J42" si="46">G42-D42</f>
        <v>0</v>
      </c>
      <c r="K42" s="9">
        <f t="shared" ref="K42" si="47">H42-E42</f>
        <v>0</v>
      </c>
      <c r="L42" s="6"/>
      <c r="M42" s="68">
        <f t="shared" ref="M42" si="48">J42/$M$9*-1</f>
        <v>0</v>
      </c>
      <c r="N42" s="68">
        <f t="shared" ref="N42" si="49">K42*$N$9/$M$9</f>
        <v>0</v>
      </c>
      <c r="O42" s="68">
        <f t="shared" ref="O42" si="50">(H42*$N$9/$M$9)-(G42/$M$9)</f>
        <v>-33430.748990006381</v>
      </c>
      <c r="P42" s="9">
        <f t="shared" ref="P42" si="51">SUM(M42:N42)</f>
        <v>0</v>
      </c>
    </row>
    <row r="43" spans="1:16">
      <c r="A43" s="137">
        <f>'ADJ DETAIL-INPUT'!AH$9</f>
        <v>3.0199999999999996</v>
      </c>
      <c r="B43" s="11" t="str">
        <f>TRIM(CONCATENATE('ADJ DETAIL-INPUT'!AH$6," ",'ADJ DETAIL-INPUT'!AH$7," ",'ADJ DETAIL-INPUT'!AH$8))</f>
        <v>Pro Forma Def. Debits, Credits &amp; Regulatory Amorts</v>
      </c>
      <c r="D43" s="10">
        <v>-4912.6149999999998</v>
      </c>
      <c r="E43" s="10">
        <v>0</v>
      </c>
      <c r="G43" s="10">
        <f>'ADJ DETAIL-INPUT'!AH$56</f>
        <v>-4912.6149999999998</v>
      </c>
      <c r="H43" s="10">
        <f>'ADJ DETAIL-INPUT'!AH$80</f>
        <v>0</v>
      </c>
      <c r="I43" s="18"/>
      <c r="J43" s="9">
        <f t="shared" ref="J43:K45" si="52">G43-D43</f>
        <v>0</v>
      </c>
      <c r="K43" s="9">
        <f t="shared" si="52"/>
        <v>0</v>
      </c>
      <c r="M43" s="68">
        <f>J43/$M$9*-1</f>
        <v>0</v>
      </c>
      <c r="N43" s="68">
        <f>K43*$N$9/$M$9</f>
        <v>0</v>
      </c>
      <c r="O43" s="68">
        <f>(H43*$N$9/$M$9)-(G43/$M$9)</f>
        <v>6528.5655432702524</v>
      </c>
      <c r="P43" s="9">
        <f>SUM(M43:N43)</f>
        <v>0</v>
      </c>
    </row>
    <row r="44" spans="1:16">
      <c r="A44" s="137">
        <f>'ADJ DETAIL-INPUT'!AI$9</f>
        <v>3.0299999999999994</v>
      </c>
      <c r="B44" s="11" t="str">
        <f>TRIM(CONCATENATE('ADJ DETAIL-INPUT'!AI$6," ",'ADJ DETAIL-INPUT'!AI$7," ",'ADJ DETAIL-INPUT'!AI$8))</f>
        <v>Pro Forma EDIT (RSGM)</v>
      </c>
      <c r="D44" s="10">
        <v>-92</v>
      </c>
      <c r="E44" s="10">
        <v>0</v>
      </c>
      <c r="G44" s="10">
        <f>'ADJ DETAIL-INPUT'!AI$56</f>
        <v>-92</v>
      </c>
      <c r="H44" s="10">
        <f>'ADJ DETAIL-INPUT'!AI$80</f>
        <v>0</v>
      </c>
      <c r="I44" s="18"/>
      <c r="J44" s="9">
        <f t="shared" si="52"/>
        <v>0</v>
      </c>
      <c r="K44" s="9">
        <f t="shared" si="52"/>
        <v>0</v>
      </c>
      <c r="M44" s="68">
        <f>J44/$M$9*-1</f>
        <v>0</v>
      </c>
      <c r="N44" s="68">
        <f>K44*$N$9/$M$9</f>
        <v>0</v>
      </c>
      <c r="O44" s="68">
        <f>(H44*$N$9/$M$9)-(G44/$M$9)</f>
        <v>122.26238571124813</v>
      </c>
      <c r="P44" s="9">
        <f>SUM(M44:N44)</f>
        <v>0</v>
      </c>
    </row>
    <row r="45" spans="1:16">
      <c r="A45" s="137">
        <f>'ADJ DETAIL-INPUT'!AJ$9</f>
        <v>3.0399999999999991</v>
      </c>
      <c r="B45" s="11" t="str">
        <f>TRIM(CONCATENATE('ADJ DETAIL-INPUT'!AJ$6," ",'ADJ DETAIL-INPUT'!AJ$7," ",'ADJ DETAIL-INPUT'!AJ$8))</f>
        <v>Pro Forma AMI Amortization</v>
      </c>
      <c r="D45" s="10">
        <v>1792.755987</v>
      </c>
      <c r="E45" s="10">
        <v>-7529</v>
      </c>
      <c r="G45" s="10">
        <f>'ADJ DETAIL-INPUT'!AJ$56</f>
        <v>1792.755987</v>
      </c>
      <c r="H45" s="10">
        <f>'ADJ DETAIL-INPUT'!AJ$80</f>
        <v>-7529</v>
      </c>
      <c r="I45" s="57"/>
      <c r="J45" s="9">
        <f t="shared" si="52"/>
        <v>0</v>
      </c>
      <c r="K45" s="9">
        <f t="shared" si="52"/>
        <v>0</v>
      </c>
      <c r="L45" s="6"/>
      <c r="M45" s="68">
        <f>J45/$M$9*-1</f>
        <v>0</v>
      </c>
      <c r="N45" s="68">
        <f>K45*$N$9/$M$9</f>
        <v>0</v>
      </c>
      <c r="O45" s="68">
        <f>(H45*$N$9/$M$9)-(G45/$M$9)</f>
        <v>-3143.8880594833086</v>
      </c>
      <c r="P45" s="9">
        <f>SUM(M45:N45)</f>
        <v>0</v>
      </c>
    </row>
    <row r="46" spans="1:16">
      <c r="A46" s="476">
        <f>'ADJ DETAIL-INPUT'!AK$9</f>
        <v>3.0499999999999989</v>
      </c>
      <c r="B46" s="11" t="str">
        <f>TRIM(CONCATENATE('ADJ DETAIL-INPUT'!AK$6," ",'ADJ DETAIL-INPUT'!AK$7," ",'ADJ DETAIL-INPUT'!AK$8))</f>
        <v>Pro Forma Labor Non-Exec</v>
      </c>
      <c r="D46" s="10">
        <v>-5209.8130000000001</v>
      </c>
      <c r="E46" s="10">
        <v>0</v>
      </c>
      <c r="G46" s="10">
        <f>'ADJ DETAIL-INPUT'!AK$56</f>
        <v>-5209.8130000000001</v>
      </c>
      <c r="H46" s="10">
        <f>'ADJ DETAIL-INPUT'!AK$80</f>
        <v>0</v>
      </c>
      <c r="I46" s="18"/>
      <c r="J46" s="9">
        <f t="shared" ref="J46" si="53">G46-D46</f>
        <v>0</v>
      </c>
      <c r="K46" s="9">
        <f t="shared" ref="K46" si="54">H46-E46</f>
        <v>0</v>
      </c>
      <c r="M46" s="68">
        <f t="shared" ref="M46" si="55">J46/$M$9*-1</f>
        <v>0</v>
      </c>
      <c r="N46" s="68">
        <f t="shared" ref="N46" si="56">K46*$N$9/$M$9</f>
        <v>0</v>
      </c>
      <c r="O46" s="68">
        <f t="shared" ref="O46" si="57">(H46*$N$9/$M$9)-(G46/$M$9)</f>
        <v>6923.5235487986392</v>
      </c>
      <c r="P46" s="9">
        <f>SUM(M46:N46)</f>
        <v>0</v>
      </c>
    </row>
    <row r="47" spans="1:16">
      <c r="A47" s="476">
        <f>'ADJ DETAIL-INPUT'!AL$9</f>
        <v>3.0599999999999987</v>
      </c>
      <c r="B47" s="11" t="str">
        <f>TRIM(CONCATENATE('ADJ DETAIL-INPUT'!AL$6," ",'ADJ DETAIL-INPUT'!AL$7," ",'ADJ DETAIL-INPUT'!AL$8))</f>
        <v>Pro Forma Labor Exec</v>
      </c>
      <c r="D47" s="10">
        <v>-47.429230000000004</v>
      </c>
      <c r="E47" s="10">
        <v>0</v>
      </c>
      <c r="G47" s="10">
        <f>'ADJ DETAIL-INPUT'!AL$56</f>
        <v>-47.429230000000004</v>
      </c>
      <c r="H47" s="10">
        <f>'ADJ DETAIL-INPUT'!AL$80</f>
        <v>0</v>
      </c>
      <c r="I47" s="18"/>
      <c r="J47" s="9">
        <f t="shared" ref="J47" si="58">G47-D47</f>
        <v>0</v>
      </c>
      <c r="K47" s="9">
        <f t="shared" ref="K47" si="59">H47-E47</f>
        <v>0</v>
      </c>
      <c r="M47" s="68">
        <f t="shared" ref="M47" si="60">J47/$M$9*-1</f>
        <v>0</v>
      </c>
      <c r="N47" s="68">
        <f t="shared" ref="N47" si="61">K47*$N$9/$M$9</f>
        <v>0</v>
      </c>
      <c r="O47" s="68">
        <f t="shared" ref="O47" si="62">(H47*$N$9/$M$9)-(G47/$M$9)</f>
        <v>63.030552307038064</v>
      </c>
      <c r="P47" s="9">
        <f>SUM(M47:N47)</f>
        <v>0</v>
      </c>
    </row>
    <row r="48" spans="1:16">
      <c r="A48" s="137">
        <f>'ADJ DETAIL-INPUT'!AM$9</f>
        <v>3.0699999999999985</v>
      </c>
      <c r="B48" s="11" t="str">
        <f>TRIM(CONCATENATE('ADJ DETAIL-INPUT'!AM$6," ",'ADJ DETAIL-INPUT'!AM$7," ",'ADJ DETAIL-INPUT'!AM$8))</f>
        <v>Pro Forma Employee Benefits</v>
      </c>
      <c r="D48" s="10">
        <v>4288.5940000000001</v>
      </c>
      <c r="E48" s="10">
        <v>0</v>
      </c>
      <c r="G48" s="10">
        <f>'ADJ DETAIL-INPUT'!AM$56</f>
        <v>4288.5940000000001</v>
      </c>
      <c r="H48" s="10">
        <f>'ADJ DETAIL-INPUT'!AM$80</f>
        <v>0</v>
      </c>
      <c r="I48" s="18"/>
      <c r="J48" s="9">
        <f t="shared" si="34"/>
        <v>0</v>
      </c>
      <c r="K48" s="9">
        <f t="shared" si="35"/>
        <v>0</v>
      </c>
      <c r="L48" s="6"/>
      <c r="M48" s="68">
        <f t="shared" si="36"/>
        <v>0</v>
      </c>
      <c r="N48" s="68">
        <f t="shared" si="37"/>
        <v>0</v>
      </c>
      <c r="O48" s="68">
        <f t="shared" si="38"/>
        <v>-5699.2797150754832</v>
      </c>
      <c r="P48" s="9">
        <f t="shared" si="39"/>
        <v>0</v>
      </c>
    </row>
    <row r="49" spans="1:16">
      <c r="A49" s="137">
        <f>'ADJ DETAIL-INPUT'!AN$9</f>
        <v>3.0799999999999983</v>
      </c>
      <c r="B49" s="11" t="str">
        <f>TRIM(CONCATENATE('ADJ DETAIL-INPUT'!AN$6," ",'ADJ DETAIL-INPUT'!AN$7," ",'ADJ DETAIL-INPUT'!AN$8))</f>
        <v>Pro Forma Incentives</v>
      </c>
      <c r="D49" s="10">
        <v>-919.32300000000009</v>
      </c>
      <c r="E49" s="10">
        <v>0</v>
      </c>
      <c r="G49" s="10">
        <f>'ADJ DETAIL-INPUT'!AN$56</f>
        <v>-919.32300000000009</v>
      </c>
      <c r="H49" s="10">
        <f>'ADJ DETAIL-INPUT'!AN$80</f>
        <v>0</v>
      </c>
      <c r="I49" s="18"/>
      <c r="J49" s="9">
        <f t="shared" ref="J49" si="63">G49-D49</f>
        <v>0</v>
      </c>
      <c r="K49" s="9">
        <f t="shared" ref="K49" si="64">H49-E49</f>
        <v>0</v>
      </c>
      <c r="L49" s="6"/>
      <c r="M49" s="68">
        <f t="shared" ref="M49" si="65">J49/$M$9*-1</f>
        <v>0</v>
      </c>
      <c r="N49" s="68">
        <f t="shared" ref="N49" si="66">K49*$N$9/$M$9</f>
        <v>0</v>
      </c>
      <c r="O49" s="68">
        <f t="shared" ref="O49" si="67">(H49*$N$9/$M$9)-(G49/$M$9)</f>
        <v>1221.7241654263237</v>
      </c>
      <c r="P49" s="9">
        <f t="shared" ref="P49" si="68">SUM(M49:N49)</f>
        <v>0</v>
      </c>
    </row>
    <row r="50" spans="1:16" ht="12" customHeight="1">
      <c r="A50" s="137">
        <f>'ADJ DETAIL-INPUT'!AO$9</f>
        <v>3.0899999999999981</v>
      </c>
      <c r="B50" s="11" t="str">
        <f>TRIM(CONCATENATE('ADJ DETAIL-INPUT'!AO$6," ",'ADJ DETAIL-INPUT'!AO$7," ",'ADJ DETAIL-INPUT'!AO$8))</f>
        <v>Pro Forma LIRAP Labor</v>
      </c>
      <c r="D50" s="10">
        <v>-206.98000000000002</v>
      </c>
      <c r="E50" s="10">
        <v>0</v>
      </c>
      <c r="G50" s="10">
        <f>'ADJ DETAIL-INPUT'!AO$56</f>
        <v>-206.98000000000002</v>
      </c>
      <c r="H50" s="10">
        <f>'ADJ DETAIL-INPUT'!AO$80</f>
        <v>0</v>
      </c>
      <c r="I50" s="18"/>
      <c r="J50" s="9">
        <f t="shared" si="34"/>
        <v>0</v>
      </c>
      <c r="K50" s="9">
        <f t="shared" si="35"/>
        <v>0</v>
      </c>
      <c r="L50" s="6"/>
      <c r="M50" s="68">
        <f t="shared" si="36"/>
        <v>0</v>
      </c>
      <c r="N50" s="68">
        <f t="shared" si="37"/>
        <v>0</v>
      </c>
      <c r="O50" s="68">
        <f t="shared" si="38"/>
        <v>275.06378907080585</v>
      </c>
      <c r="P50" s="9">
        <f t="shared" si="39"/>
        <v>0</v>
      </c>
    </row>
    <row r="51" spans="1:16">
      <c r="A51" s="137">
        <f>'ADJ DETAIL-INPUT'!AP$9</f>
        <v>3.0999999999999979</v>
      </c>
      <c r="B51" s="11" t="str">
        <f>TRIM(CONCATENATE('ADJ DETAIL-INPUT'!AP$6," ",'ADJ DETAIL-INPUT'!AP$7," ",'ADJ DETAIL-INPUT'!AP$8))</f>
        <v>Pro Forma CCA Labor</v>
      </c>
      <c r="D51" s="10">
        <v>-300.99</v>
      </c>
      <c r="E51" s="10">
        <v>0</v>
      </c>
      <c r="G51" s="10">
        <f>'ADJ DETAIL-INPUT'!AP$56</f>
        <v>-300.99</v>
      </c>
      <c r="H51" s="10">
        <f>'ADJ DETAIL-INPUT'!AP$80</f>
        <v>0</v>
      </c>
      <c r="I51" s="18"/>
      <c r="J51" s="9">
        <f t="shared" si="34"/>
        <v>0</v>
      </c>
      <c r="K51" s="9">
        <f t="shared" si="35"/>
        <v>0</v>
      </c>
      <c r="M51" s="68">
        <f t="shared" si="36"/>
        <v>0</v>
      </c>
      <c r="N51" s="68">
        <f t="shared" si="37"/>
        <v>0</v>
      </c>
      <c r="O51" s="68">
        <f t="shared" si="38"/>
        <v>399.99734212204976</v>
      </c>
      <c r="P51" s="9">
        <f t="shared" si="39"/>
        <v>0</v>
      </c>
    </row>
    <row r="52" spans="1:16">
      <c r="A52" s="137">
        <f>'ADJ DETAIL-INPUT'!AQ$9</f>
        <v>3.1099999999999977</v>
      </c>
      <c r="B52" s="11" t="str">
        <f>TRIM(CONCATENATE('ADJ DETAIL-INPUT'!AQ$6," ",'ADJ DETAIL-INPUT'!AQ$7," ",'ADJ DETAIL-INPUT'!AQ$8))</f>
        <v>Pro Forma Property Tax</v>
      </c>
      <c r="D52" s="10">
        <v>146.15</v>
      </c>
      <c r="E52" s="10">
        <v>0</v>
      </c>
      <c r="G52" s="10">
        <f>'ADJ DETAIL-INPUT'!AQ$56</f>
        <v>146.15</v>
      </c>
      <c r="H52" s="10">
        <f>'ADJ DETAIL-INPUT'!AQ$80</f>
        <v>0</v>
      </c>
      <c r="I52" s="18"/>
      <c r="J52" s="9">
        <f t="shared" ref="J52" si="69">G52-D52</f>
        <v>0</v>
      </c>
      <c r="K52" s="9">
        <f t="shared" ref="K52" si="70">H52-E52</f>
        <v>0</v>
      </c>
      <c r="M52" s="68">
        <f t="shared" ref="M52" si="71">J52/$M$9*-1</f>
        <v>0</v>
      </c>
      <c r="N52" s="68">
        <f t="shared" ref="N52" si="72">K52*$N$9/$M$9</f>
        <v>0</v>
      </c>
      <c r="O52" s="68">
        <f t="shared" ref="O52" si="73">(H52*$N$9/$M$9)-(G52/$M$9)</f>
        <v>-194.22443121411865</v>
      </c>
      <c r="P52" s="9">
        <f t="shared" ref="P52" si="74">SUM(M52:N52)</f>
        <v>0</v>
      </c>
    </row>
    <row r="53" spans="1:16" s="15" customFormat="1">
      <c r="A53" s="137">
        <f>'ADJ DETAIL-INPUT'!AR$9</f>
        <v>3.1199999999999974</v>
      </c>
      <c r="B53" s="11" t="str">
        <f>TRIM(CONCATENATE('ADJ DETAIL-INPUT'!AR$6," ",'ADJ DETAIL-INPUT'!AR$7," ",'ADJ DETAIL-INPUT'!AR$8))</f>
        <v>Pro Forma Insurance Expense</v>
      </c>
      <c r="C53" s="5"/>
      <c r="D53" s="10">
        <v>-4155.3999999999996</v>
      </c>
      <c r="E53" s="10">
        <v>0</v>
      </c>
      <c r="F53" s="5"/>
      <c r="G53" s="10">
        <f>'ADJ DETAIL-INPUT'!AR$56</f>
        <v>-4155.3999999999996</v>
      </c>
      <c r="H53" s="10">
        <f>'ADJ DETAIL-INPUT'!AR$80</f>
        <v>0</v>
      </c>
      <c r="I53" s="18"/>
      <c r="J53" s="9">
        <f>G53-D53</f>
        <v>0</v>
      </c>
      <c r="K53" s="9">
        <f>H53-E53</f>
        <v>0</v>
      </c>
      <c r="L53" s="74"/>
      <c r="M53" s="68">
        <f>J53/$M$9*-1</f>
        <v>0</v>
      </c>
      <c r="N53" s="68">
        <f>K53*$N$9/$M$9</f>
        <v>0</v>
      </c>
      <c r="O53" s="68">
        <f>(H53*$N$9/$M$9)-(G53/$M$9)</f>
        <v>5522.2730172230486</v>
      </c>
      <c r="P53" s="9">
        <f>SUM(M53:N53)</f>
        <v>0</v>
      </c>
    </row>
    <row r="54" spans="1:16" s="53" customFormat="1">
      <c r="A54" s="137">
        <f>'ADJ DETAIL-INPUT'!AS$9</f>
        <v>3.1299999999999972</v>
      </c>
      <c r="B54" s="11" t="str">
        <f>TRIM(CONCATENATE('ADJ DETAIL-INPUT'!AS$6," ",'ADJ DETAIL-INPUT'!AS$7," ",'ADJ DETAIL-INPUT'!AS$8))</f>
        <v>Pro Forma IS/IT Expense</v>
      </c>
      <c r="C54" s="5"/>
      <c r="D54" s="10">
        <v>-80.185000000000002</v>
      </c>
      <c r="E54" s="10">
        <v>0</v>
      </c>
      <c r="F54" s="5"/>
      <c r="G54" s="10">
        <f>'ADJ DETAIL-INPUT'!AS$56</f>
        <v>-80.185000000000002</v>
      </c>
      <c r="H54" s="10">
        <f>'ADJ DETAIL-INPUT'!AS$80</f>
        <v>0</v>
      </c>
      <c r="I54" s="18"/>
      <c r="J54" s="9">
        <f>G54-D54</f>
        <v>0</v>
      </c>
      <c r="K54" s="9">
        <f>H54-E54</f>
        <v>0</v>
      </c>
      <c r="L54" s="52"/>
      <c r="M54" s="68">
        <f>J54/$M$9*-1</f>
        <v>0</v>
      </c>
      <c r="N54" s="68">
        <f>K54*$N$9/$M$9</f>
        <v>0</v>
      </c>
      <c r="O54" s="68">
        <f>(H54*$N$9/$M$9)-(G54/$M$9)</f>
        <v>106.56097172017861</v>
      </c>
      <c r="P54" s="9">
        <f t="shared" si="39"/>
        <v>0</v>
      </c>
    </row>
    <row r="55" spans="1:16" s="15" customFormat="1">
      <c r="A55" s="137">
        <f>'ADJ DETAIL-INPUT'!AT$9</f>
        <v>3.139999999999997</v>
      </c>
      <c r="B55" s="11" t="str">
        <f>TRIM(CONCATENATE('ADJ DETAIL-INPUT'!AT$6," ",'ADJ DETAIL-INPUT'!AT$7," ",'ADJ DETAIL-INPUT'!AT$8))</f>
        <v>Pro Forma Misc O&amp;M Exp</v>
      </c>
      <c r="C55" s="5"/>
      <c r="D55" s="10">
        <v>-7012.0004999999992</v>
      </c>
      <c r="E55" s="10">
        <v>0</v>
      </c>
      <c r="F55" s="5"/>
      <c r="G55" s="10">
        <f>'ADJ DETAIL-INPUT'!AT$56</f>
        <v>-7012.0004999999992</v>
      </c>
      <c r="H55" s="10">
        <f>'ADJ DETAIL-INPUT'!AT$80</f>
        <v>0</v>
      </c>
      <c r="I55" s="18"/>
      <c r="J55" s="9">
        <f t="shared" ref="J55" si="75">G55-D55</f>
        <v>0</v>
      </c>
      <c r="K55" s="9">
        <f t="shared" ref="K55" si="76">H55-E55</f>
        <v>0</v>
      </c>
      <c r="L55" s="74"/>
      <c r="M55" s="68">
        <f t="shared" ref="M55" si="77">J55/$M$9*-1</f>
        <v>0</v>
      </c>
      <c r="N55" s="68">
        <f t="shared" ref="N55" si="78">K55*$N$9/$M$9</f>
        <v>0</v>
      </c>
      <c r="O55" s="68">
        <f>(H55*$N$9/$M$9)-(G55/$M$9)</f>
        <v>9318.5207580267906</v>
      </c>
      <c r="P55" s="9">
        <f t="shared" si="39"/>
        <v>0</v>
      </c>
    </row>
    <row r="56" spans="1:16" s="15" customFormat="1">
      <c r="A56" s="137">
        <f>'ADJ DETAIL-INPUT'!AU$9</f>
        <v>3.1499999999999968</v>
      </c>
      <c r="B56" s="11" t="str">
        <f>TRIM(CONCATENATE('ADJ DETAIL-INPUT'!AU$6," ",'ADJ DETAIL-INPUT'!AU$7," ",'ADJ DETAIL-INPUT'!AU$8))</f>
        <v>Pro Forma Capital Additions to 12.31.2023 EOP</v>
      </c>
      <c r="C56" s="5"/>
      <c r="D56" s="10">
        <v>-2860.8231869129622</v>
      </c>
      <c r="E56" s="10">
        <v>83421.310559021265</v>
      </c>
      <c r="F56" s="5"/>
      <c r="G56" s="10">
        <f>'ADJ DETAIL-INPUT'!AU$56</f>
        <v>-2860.8231869129622</v>
      </c>
      <c r="H56" s="10">
        <f>'ADJ DETAIL-INPUT'!AU$80</f>
        <v>83421.310559021265</v>
      </c>
      <c r="I56" s="18"/>
      <c r="J56" s="9">
        <f t="shared" ref="J56:J57" si="79">G56-D56</f>
        <v>0</v>
      </c>
      <c r="K56" s="9">
        <f t="shared" ref="K56:K57" si="80">H56-E56</f>
        <v>0</v>
      </c>
      <c r="L56" s="74"/>
      <c r="M56" s="68">
        <f t="shared" ref="M56:M57" si="81">J56/$M$9*-1</f>
        <v>0</v>
      </c>
      <c r="N56" s="68">
        <f t="shared" ref="N56:N57" si="82">K56*$N$9/$M$9</f>
        <v>0</v>
      </c>
      <c r="O56" s="68">
        <f t="shared" ref="O56:O57" si="83">(H56*$N$9/$M$9)-(G56/$M$9)</f>
        <v>12238.444769900168</v>
      </c>
      <c r="P56" s="9">
        <f t="shared" ref="P56:P57" si="84">SUM(M56:N56)</f>
        <v>0</v>
      </c>
    </row>
    <row r="57" spans="1:16" s="15" customFormat="1">
      <c r="A57" s="137">
        <f>'ADJ DETAIL-INPUT'!AV$9</f>
        <v>3.1599999999999966</v>
      </c>
      <c r="B57" s="11" t="str">
        <f>TRIM(CONCATENATE('ADJ DETAIL-INPUT'!AV$6," ",'ADJ DETAIL-INPUT'!AV$7," ",'ADJ DETAIL-INPUT'!AV$8))</f>
        <v>Pro Forma Depreciation Expense</v>
      </c>
      <c r="C57" s="5"/>
      <c r="D57" s="10">
        <v>592.73699999999997</v>
      </c>
      <c r="E57" s="10">
        <v>0</v>
      </c>
      <c r="F57" s="5"/>
      <c r="G57" s="10">
        <f>'ADJ DETAIL-INPUT'!AV$56</f>
        <v>592.73699999999997</v>
      </c>
      <c r="H57" s="10">
        <f>'ADJ DETAIL-INPUT'!AV$80</f>
        <v>0</v>
      </c>
      <c r="I57" s="18"/>
      <c r="J57" s="9">
        <f t="shared" si="79"/>
        <v>0</v>
      </c>
      <c r="K57" s="9">
        <f t="shared" si="80"/>
        <v>0</v>
      </c>
      <c r="L57" s="74"/>
      <c r="M57" s="68">
        <f t="shared" si="81"/>
        <v>0</v>
      </c>
      <c r="N57" s="68">
        <f t="shared" si="82"/>
        <v>0</v>
      </c>
      <c r="O57" s="68">
        <f t="shared" si="83"/>
        <v>-787.71130129704432</v>
      </c>
      <c r="P57" s="9">
        <f t="shared" si="84"/>
        <v>0</v>
      </c>
    </row>
    <row r="58" spans="1:16" s="15" customFormat="1">
      <c r="A58" s="137">
        <f>'ADJ DETAIL-INPUT'!AW$9</f>
        <v>3.1699999999999964</v>
      </c>
      <c r="B58" s="11" t="str">
        <f>TRIM(CONCATENATE('ADJ DETAIL-INPUT'!AW$6," ",'ADJ DETAIL-INPUT'!AW$7," ",'ADJ DETAIL-INPUT'!AW$8))</f>
        <v>Pro Forma Capital Additions to 12.31.2024 EOP</v>
      </c>
      <c r="C58" s="5"/>
      <c r="D58" s="10">
        <v>-3292.1299926000002</v>
      </c>
      <c r="E58" s="10">
        <v>70224.200000000012</v>
      </c>
      <c r="F58" s="5"/>
      <c r="G58" s="10">
        <f>'ADJ DETAIL-INPUT'!AW$56</f>
        <v>-3292.1299926000002</v>
      </c>
      <c r="H58" s="10">
        <f>'ADJ DETAIL-INPUT'!AW$80</f>
        <v>70224.200000000012</v>
      </c>
      <c r="I58" s="18"/>
      <c r="J58" s="9">
        <f t="shared" ref="J58:J59" si="85">G58-D58</f>
        <v>0</v>
      </c>
      <c r="K58" s="9">
        <f t="shared" ref="K58:K59" si="86">H58-E58</f>
        <v>0</v>
      </c>
      <c r="L58" s="74"/>
      <c r="M58" s="68">
        <f t="shared" ref="M58:M59" si="87">J58/$M$9*-1</f>
        <v>0</v>
      </c>
      <c r="N58" s="68">
        <f t="shared" ref="N58:N59" si="88">K58*$N$9/$M$9</f>
        <v>0</v>
      </c>
      <c r="O58" s="68">
        <f t="shared" ref="O58:O59" si="89">(H58*$N$9/$M$9)-(G58/$M$9)</f>
        <v>11476.971630608125</v>
      </c>
      <c r="P58" s="9">
        <f t="shared" ref="P58:P59" si="90">SUM(M58:N58)</f>
        <v>0</v>
      </c>
    </row>
    <row r="59" spans="1:16" s="15" customFormat="1">
      <c r="A59" s="137">
        <f>'ADJ DETAIL-INPUT'!AX$9</f>
        <v>3.1799999999999962</v>
      </c>
      <c r="B59" s="11" t="str">
        <f>TRIM(CONCATENATE('ADJ DETAIL-INPUT'!AX$6," ",'ADJ DETAIL-INPUT'!AX$7," ",'ADJ DETAIL-INPUT'!AX$8))</f>
        <v>Pro Forma New Regulatory Amortizations</v>
      </c>
      <c r="C59" s="5"/>
      <c r="D59" s="10">
        <v>-3616.4619999999995</v>
      </c>
      <c r="E59" s="10">
        <v>0</v>
      </c>
      <c r="F59" s="5"/>
      <c r="G59" s="10">
        <f>'ADJ DETAIL-INPUT'!AX$56</f>
        <v>-3616.4619999999995</v>
      </c>
      <c r="H59" s="10">
        <f>'ADJ DETAIL-INPUT'!AX$80</f>
        <v>0</v>
      </c>
      <c r="I59" s="18"/>
      <c r="J59" s="9">
        <f t="shared" si="85"/>
        <v>0</v>
      </c>
      <c r="K59" s="9">
        <f t="shared" si="86"/>
        <v>0</v>
      </c>
      <c r="L59" s="74"/>
      <c r="M59" s="68">
        <f t="shared" si="87"/>
        <v>0</v>
      </c>
      <c r="N59" s="68">
        <f t="shared" si="88"/>
        <v>0</v>
      </c>
      <c r="O59" s="68">
        <f t="shared" si="89"/>
        <v>4806.0573038486064</v>
      </c>
      <c r="P59" s="9">
        <f t="shared" si="90"/>
        <v>0</v>
      </c>
    </row>
    <row r="60" spans="1:16">
      <c r="A60" s="476">
        <f>'ADJ DETAIL-INPUT'!AY$9</f>
        <v>3.1899999999999959</v>
      </c>
      <c r="B60" s="11" t="str">
        <f>TRIM(CONCATENATE('ADJ DETAIL-INPUT'!AY$6," ",'ADJ DETAIL-INPUT'!AY$7," ",'ADJ DETAIL-INPUT'!AY$8))</f>
        <v>Pro Forma Nucleus/ETRM Expense</v>
      </c>
      <c r="D60" s="10">
        <v>-444.77</v>
      </c>
      <c r="E60" s="10">
        <v>0</v>
      </c>
      <c r="G60" s="10">
        <f>'ADJ DETAIL-INPUT'!AY$56</f>
        <v>-444.77</v>
      </c>
      <c r="H60" s="10">
        <f>'ADJ DETAIL-INPUT'!AY$80</f>
        <v>0</v>
      </c>
      <c r="I60" s="18"/>
      <c r="J60" s="9">
        <f t="shared" ref="J60:K62" si="91">G60-D60</f>
        <v>0</v>
      </c>
      <c r="K60" s="9">
        <f t="shared" si="91"/>
        <v>0</v>
      </c>
      <c r="M60" s="68">
        <f>J60/$M$9*-1</f>
        <v>0</v>
      </c>
      <c r="N60" s="68">
        <f>K60*$N$9/$M$9</f>
        <v>0</v>
      </c>
      <c r="O60" s="68">
        <f>(H60*$N$9/$M$9)-(G60/$M$9)</f>
        <v>591.07218796512859</v>
      </c>
      <c r="P60" s="9">
        <f>SUM(M60:N60)</f>
        <v>0</v>
      </c>
    </row>
    <row r="61" spans="1:16">
      <c r="A61" s="476">
        <f>'ADJ DETAIL-INPUT'!AZ$9</f>
        <v>3.1999999999999957</v>
      </c>
      <c r="B61" s="11" t="str">
        <f>TRIM(CONCATENATE('ADJ DETAIL-INPUT'!AZ$6," ",'ADJ DETAIL-INPUT'!AZ$7," ",'ADJ DETAIL-INPUT'!AZ$8))</f>
        <v>Pro Forma BOD Fees Expense</v>
      </c>
      <c r="D61" s="10">
        <v>-374.38099999999997</v>
      </c>
      <c r="E61" s="10">
        <v>0</v>
      </c>
      <c r="G61" s="10">
        <f>'ADJ DETAIL-INPUT'!AZ$56</f>
        <v>-374.38099999999997</v>
      </c>
      <c r="H61" s="10">
        <f>'ADJ DETAIL-INPUT'!AZ$80</f>
        <v>0</v>
      </c>
      <c r="I61" s="18"/>
      <c r="J61" s="9">
        <f t="shared" si="91"/>
        <v>0</v>
      </c>
      <c r="K61" s="9">
        <f t="shared" si="91"/>
        <v>0</v>
      </c>
      <c r="M61" s="68">
        <f>J61/$M$9*-1</f>
        <v>0</v>
      </c>
      <c r="N61" s="68">
        <f>K61*$N$9/$M$9</f>
        <v>0</v>
      </c>
      <c r="O61" s="68">
        <f>(H61*$N$9/$M$9)-(G61/$M$9)</f>
        <v>497.52950244524766</v>
      </c>
      <c r="P61" s="9">
        <f>SUM(M61:N61)</f>
        <v>0</v>
      </c>
    </row>
    <row r="62" spans="1:16">
      <c r="A62" s="137">
        <f>'ADJ DETAIL-INPUT'!BA$9</f>
        <v>3.2099999999999955</v>
      </c>
      <c r="B62" s="11" t="str">
        <f>TRIM(CONCATENATE('ADJ DETAIL-INPUT'!BA$6," ",'ADJ DETAIL-INPUT'!BA$7," ",'ADJ DETAIL-INPUT'!BA$8))</f>
        <v>PF Transportation Electrification Return (Kicker)</v>
      </c>
      <c r="D62" s="10">
        <v>-104.28</v>
      </c>
      <c r="E62" s="10">
        <v>0</v>
      </c>
      <c r="G62" s="10">
        <f>'ADJ DETAIL-INPUT'!BA$56</f>
        <v>-104.28</v>
      </c>
      <c r="H62" s="10">
        <f>'ADJ DETAIL-INPUT'!BA$80</f>
        <v>0</v>
      </c>
      <c r="I62" s="57"/>
      <c r="J62" s="9">
        <f t="shared" si="91"/>
        <v>0</v>
      </c>
      <c r="K62" s="9">
        <f t="shared" si="91"/>
        <v>0</v>
      </c>
      <c r="L62" s="6"/>
      <c r="M62" s="68">
        <f>J62/$M$9*-1</f>
        <v>0</v>
      </c>
      <c r="N62" s="68">
        <f>K62*$N$9/$M$9</f>
        <v>0</v>
      </c>
      <c r="O62" s="68">
        <f>(H62*$N$9/$M$9)-(G62/$M$9)</f>
        <v>138.58175632574952</v>
      </c>
      <c r="P62" s="9">
        <f>SUM(M62:N62)</f>
        <v>0</v>
      </c>
    </row>
    <row r="63" spans="1:16">
      <c r="A63" s="137">
        <f>'ADJ DETAIL-INPUT'!BB$9</f>
        <v>3.2199999999999953</v>
      </c>
      <c r="B63" s="11" t="str">
        <f>TRIM(CONCATENATE('ADJ DETAIL-INPUT'!BB$6," ",'ADJ DETAIL-INPUT'!BB$7," ",'ADJ DETAIL-INPUT'!BB$8))</f>
        <v>Pro Forma Remove Normalize CS2 Major Maint</v>
      </c>
      <c r="D63" s="10">
        <v>263.86</v>
      </c>
      <c r="E63" s="10">
        <v>0</v>
      </c>
      <c r="G63" s="10">
        <f>'ADJ DETAIL-INPUT'!BB$56</f>
        <v>263.86</v>
      </c>
      <c r="H63" s="10">
        <f>'ADJ DETAIL-INPUT'!BB$80</f>
        <v>0</v>
      </c>
      <c r="I63" s="57"/>
      <c r="J63" s="9">
        <f t="shared" ref="J63:J64" si="92">G63-D63</f>
        <v>0</v>
      </c>
      <c r="K63" s="9">
        <f t="shared" ref="K63:K64" si="93">H63-E63</f>
        <v>0</v>
      </c>
      <c r="L63" s="6"/>
      <c r="M63" s="68">
        <f t="shared" ref="M63:M64" si="94">J63/$M$9*-1</f>
        <v>0</v>
      </c>
      <c r="N63" s="68">
        <f t="shared" ref="N63:N64" si="95">K63*$N$9/$M$9</f>
        <v>0</v>
      </c>
      <c r="O63" s="68">
        <f t="shared" ref="O63:O64" si="96">(H63*$N$9/$M$9)-(G63/$M$9)</f>
        <v>-350.65383797576015</v>
      </c>
      <c r="P63" s="9">
        <f t="shared" ref="P63:P64" si="97">SUM(M63:N63)</f>
        <v>0</v>
      </c>
    </row>
    <row r="64" spans="1:16">
      <c r="A64" s="137">
        <f>'ADJ DETAIL-INPUT'!BC$9</f>
        <v>3.2299999999999951</v>
      </c>
      <c r="B64" s="11" t="str">
        <f>TRIM(CONCATENATE('ADJ DETAIL-INPUT'!BC$6," ",'ADJ DETAIL-INPUT'!BC$7," ",'ADJ DETAIL-INPUT'!BC$8))</f>
        <v>Pro Forma PPA Interest</v>
      </c>
      <c r="D64" s="10">
        <v>-1705.6100000000001</v>
      </c>
      <c r="E64" s="10">
        <v>0</v>
      </c>
      <c r="G64" s="10">
        <f>'ADJ DETAIL-INPUT'!BC$56</f>
        <v>-1705.6100000000001</v>
      </c>
      <c r="H64" s="10">
        <f>'ADJ DETAIL-INPUT'!BC$80</f>
        <v>0</v>
      </c>
      <c r="I64" s="57"/>
      <c r="J64" s="9">
        <f t="shared" si="92"/>
        <v>0</v>
      </c>
      <c r="K64" s="9">
        <f t="shared" si="93"/>
        <v>0</v>
      </c>
      <c r="L64" s="6"/>
      <c r="M64" s="68">
        <f t="shared" si="94"/>
        <v>0</v>
      </c>
      <c r="N64" s="68">
        <f t="shared" si="95"/>
        <v>0</v>
      </c>
      <c r="O64" s="68">
        <f t="shared" si="96"/>
        <v>2266.6516053582818</v>
      </c>
      <c r="P64" s="9">
        <f t="shared" si="97"/>
        <v>0</v>
      </c>
    </row>
    <row r="65" spans="1:16">
      <c r="A65" s="137">
        <f>'ADJ DETAIL-INPUT'!BD$9</f>
        <v>3.2399999999999949</v>
      </c>
      <c r="B65" s="11" t="str">
        <f>TRIM(CONCATENATE('ADJ DETAIL-INPUT'!BD$6," ",'ADJ DETAIL-INPUT'!BD$7," ",'ADJ DETAIL-INPUT'!BD$8))</f>
        <v>Pro Forma Wildfire Expense</v>
      </c>
      <c r="D65" s="10">
        <v>-3204.24</v>
      </c>
      <c r="E65" s="10">
        <v>0</v>
      </c>
      <c r="G65" s="10">
        <f>'ADJ DETAIL-INPUT'!BD$56</f>
        <v>-3204.24</v>
      </c>
      <c r="H65" s="10">
        <f>'ADJ DETAIL-INPUT'!BD$80</f>
        <v>0</v>
      </c>
      <c r="I65" s="57"/>
      <c r="J65" s="9">
        <f t="shared" ref="J65" si="98">G65-D65</f>
        <v>0</v>
      </c>
      <c r="K65" s="9">
        <f t="shared" ref="K65" si="99">H65-E65</f>
        <v>0</v>
      </c>
      <c r="L65" s="6"/>
      <c r="M65" s="68">
        <f t="shared" ref="M65" si="100">J65/$M$9*-1</f>
        <v>0</v>
      </c>
      <c r="N65" s="68">
        <f t="shared" ref="N65" si="101">K65*$N$9/$M$9</f>
        <v>0</v>
      </c>
      <c r="O65" s="68">
        <f t="shared" ref="O65" si="102">(H65*$N$9/$M$9)-(G65/$M$9)</f>
        <v>4258.2394216457578</v>
      </c>
      <c r="P65" s="9">
        <f t="shared" ref="P65" si="103">SUM(M65:N65)</f>
        <v>0</v>
      </c>
    </row>
    <row r="66" spans="1:16">
      <c r="A66" s="137">
        <f>'ADJ DETAIL-INPUT'!BE$9</f>
        <v>4.01</v>
      </c>
      <c r="B66" s="11" t="str">
        <f>TRIM(CONCATENATE('ADJ DETAIL-INPUT'!BE$6," ",'ADJ DETAIL-INPUT'!BE$7," ",'ADJ DETAIL-INPUT'!BE$8))</f>
        <v>Provisional Capital Additions to 12.31.2025 AMA</v>
      </c>
      <c r="D66" s="10">
        <v>-4014.7885836657433</v>
      </c>
      <c r="E66" s="10">
        <v>25760.870174959498</v>
      </c>
      <c r="G66" s="10">
        <f>'ADJ DETAIL-INPUT'!BE$56</f>
        <v>-4014.7885836657433</v>
      </c>
      <c r="H66" s="10">
        <f>'ADJ DETAIL-INPUT'!BE$80</f>
        <v>25760.870174959498</v>
      </c>
      <c r="I66" s="57"/>
      <c r="J66" s="9">
        <f t="shared" si="34"/>
        <v>0</v>
      </c>
      <c r="K66" s="9">
        <f t="shared" si="35"/>
        <v>0</v>
      </c>
      <c r="L66" s="6"/>
      <c r="M66" s="68">
        <f t="shared" si="36"/>
        <v>0</v>
      </c>
      <c r="N66" s="68">
        <f t="shared" si="37"/>
        <v>0</v>
      </c>
      <c r="O66" s="68">
        <f t="shared" ref="O66" si="104">(H66*$N$9/$M$9)-(G66/$M$9)</f>
        <v>7940.6639432013617</v>
      </c>
      <c r="P66" s="9">
        <f t="shared" si="39"/>
        <v>0</v>
      </c>
    </row>
    <row r="67" spans="1:16">
      <c r="A67" s="476">
        <f>'ADJ DETAIL-INPUT'!BF$9</f>
        <v>4.0199999999999996</v>
      </c>
      <c r="B67" s="11" t="str">
        <f>TRIM(CONCATENATE('ADJ DETAIL-INPUT'!BF$6," ",'ADJ DETAIL-INPUT'!BF$7," ",'ADJ DETAIL-INPUT'!BF$8))</f>
        <v>2024-2025 Capital Adds O&amp;M &amp; Revenue Offsets</v>
      </c>
      <c r="D67" s="10">
        <v>5766.0599000000002</v>
      </c>
      <c r="E67" s="10">
        <v>0</v>
      </c>
      <c r="G67" s="10">
        <f>'ADJ DETAIL-INPUT'!BF$56</f>
        <v>5766.0599000000002</v>
      </c>
      <c r="H67" s="10">
        <f>'ADJ DETAIL-INPUT'!BF$80</f>
        <v>0</v>
      </c>
      <c r="I67" s="18"/>
      <c r="J67" s="9">
        <f>G67-D67</f>
        <v>0</v>
      </c>
      <c r="K67" s="9">
        <f>H67-E67</f>
        <v>0</v>
      </c>
      <c r="M67" s="68">
        <f>J67/$M$9*-1</f>
        <v>0</v>
      </c>
      <c r="N67" s="68">
        <f>K67*$N$9/$M$9</f>
        <v>0</v>
      </c>
      <c r="O67" s="68">
        <f t="shared" ref="O67" si="105">(H67*$N$9/$M$9)-(G67/$M$9)</f>
        <v>-7662.7417339995745</v>
      </c>
      <c r="P67" s="9">
        <f>SUM(M67:N67)</f>
        <v>0</v>
      </c>
    </row>
    <row r="68" spans="1:16" hidden="1" outlineLevel="1">
      <c r="A68" s="137">
        <f>'ADJ DETAIL-INPUT'!BG$9</f>
        <v>0</v>
      </c>
      <c r="B68" s="11" t="str">
        <f>TRIM(CONCATENATE('ADJ DETAIL-INPUT'!BG$6," ",'ADJ DETAIL-INPUT'!BG$7," ",'ADJ DETAIL-INPUT'!BG$8))</f>
        <v/>
      </c>
      <c r="D68" s="10">
        <v>0</v>
      </c>
      <c r="E68" s="10">
        <v>0</v>
      </c>
      <c r="G68" s="10">
        <f>'ADJ DETAIL-INPUT'!BG$56</f>
        <v>0</v>
      </c>
      <c r="H68" s="10">
        <f>'ADJ DETAIL-INPUT'!BG$80</f>
        <v>0</v>
      </c>
      <c r="I68" s="57"/>
      <c r="J68" s="9">
        <f t="shared" ref="J68" si="106">G68-D68</f>
        <v>0</v>
      </c>
      <c r="K68" s="9">
        <f t="shared" ref="K68" si="107">H68-E68</f>
        <v>0</v>
      </c>
      <c r="L68" s="6"/>
      <c r="M68" s="68">
        <f t="shared" ref="M68" si="108">J68/$M$9*-1</f>
        <v>0</v>
      </c>
      <c r="N68" s="68">
        <f t="shared" ref="N68" si="109">K68*$N$9/$M$9</f>
        <v>0</v>
      </c>
      <c r="O68" s="68">
        <f t="shared" ref="O68" si="110">(H68*$N$9/$M$9)-(G68/$M$9)</f>
        <v>0</v>
      </c>
      <c r="P68" s="9">
        <f t="shared" ref="P68" si="111">SUM(M68:N68)</f>
        <v>0</v>
      </c>
    </row>
    <row r="69" spans="1:16" hidden="1" outlineLevel="1">
      <c r="A69" s="476">
        <f>'ADJ DETAIL-INPUT'!BH$9</f>
        <v>0</v>
      </c>
      <c r="B69" s="11" t="str">
        <f>TRIM(CONCATENATE('ADJ DETAIL-INPUT'!BH$6," ",'ADJ DETAIL-INPUT'!BH$7," ",'ADJ DETAIL-INPUT'!BH$8))</f>
        <v/>
      </c>
      <c r="D69" s="10">
        <v>0</v>
      </c>
      <c r="E69" s="10">
        <v>0</v>
      </c>
      <c r="G69" s="10">
        <f>'ADJ DETAIL-INPUT'!BH$56</f>
        <v>0</v>
      </c>
      <c r="H69" s="10">
        <f>'ADJ DETAIL-INPUT'!BH$80</f>
        <v>0</v>
      </c>
      <c r="I69" s="18"/>
      <c r="J69" s="9">
        <f t="shared" ref="J69" si="112">G69-D69</f>
        <v>0</v>
      </c>
      <c r="K69" s="9">
        <f t="shared" ref="K69" si="113">H69-E69</f>
        <v>0</v>
      </c>
      <c r="M69" s="68">
        <f t="shared" ref="M69" si="114">J69/$M$9*-1</f>
        <v>0</v>
      </c>
      <c r="N69" s="68">
        <f t="shared" ref="N69" si="115">K69*$N$9/$M$9</f>
        <v>0</v>
      </c>
      <c r="O69" s="68">
        <f t="shared" ref="O69" si="116">(H69*$N$9/$M$9)-(G69/$M$9)</f>
        <v>0</v>
      </c>
      <c r="P69" s="9">
        <f>SUM(M69:N69)</f>
        <v>0</v>
      </c>
    </row>
    <row r="70" spans="1:16" hidden="1" outlineLevel="1">
      <c r="A70" s="476">
        <f>'ADJ DETAIL-INPUT'!BI$9</f>
        <v>0</v>
      </c>
      <c r="B70" s="11" t="str">
        <f>TRIM(CONCATENATE('ADJ DETAIL-INPUT'!BI$6," ",'ADJ DETAIL-INPUT'!BI$7," ",'ADJ DETAIL-INPUT'!BI$8))</f>
        <v/>
      </c>
      <c r="D70" s="10">
        <v>0</v>
      </c>
      <c r="E70" s="10">
        <v>0</v>
      </c>
      <c r="G70" s="10">
        <f>'ADJ DETAIL-INPUT'!BI$56</f>
        <v>0</v>
      </c>
      <c r="H70" s="10">
        <f>'ADJ DETAIL-INPUT'!BI$80</f>
        <v>0</v>
      </c>
      <c r="I70" s="18"/>
      <c r="J70" s="9">
        <f t="shared" ref="J70" si="117">G70-D70</f>
        <v>0</v>
      </c>
      <c r="K70" s="9">
        <f t="shared" ref="K70" si="118">H70-E70</f>
        <v>0</v>
      </c>
      <c r="M70" s="68">
        <f t="shared" ref="M70" si="119">J70/$M$9*-1</f>
        <v>0</v>
      </c>
      <c r="N70" s="68">
        <f t="shared" ref="N70" si="120">K70*$N$9/$M$9</f>
        <v>0</v>
      </c>
      <c r="O70" s="68">
        <f t="shared" ref="O70" si="121">(H70*$N$9/$M$9)-(G70/$M$9)</f>
        <v>0</v>
      </c>
      <c r="P70" s="9">
        <f>SUM(M70:N70)</f>
        <v>0</v>
      </c>
    </row>
    <row r="71" spans="1:16" hidden="1" outlineLevel="1">
      <c r="A71" s="476">
        <f>'ADJ DETAIL-INPUT'!BJ$9</f>
        <v>0</v>
      </c>
      <c r="B71" s="11" t="str">
        <f>TRIM(CONCATENATE('ADJ DETAIL-INPUT'!BJ$6," ",'ADJ DETAIL-INPUT'!BJ$7," ",'ADJ DETAIL-INPUT'!BJ$8))</f>
        <v/>
      </c>
      <c r="D71" s="10">
        <v>0</v>
      </c>
      <c r="E71" s="10">
        <v>0</v>
      </c>
      <c r="G71" s="10">
        <f>'ADJ DETAIL-INPUT'!BJ$56</f>
        <v>0</v>
      </c>
      <c r="H71" s="10">
        <f>'ADJ DETAIL-INPUT'!BJ$80</f>
        <v>0</v>
      </c>
      <c r="I71" s="18"/>
      <c r="J71" s="9">
        <f>G71-D71</f>
        <v>0</v>
      </c>
      <c r="K71" s="9">
        <f>H71-E71</f>
        <v>0</v>
      </c>
      <c r="L71" s="6"/>
      <c r="M71" s="68">
        <f>J71/$M$9*-1</f>
        <v>0</v>
      </c>
      <c r="N71" s="68">
        <f>K71*$N$9/$M$9</f>
        <v>0</v>
      </c>
      <c r="O71" s="68">
        <f>(H71*$N$9/$M$9)-(G71/$M$9)</f>
        <v>0</v>
      </c>
      <c r="P71" s="9">
        <f>SUM(M71:N71)</f>
        <v>0</v>
      </c>
    </row>
    <row r="72" spans="1:16" hidden="1" outlineLevel="1">
      <c r="A72" s="476">
        <f>'ADJ DETAIL-INPUT'!BK$9</f>
        <v>0</v>
      </c>
      <c r="B72" s="11" t="str">
        <f>TRIM(CONCATENATE('ADJ DETAIL-INPUT'!BK$6," ",'ADJ DETAIL-INPUT'!BK$7," ",'ADJ DETAIL-INPUT'!BK$8))</f>
        <v/>
      </c>
      <c r="D72" s="10">
        <v>0</v>
      </c>
      <c r="E72" s="10">
        <v>0</v>
      </c>
      <c r="G72" s="10">
        <f>'ADJ DETAIL-INPUT'!BK$56</f>
        <v>0</v>
      </c>
      <c r="H72" s="10">
        <f>'ADJ DETAIL-INPUT'!BK$80</f>
        <v>0</v>
      </c>
      <c r="I72" s="18"/>
      <c r="J72" s="9">
        <f>G72-D72</f>
        <v>0</v>
      </c>
      <c r="K72" s="9">
        <f>H72-E72</f>
        <v>0</v>
      </c>
      <c r="L72" s="6"/>
      <c r="M72" s="68">
        <f>J72/$M$9*-1</f>
        <v>0</v>
      </c>
      <c r="N72" s="68">
        <f>K72*$N$9/$M$9</f>
        <v>0</v>
      </c>
      <c r="O72" s="68">
        <f>(H72*$N$9/$M$9)-(G72/$M$9)</f>
        <v>0</v>
      </c>
      <c r="P72" s="9">
        <f>SUM(M72:N72)</f>
        <v>0</v>
      </c>
    </row>
    <row r="73" spans="1:16" ht="5.25" customHeight="1" collapsed="1">
      <c r="A73" s="137"/>
      <c r="B73" s="478"/>
      <c r="E73" s="11"/>
      <c r="F73" s="11"/>
      <c r="G73" s="59"/>
      <c r="H73" s="59"/>
      <c r="I73" s="18"/>
      <c r="J73" s="10"/>
      <c r="L73" s="6"/>
      <c r="N73" s="62"/>
      <c r="O73" s="62"/>
    </row>
    <row r="74" spans="1:16" ht="13.5" thickBot="1">
      <c r="A74" s="137"/>
      <c r="B74" s="5" t="s">
        <v>825</v>
      </c>
      <c r="D74" s="66">
        <f>SUM(D38:D73)</f>
        <v>117785.79962002143</v>
      </c>
      <c r="E74" s="66">
        <f>SUM(E38:E73)</f>
        <v>2309816.7807339807</v>
      </c>
      <c r="F74" s="11"/>
      <c r="G74" s="66">
        <f>SUM(G38:G73)</f>
        <v>117785.79962002143</v>
      </c>
      <c r="H74" s="66">
        <f>SUM(H38:H73)</f>
        <v>2309816.7807339807</v>
      </c>
      <c r="I74" s="20"/>
      <c r="J74" s="66">
        <f>SUM(J38:J73)</f>
        <v>0</v>
      </c>
      <c r="K74" s="66">
        <f>SUM(K38:K73)</f>
        <v>0</v>
      </c>
      <c r="L74" s="6"/>
      <c r="M74" s="480">
        <f>SUM(M38:M73)</f>
        <v>0</v>
      </c>
      <c r="N74" s="480">
        <f>SUM(N38:N73)</f>
        <v>0</v>
      </c>
      <c r="O74" s="480">
        <f>(H74*$N$9/$M$9)-(G74/$M$9)</f>
        <v>77066.842167013732</v>
      </c>
      <c r="P74" s="66">
        <f>SUM(P38:P73)</f>
        <v>0</v>
      </c>
    </row>
    <row r="75" spans="1:16" ht="13.5" thickTop="1">
      <c r="A75" s="137"/>
      <c r="E75" s="11"/>
      <c r="F75" s="48"/>
      <c r="G75" s="48"/>
      <c r="H75" s="20"/>
      <c r="I75" s="9"/>
      <c r="J75" s="13"/>
      <c r="K75" s="6"/>
      <c r="M75" s="9"/>
      <c r="N75" s="78">
        <f>M74+N74</f>
        <v>0</v>
      </c>
      <c r="O75" s="78"/>
      <c r="P75" s="9"/>
    </row>
    <row r="76" spans="1:16">
      <c r="A76" s="137"/>
      <c r="E76" s="11"/>
      <c r="F76" s="48"/>
      <c r="G76" s="48"/>
      <c r="H76" s="20"/>
      <c r="I76" s="9"/>
      <c r="J76" s="13"/>
      <c r="K76" s="6"/>
      <c r="L76" s="61"/>
      <c r="M76" s="227" t="s">
        <v>756</v>
      </c>
      <c r="N76" s="78"/>
      <c r="O76" s="78"/>
      <c r="P76" s="9"/>
    </row>
    <row r="77" spans="1:16" ht="13.5" thickBot="1">
      <c r="A77" s="137"/>
      <c r="E77" s="11"/>
      <c r="F77" s="48"/>
      <c r="G77" s="48"/>
      <c r="H77" s="20"/>
      <c r="I77" s="9"/>
      <c r="J77" s="13"/>
      <c r="K77" s="6"/>
      <c r="M77" s="69" t="s">
        <v>234</v>
      </c>
      <c r="N77" s="79">
        <f>SUM(N75:O76)</f>
        <v>0</v>
      </c>
      <c r="O77" s="78"/>
    </row>
    <row r="78" spans="1:16" ht="13.5" thickTop="1">
      <c r="A78" s="137"/>
      <c r="E78" s="11"/>
      <c r="F78" s="48"/>
      <c r="G78" s="48"/>
      <c r="H78" s="20"/>
      <c r="I78" s="9"/>
      <c r="J78" s="13"/>
      <c r="K78" s="6"/>
      <c r="M78" s="69" t="s">
        <v>758</v>
      </c>
      <c r="N78" s="482">
        <v>77067</v>
      </c>
      <c r="O78" s="70"/>
      <c r="P78" s="9"/>
    </row>
    <row r="79" spans="1:16" ht="13.5" thickBot="1">
      <c r="A79" s="137"/>
      <c r="E79" s="11"/>
      <c r="F79" s="51"/>
      <c r="G79" s="48"/>
      <c r="H79" s="20"/>
      <c r="I79" s="9"/>
      <c r="J79" s="13"/>
      <c r="K79" s="6"/>
      <c r="M79" s="69" t="s">
        <v>235</v>
      </c>
      <c r="N79" s="71">
        <f>N78+N77</f>
        <v>77067</v>
      </c>
      <c r="O79" s="82"/>
    </row>
    <row r="80" spans="1:16" ht="14.25" customHeight="1" thickTop="1">
      <c r="A80" s="5"/>
      <c r="E80" s="11"/>
      <c r="F80" s="10"/>
      <c r="G80" s="10"/>
      <c r="I80" s="10"/>
      <c r="L80" s="63"/>
      <c r="M80" s="16"/>
      <c r="N80" s="17">
        <f>'RR Summary'!E25</f>
        <v>77066.842148600132</v>
      </c>
      <c r="O80" s="17"/>
      <c r="P80" s="9">
        <f>N79-N80</f>
        <v>0.15785139986837748</v>
      </c>
    </row>
    <row r="81" spans="1:16" ht="14.25" customHeight="1">
      <c r="A81" s="428" t="s">
        <v>822</v>
      </c>
      <c r="F81" s="51"/>
      <c r="M81" s="16"/>
    </row>
    <row r="82" spans="1:16">
      <c r="A82" s="476" t="str">
        <f>'ADJ DETAIL-INPUT'!BN$9</f>
        <v>5.00P</v>
      </c>
      <c r="B82" s="11" t="str">
        <f>TRIM(CONCATENATE('ADJ DETAIL-INPUT'!BN$6," ",'ADJ DETAIL-INPUT'!BN$7," ",'ADJ DETAIL-INPUT'!BN$8))</f>
        <v>Pro Forma Power Supply - Remove Colstrip</v>
      </c>
      <c r="D82" s="10">
        <v>-44781.35</v>
      </c>
      <c r="E82" s="10">
        <v>0</v>
      </c>
      <c r="G82" s="10">
        <f>'ADJ DETAIL-INPUT'!BN$56</f>
        <v>-44781.35</v>
      </c>
      <c r="H82" s="10">
        <f>'ADJ DETAIL-INPUT'!BN$80</f>
        <v>0</v>
      </c>
      <c r="I82" s="18"/>
      <c r="J82" s="9">
        <f t="shared" ref="J82:K84" si="122">G82-D82</f>
        <v>0</v>
      </c>
      <c r="K82" s="9">
        <f t="shared" si="122"/>
        <v>0</v>
      </c>
      <c r="L82" s="6"/>
      <c r="M82" s="68">
        <f>J82/$M$9*-1</f>
        <v>0</v>
      </c>
      <c r="N82" s="68">
        <f>K82*$N$9/$M$9</f>
        <v>0</v>
      </c>
      <c r="O82" s="68">
        <f>(H82*$N$9/$M$9)-(G82/$M$9)</f>
        <v>59511.681373591317</v>
      </c>
      <c r="P82" s="9">
        <f>SUM(M82:N82)</f>
        <v>0</v>
      </c>
    </row>
    <row r="83" spans="1:16" hidden="1" outlineLevel="1">
      <c r="A83" s="476">
        <f>'ADJ DETAIL-INPUT'!BO$9</f>
        <v>0</v>
      </c>
      <c r="B83" s="11" t="str">
        <f>TRIM(CONCATENATE('ADJ DETAIL-INPUT'!BO$6," ",'ADJ DETAIL-INPUT'!BO$7," ",'ADJ DETAIL-INPUT'!BO$8))</f>
        <v/>
      </c>
      <c r="D83" s="10">
        <v>-0.2</v>
      </c>
      <c r="E83" s="10">
        <v>0</v>
      </c>
      <c r="G83" s="10">
        <f>'ADJ DETAIL-INPUT'!BO$56</f>
        <v>-0.2</v>
      </c>
      <c r="H83" s="10">
        <f>'ADJ DETAIL-INPUT'!BO$80</f>
        <v>0</v>
      </c>
      <c r="I83" s="18"/>
      <c r="J83" s="9">
        <f t="shared" si="122"/>
        <v>0</v>
      </c>
      <c r="K83" s="9">
        <f t="shared" si="122"/>
        <v>0</v>
      </c>
      <c r="L83" s="6"/>
      <c r="M83" s="68">
        <f>J83/$M$9*-1</f>
        <v>0</v>
      </c>
      <c r="N83" s="68">
        <f>K83*$N$9/$M$9</f>
        <v>0</v>
      </c>
      <c r="O83" s="68">
        <f>(H83*$N$9/$M$9)-(G83/$M$9)</f>
        <v>0.26578779502445249</v>
      </c>
      <c r="P83" s="9">
        <f>SUM(M83:N83)</f>
        <v>0</v>
      </c>
    </row>
    <row r="84" spans="1:16" collapsed="1">
      <c r="A84" s="476">
        <f>'ADJ DETAIL-INPUT'!BP$9</f>
        <v>5.01</v>
      </c>
      <c r="B84" s="11" t="str">
        <f>TRIM(CONCATENATE('ADJ DETAIL-INPUT'!BP$6," ",'ADJ DETAIL-INPUT'!BP$7," ",'ADJ DETAIL-INPUT'!BP$8))</f>
        <v>Pro Forma AMI Amortization</v>
      </c>
      <c r="D84" s="10">
        <v>231.712176</v>
      </c>
      <c r="E84" s="10">
        <v>-2992</v>
      </c>
      <c r="G84" s="10">
        <f>'ADJ DETAIL-INPUT'!BP$56</f>
        <v>231.712176</v>
      </c>
      <c r="H84" s="10">
        <f>'ADJ DETAIL-INPUT'!BP$80</f>
        <v>-2992</v>
      </c>
      <c r="I84" s="18"/>
      <c r="J84" s="9">
        <f t="shared" si="122"/>
        <v>0</v>
      </c>
      <c r="K84" s="9">
        <f t="shared" si="122"/>
        <v>0</v>
      </c>
      <c r="L84" s="6"/>
      <c r="M84" s="68">
        <f>J84/$M$9*-1</f>
        <v>0</v>
      </c>
      <c r="N84" s="68">
        <f>K84*$N$9/$M$9</f>
        <v>0</v>
      </c>
      <c r="O84" s="68">
        <f>(H84*$N$9/$M$9)-(G84/$M$9)</f>
        <v>-610.5190516691473</v>
      </c>
      <c r="P84" s="9">
        <f>SUM(M84:N84)</f>
        <v>0</v>
      </c>
    </row>
    <row r="85" spans="1:16">
      <c r="A85" s="476">
        <f>'ADJ DETAIL-INPUT'!BQ$9</f>
        <v>5.0199999999999996</v>
      </c>
      <c r="B85" s="11" t="str">
        <f>TRIM(CONCATENATE('ADJ DETAIL-INPUT'!BQ$6," ",'ADJ DETAIL-INPUT'!BQ$7," ",'ADJ DETAIL-INPUT'!BQ$8))</f>
        <v>Pro Forma Labor Non-Exec</v>
      </c>
      <c r="D85" s="10">
        <v>-2087.1800000000003</v>
      </c>
      <c r="E85" s="10">
        <v>0</v>
      </c>
      <c r="G85" s="10">
        <f>'ADJ DETAIL-INPUT'!BQ$56</f>
        <v>-2087.1800000000003</v>
      </c>
      <c r="H85" s="10">
        <f>'ADJ DETAIL-INPUT'!BQ$80</f>
        <v>0</v>
      </c>
      <c r="I85" s="18"/>
      <c r="J85" s="9">
        <f t="shared" ref="J85:J96" si="123">G85-D85</f>
        <v>0</v>
      </c>
      <c r="K85" s="9">
        <f t="shared" ref="K85:K96" si="124">H85-E85</f>
        <v>0</v>
      </c>
      <c r="L85" s="6"/>
      <c r="M85" s="68">
        <f t="shared" ref="M85:M96" si="125">J85/$M$9*-1</f>
        <v>0</v>
      </c>
      <c r="N85" s="68">
        <f t="shared" ref="N85:N96" si="126">K85*$N$9/$M$9</f>
        <v>0</v>
      </c>
      <c r="O85" s="68">
        <f t="shared" ref="O85:O96" si="127">(H85*$N$9/$M$9)-(G85/$M$9)</f>
        <v>2773.7348500956837</v>
      </c>
      <c r="P85" s="9">
        <f t="shared" ref="P85:P96" si="128">SUM(M85:N85)</f>
        <v>0</v>
      </c>
    </row>
    <row r="86" spans="1:16">
      <c r="A86" s="476">
        <f>'ADJ DETAIL-INPUT'!BR$9</f>
        <v>5.0299999999999994</v>
      </c>
      <c r="B86" s="11" t="str">
        <f>TRIM(CONCATENATE('ADJ DETAIL-INPUT'!BR$6," ",'ADJ DETAIL-INPUT'!BR$7," ",'ADJ DETAIL-INPUT'!BR$8))</f>
        <v>Pro Forma Employee Benefits</v>
      </c>
      <c r="D86" s="10">
        <v>-366.32299999999998</v>
      </c>
      <c r="E86" s="10">
        <v>0</v>
      </c>
      <c r="G86" s="10">
        <f>'ADJ DETAIL-INPUT'!BR$56</f>
        <v>-366.32299999999998</v>
      </c>
      <c r="H86" s="10">
        <f>'ADJ DETAIL-INPUT'!BR$80</f>
        <v>0</v>
      </c>
      <c r="I86" s="18"/>
      <c r="J86" s="9">
        <f t="shared" si="123"/>
        <v>0</v>
      </c>
      <c r="K86" s="9">
        <f t="shared" si="124"/>
        <v>0</v>
      </c>
      <c r="L86" s="6"/>
      <c r="M86" s="68">
        <f t="shared" si="125"/>
        <v>0</v>
      </c>
      <c r="N86" s="68">
        <f t="shared" si="126"/>
        <v>0</v>
      </c>
      <c r="O86" s="68">
        <f t="shared" si="127"/>
        <v>486.82091218371249</v>
      </c>
      <c r="P86" s="9">
        <f t="shared" si="128"/>
        <v>0</v>
      </c>
    </row>
    <row r="87" spans="1:16">
      <c r="A87" s="476">
        <f>'ADJ DETAIL-INPUT'!BS$9</f>
        <v>5.0399999999999991</v>
      </c>
      <c r="B87" s="11" t="str">
        <f>TRIM(CONCATENATE('ADJ DETAIL-INPUT'!BS$6," ",'ADJ DETAIL-INPUT'!BS$7," ",'ADJ DETAIL-INPUT'!BS$8))</f>
        <v>Pro Forma Property Tax</v>
      </c>
      <c r="D87" s="10">
        <v>-590.13</v>
      </c>
      <c r="E87" s="10">
        <v>0</v>
      </c>
      <c r="G87" s="10">
        <f>'ADJ DETAIL-INPUT'!BS$56</f>
        <v>-590.13</v>
      </c>
      <c r="H87" s="10">
        <f>'ADJ DETAIL-INPUT'!BS$80</f>
        <v>0</v>
      </c>
      <c r="I87" s="18"/>
      <c r="J87" s="9">
        <f t="shared" si="123"/>
        <v>0</v>
      </c>
      <c r="K87" s="9">
        <f t="shared" si="124"/>
        <v>0</v>
      </c>
      <c r="L87" s="6"/>
      <c r="M87" s="68">
        <f t="shared" si="125"/>
        <v>0</v>
      </c>
      <c r="N87" s="68">
        <f t="shared" si="126"/>
        <v>0</v>
      </c>
      <c r="O87" s="68">
        <f t="shared" si="127"/>
        <v>784.24675738890062</v>
      </c>
      <c r="P87" s="9">
        <f t="shared" si="128"/>
        <v>0</v>
      </c>
    </row>
    <row r="88" spans="1:16">
      <c r="A88" s="476">
        <f>'ADJ DETAIL-INPUT'!BT$9</f>
        <v>5.0499999999999989</v>
      </c>
      <c r="B88" s="11" t="str">
        <f>TRIM(CONCATENATE('ADJ DETAIL-INPUT'!BT$6," ",'ADJ DETAIL-INPUT'!BT$7," ",'ADJ DETAIL-INPUT'!BT$8))</f>
        <v>Pro Forma Nucleus/ETRM Expense</v>
      </c>
      <c r="D88" s="10">
        <v>163.53</v>
      </c>
      <c r="E88" s="10">
        <v>0</v>
      </c>
      <c r="G88" s="10">
        <f>'ADJ DETAIL-INPUT'!BT$56</f>
        <v>163.53</v>
      </c>
      <c r="H88" s="10">
        <f>'ADJ DETAIL-INPUT'!BT$80</f>
        <v>0</v>
      </c>
      <c r="I88" s="18"/>
      <c r="J88" s="9">
        <f t="shared" si="123"/>
        <v>0</v>
      </c>
      <c r="K88" s="9">
        <f t="shared" si="124"/>
        <v>0</v>
      </c>
      <c r="L88" s="6"/>
      <c r="M88" s="68">
        <f t="shared" si="125"/>
        <v>0</v>
      </c>
      <c r="N88" s="68">
        <f t="shared" si="126"/>
        <v>0</v>
      </c>
      <c r="O88" s="68">
        <f t="shared" si="127"/>
        <v>-217.32139060174356</v>
      </c>
      <c r="P88" s="9">
        <f t="shared" si="128"/>
        <v>0</v>
      </c>
    </row>
    <row r="89" spans="1:16">
      <c r="A89" s="476">
        <f>'ADJ DETAIL-INPUT'!BU$9</f>
        <v>5.0599999999999987</v>
      </c>
      <c r="B89" s="11" t="str">
        <f>TRIM(CONCATENATE('ADJ DETAIL-INPUT'!BU$6," ",'ADJ DETAIL-INPUT'!BU$7," ",'ADJ DETAIL-INPUT'!BU$8))</f>
        <v>Pro Forma Misc O&amp;M Exp</v>
      </c>
      <c r="D89" s="10">
        <v>-2804.8002000000001</v>
      </c>
      <c r="E89" s="10">
        <v>0</v>
      </c>
      <c r="G89" s="10">
        <f>'ADJ DETAIL-INPUT'!BU$56</f>
        <v>-2804.8002000000001</v>
      </c>
      <c r="H89" s="10">
        <f>'ADJ DETAIL-INPUT'!BU$80</f>
        <v>0</v>
      </c>
      <c r="I89" s="18"/>
      <c r="J89" s="9">
        <f t="shared" ref="J89" si="129">G89-D89</f>
        <v>0</v>
      </c>
      <c r="K89" s="9">
        <f t="shared" ref="K89" si="130">H89-E89</f>
        <v>0</v>
      </c>
      <c r="L89" s="6"/>
      <c r="M89" s="68">
        <f t="shared" ref="M89" si="131">J89/$M$9*-1</f>
        <v>0</v>
      </c>
      <c r="N89" s="68">
        <f t="shared" ref="N89" si="132">K89*$N$9/$M$9</f>
        <v>0</v>
      </c>
      <c r="O89" s="68">
        <f t="shared" ref="O89" si="133">(H89*$N$9/$M$9)-(G89/$M$9)</f>
        <v>3727.4083032107164</v>
      </c>
      <c r="P89" s="9">
        <f t="shared" ref="P89" si="134">SUM(M89:N89)</f>
        <v>0</v>
      </c>
    </row>
    <row r="90" spans="1:16">
      <c r="A90" s="476">
        <f>'ADJ DETAIL-INPUT'!BV$9</f>
        <v>5.0699999999999985</v>
      </c>
      <c r="B90" s="11" t="str">
        <f>TRIM(CONCATENATE('ADJ DETAIL-INPUT'!BV$6," ",'ADJ DETAIL-INPUT'!BV$7," ",'ADJ DETAIL-INPUT'!BV$8))</f>
        <v>Provisional Capital Adds to 12.31.2026 AMA</v>
      </c>
      <c r="D90" s="10">
        <v>-2479.0547683</v>
      </c>
      <c r="E90" s="10">
        <v>93236.1</v>
      </c>
      <c r="G90" s="10">
        <f>'ADJ DETAIL-INPUT'!BV$56</f>
        <v>-2479.0547683</v>
      </c>
      <c r="H90" s="10">
        <f>'ADJ DETAIL-INPUT'!BV$80</f>
        <v>93236.1</v>
      </c>
      <c r="I90" s="18"/>
      <c r="J90" s="9">
        <f t="shared" si="123"/>
        <v>0</v>
      </c>
      <c r="K90" s="9">
        <f t="shared" si="124"/>
        <v>0</v>
      </c>
      <c r="L90" s="6"/>
      <c r="M90" s="68">
        <f t="shared" si="125"/>
        <v>0</v>
      </c>
      <c r="N90" s="68">
        <f t="shared" si="126"/>
        <v>0</v>
      </c>
      <c r="O90" s="68">
        <f t="shared" si="127"/>
        <v>12723.689637332554</v>
      </c>
      <c r="P90" s="9">
        <f t="shared" si="128"/>
        <v>0</v>
      </c>
    </row>
    <row r="91" spans="1:16">
      <c r="A91" s="476">
        <f>'ADJ DETAIL-INPUT'!BW$9</f>
        <v>5.0799999999999983</v>
      </c>
      <c r="B91" s="11" t="str">
        <f>TRIM(CONCATENATE('ADJ DETAIL-INPUT'!BW$6," ",'ADJ DETAIL-INPUT'!BW$7," ",'ADJ DETAIL-INPUT'!BW$8))</f>
        <v>2026 Capital Adds O&amp;M &amp; Revenue Offsets</v>
      </c>
      <c r="D91" s="10">
        <v>3037.0230700000002</v>
      </c>
      <c r="E91" s="10">
        <v>0</v>
      </c>
      <c r="G91" s="10">
        <f>'ADJ DETAIL-INPUT'!BW$56</f>
        <v>3037.0230700000002</v>
      </c>
      <c r="H91" s="10">
        <f>'ADJ DETAIL-INPUT'!BW$80</f>
        <v>0</v>
      </c>
      <c r="I91" s="18"/>
      <c r="J91" s="9">
        <f t="shared" si="123"/>
        <v>0</v>
      </c>
      <c r="K91" s="9">
        <f t="shared" si="124"/>
        <v>0</v>
      </c>
      <c r="L91" s="6"/>
      <c r="M91" s="68">
        <f t="shared" si="125"/>
        <v>0</v>
      </c>
      <c r="N91" s="68">
        <f t="shared" si="126"/>
        <v>0</v>
      </c>
      <c r="O91" s="68">
        <f t="shared" si="127"/>
        <v>-4036.0183260684671</v>
      </c>
      <c r="P91" s="9">
        <f t="shared" si="128"/>
        <v>0</v>
      </c>
    </row>
    <row r="92" spans="1:16">
      <c r="A92" s="476">
        <f>'ADJ DETAIL-INPUT'!BX$9</f>
        <v>5.0899999999999981</v>
      </c>
      <c r="B92" s="11" t="str">
        <f>TRIM(CONCATENATE('ADJ DETAIL-INPUT'!BX$6," ",'ADJ DETAIL-INPUT'!BX$7," ",'ADJ DETAIL-INPUT'!BX$8))</f>
        <v>Pro Forma EDIT</v>
      </c>
      <c r="D92" s="10">
        <v>-767</v>
      </c>
      <c r="E92" s="10">
        <v>0</v>
      </c>
      <c r="G92" s="10">
        <f>'ADJ DETAIL-INPUT'!BX$56</f>
        <v>-767</v>
      </c>
      <c r="H92" s="10">
        <f>'ADJ DETAIL-INPUT'!BX$80</f>
        <v>0</v>
      </c>
      <c r="I92" s="18"/>
      <c r="J92" s="9">
        <f t="shared" si="123"/>
        <v>0</v>
      </c>
      <c r="K92" s="9">
        <f t="shared" si="124"/>
        <v>0</v>
      </c>
      <c r="L92" s="6"/>
      <c r="M92" s="68">
        <f t="shared" si="125"/>
        <v>0</v>
      </c>
      <c r="N92" s="68">
        <f t="shared" si="126"/>
        <v>0</v>
      </c>
      <c r="O92" s="68">
        <f t="shared" si="127"/>
        <v>1019.2961939187752</v>
      </c>
      <c r="P92" s="9">
        <f t="shared" si="128"/>
        <v>0</v>
      </c>
    </row>
    <row r="93" spans="1:16">
      <c r="A93" s="476">
        <f>'ADJ DETAIL-INPUT'!BY$9</f>
        <v>5.0999999999999979</v>
      </c>
      <c r="B93" s="11" t="str">
        <f>TRIM(CONCATENATE('ADJ DETAIL-INPUT'!BY$6," ",'ADJ DETAIL-INPUT'!BY$7," ",'ADJ DETAIL-INPUT'!BY$8))</f>
        <v>PF Transportation Electrification Return (Kicker)</v>
      </c>
      <c r="D93" s="10">
        <v>-28.44</v>
      </c>
      <c r="E93" s="10">
        <v>0</v>
      </c>
      <c r="G93" s="10">
        <f>'ADJ DETAIL-INPUT'!BY$56</f>
        <v>-28.44</v>
      </c>
      <c r="H93" s="10">
        <f>'ADJ DETAIL-INPUT'!BY$80</f>
        <v>0</v>
      </c>
      <c r="I93" s="18"/>
      <c r="J93" s="9">
        <f t="shared" si="123"/>
        <v>0</v>
      </c>
      <c r="K93" s="9">
        <f t="shared" si="124"/>
        <v>0</v>
      </c>
      <c r="L93" s="6"/>
      <c r="M93" s="68">
        <f t="shared" si="125"/>
        <v>0</v>
      </c>
      <c r="N93" s="68">
        <f t="shared" si="126"/>
        <v>0</v>
      </c>
      <c r="O93" s="68">
        <f t="shared" si="127"/>
        <v>37.795024452477143</v>
      </c>
      <c r="P93" s="9">
        <f t="shared" si="128"/>
        <v>0</v>
      </c>
    </row>
    <row r="94" spans="1:16">
      <c r="A94" s="476">
        <f>'ADJ DETAIL-INPUT'!BZ$9</f>
        <v>5.1099999999999977</v>
      </c>
      <c r="B94" s="11" t="str">
        <f>TRIM(CONCATENATE('ADJ DETAIL-INPUT'!BZ$6," ",'ADJ DETAIL-INPUT'!BZ$7," ",'ADJ DETAIL-INPUT'!BZ$8))</f>
        <v>Pro Forma CS2 Amortization</v>
      </c>
      <c r="D94" s="10">
        <v>-1312.19</v>
      </c>
      <c r="E94" s="10">
        <v>0</v>
      </c>
      <c r="G94" s="10">
        <f>'ADJ DETAIL-INPUT'!BZ$56</f>
        <v>-1312.19</v>
      </c>
      <c r="H94" s="10">
        <f>'ADJ DETAIL-INPUT'!BZ$80</f>
        <v>0</v>
      </c>
      <c r="I94" s="18"/>
      <c r="J94" s="9">
        <f t="shared" si="123"/>
        <v>0</v>
      </c>
      <c r="K94" s="9">
        <f t="shared" si="124"/>
        <v>0</v>
      </c>
      <c r="L94" s="6"/>
      <c r="M94" s="68">
        <f t="shared" si="125"/>
        <v>0</v>
      </c>
      <c r="N94" s="68">
        <f t="shared" si="126"/>
        <v>0</v>
      </c>
      <c r="O94" s="68">
        <f t="shared" si="127"/>
        <v>1743.8204337656814</v>
      </c>
      <c r="P94" s="9">
        <f t="shared" si="128"/>
        <v>0</v>
      </c>
    </row>
    <row r="95" spans="1:16">
      <c r="A95" s="476">
        <f>'ADJ DETAIL-INPUT'!CA$9</f>
        <v>5.1199999999999974</v>
      </c>
      <c r="B95" s="11" t="str">
        <f>TRIM(CONCATENATE('ADJ DETAIL-INPUT'!CA$6," ",'ADJ DETAIL-INPUT'!CA$7," ",'ADJ DETAIL-INPUT'!BP$8))</f>
        <v>Pro Forma PPA Amortization</v>
      </c>
      <c r="D95" s="10">
        <v>-139.04</v>
      </c>
      <c r="E95" s="10">
        <v>0</v>
      </c>
      <c r="G95" s="10">
        <f>'ADJ DETAIL-INPUT'!CA$56</f>
        <v>-139.04</v>
      </c>
      <c r="H95" s="10">
        <f>'ADJ DETAIL-INPUT'!CA$80</f>
        <v>0</v>
      </c>
      <c r="I95" s="18"/>
      <c r="J95" s="9">
        <f t="shared" si="123"/>
        <v>0</v>
      </c>
      <c r="K95" s="9">
        <f t="shared" si="124"/>
        <v>0</v>
      </c>
      <c r="L95" s="6"/>
      <c r="M95" s="68">
        <f t="shared" si="125"/>
        <v>0</v>
      </c>
      <c r="N95" s="68">
        <f t="shared" si="126"/>
        <v>0</v>
      </c>
      <c r="O95" s="68">
        <f t="shared" si="127"/>
        <v>184.77567510099934</v>
      </c>
      <c r="P95" s="9">
        <f t="shared" si="128"/>
        <v>0</v>
      </c>
    </row>
    <row r="96" spans="1:16" hidden="1" outlineLevel="1">
      <c r="A96" s="476">
        <f>'ADJ DETAIL-INPUT'!CB$9</f>
        <v>0</v>
      </c>
      <c r="B96" s="11" t="str">
        <f>TRIM(CONCATENATE('ADJ DETAIL-INPUT'!CB$6," ",'ADJ DETAIL-INPUT'!CB$7," ",'ADJ DETAIL-INPUT'!CB$8))</f>
        <v/>
      </c>
      <c r="D96" s="10">
        <v>0</v>
      </c>
      <c r="E96" s="10">
        <v>0</v>
      </c>
      <c r="G96" s="10">
        <f>'ADJ DETAIL-INPUT'!CB$56</f>
        <v>0</v>
      </c>
      <c r="H96" s="10">
        <f>'ADJ DETAIL-INPUT'!CB$80</f>
        <v>0</v>
      </c>
      <c r="I96" s="18"/>
      <c r="J96" s="9">
        <f t="shared" si="123"/>
        <v>0</v>
      </c>
      <c r="K96" s="9">
        <f t="shared" si="124"/>
        <v>0</v>
      </c>
      <c r="L96" s="6"/>
      <c r="M96" s="68">
        <f t="shared" si="125"/>
        <v>0</v>
      </c>
      <c r="N96" s="68">
        <f t="shared" si="126"/>
        <v>0</v>
      </c>
      <c r="O96" s="68">
        <f t="shared" si="127"/>
        <v>0</v>
      </c>
      <c r="P96" s="9">
        <f t="shared" si="128"/>
        <v>0</v>
      </c>
    </row>
    <row r="97" spans="4:16" ht="13.5" collapsed="1" thickBot="1">
      <c r="D97" s="427">
        <f>SUM(D74:D96)</f>
        <v>65862.356897721416</v>
      </c>
      <c r="E97" s="427">
        <f>SUM(E74:E96)</f>
        <v>2400060.8807339808</v>
      </c>
      <c r="G97" s="427">
        <f>SUM(G74:G96)</f>
        <v>65862.356897721416</v>
      </c>
      <c r="H97" s="427">
        <f>SUM(H74:H96)</f>
        <v>2400060.8807339808</v>
      </c>
      <c r="J97" s="427">
        <f>SUM(J82:J96)</f>
        <v>0</v>
      </c>
      <c r="K97" s="427">
        <f>SUM(K82:K96)</f>
        <v>0</v>
      </c>
      <c r="M97" s="481">
        <f>SUM(M82:M96)</f>
        <v>0</v>
      </c>
      <c r="N97" s="481">
        <f>SUM(N82:N96)</f>
        <v>0</v>
      </c>
      <c r="O97" s="481">
        <f>SUM(O82:O96)</f>
        <v>78129.676180496506</v>
      </c>
      <c r="P97" s="427">
        <f>SUM(P82:P96)</f>
        <v>0</v>
      </c>
    </row>
    <row r="98" spans="4:16" ht="13.5" thickTop="1">
      <c r="N98" s="9">
        <f>N97+M97</f>
        <v>0</v>
      </c>
    </row>
    <row r="99" spans="4:16">
      <c r="M99" s="69" t="s">
        <v>757</v>
      </c>
      <c r="N99" s="429"/>
    </row>
    <row r="100" spans="4:16" ht="13.5" thickBot="1">
      <c r="M100" s="69" t="s">
        <v>234</v>
      </c>
      <c r="N100" s="79">
        <f>N98+N99</f>
        <v>0</v>
      </c>
    </row>
    <row r="101" spans="4:16" ht="13.5" thickTop="1">
      <c r="M101" s="69" t="s">
        <v>758</v>
      </c>
      <c r="N101" s="482">
        <v>78130</v>
      </c>
    </row>
    <row r="102" spans="4:16" ht="13.5" thickBot="1">
      <c r="M102" s="69" t="s">
        <v>235</v>
      </c>
      <c r="N102" s="71">
        <f>N100+N101</f>
        <v>78130</v>
      </c>
    </row>
    <row r="103" spans="4:16" ht="13.5" thickTop="1">
      <c r="M103" s="16"/>
      <c r="N103" s="17">
        <f>'RR Summary'!G25</f>
        <v>78129.676167207115</v>
      </c>
      <c r="P103" s="9">
        <f>N103-N102</f>
        <v>-0.32383279288478661</v>
      </c>
    </row>
  </sheetData>
  <mergeCells count="14">
    <mergeCell ref="B14:C14"/>
    <mergeCell ref="B13:C13"/>
    <mergeCell ref="A1:N1"/>
    <mergeCell ref="D8:E8"/>
    <mergeCell ref="G8:H8"/>
    <mergeCell ref="J8:K8"/>
    <mergeCell ref="D7:E7"/>
    <mergeCell ref="G7:H7"/>
    <mergeCell ref="J7:K7"/>
    <mergeCell ref="M7:N7"/>
    <mergeCell ref="A2:N2"/>
    <mergeCell ref="A3:N3"/>
    <mergeCell ref="A4:N4"/>
    <mergeCell ref="M6:N6"/>
  </mergeCells>
  <phoneticPr fontId="0" type="noConversion"/>
  <pageMargins left="0.75" right="0.51" top="0.75" bottom="0.5" header="0.5" footer="0.5"/>
  <pageSetup scale="10" firstPageNumber="4" orientation="landscape" horizontalDpi="300" verticalDpi="300" r:id="rId1"/>
  <headerFooter alignWithMargins="0">
    <oddHeader xml:space="preserve">&amp;RExhibit No. ____(EMA-6) </oddHeader>
    <oddFooter>&amp;RPage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0" tint="-0.34998626667073579"/>
  </sheetPr>
  <dimension ref="A2:BY81"/>
  <sheetViews>
    <sheetView zoomScaleNormal="100" workbookViewId="0"/>
  </sheetViews>
  <sheetFormatPr defaultColWidth="10.5703125" defaultRowHeight="12"/>
  <cols>
    <col min="1" max="1" width="4.5703125" style="168" customWidth="1"/>
    <col min="2" max="2" width="6.7109375" style="167" customWidth="1"/>
    <col min="3" max="3" width="1.5703125" style="167" customWidth="1"/>
    <col min="4" max="4" width="33.5703125" style="167" customWidth="1"/>
    <col min="5" max="32" width="18.7109375" style="183" customWidth="1"/>
    <col min="33" max="77" width="20.42578125" style="183" customWidth="1"/>
    <col min="78" max="16384" width="10.5703125" style="167"/>
  </cols>
  <sheetData>
    <row r="2" spans="1:77" ht="5.25" customHeight="1">
      <c r="D2" s="168"/>
      <c r="E2" s="182"/>
    </row>
    <row r="3" spans="1:77" ht="12.75">
      <c r="A3" s="225" t="str">
        <f>'ADJ DETAIL-INPUT'!A1</f>
        <v xml:space="preserve">AVISTA UTILITIES  </v>
      </c>
      <c r="D3" s="168"/>
      <c r="E3" s="167"/>
      <c r="F3" s="182"/>
      <c r="G3" s="182"/>
      <c r="H3" s="182"/>
      <c r="I3" s="182"/>
      <c r="J3" s="182"/>
      <c r="K3" s="182"/>
      <c r="L3" s="182"/>
      <c r="M3" s="182"/>
      <c r="N3" s="182"/>
      <c r="O3" s="182"/>
      <c r="P3" s="182"/>
      <c r="Q3" s="182"/>
      <c r="R3" s="182"/>
      <c r="S3" s="182"/>
      <c r="T3" s="182"/>
      <c r="U3" s="182"/>
      <c r="V3" s="182"/>
      <c r="W3"/>
      <c r="X3"/>
      <c r="Y3"/>
      <c r="Z3"/>
      <c r="AA3"/>
      <c r="AB3"/>
      <c r="AC3"/>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c r="BK3" s="182"/>
      <c r="BL3" s="182"/>
      <c r="BM3" s="182"/>
      <c r="BN3" s="182"/>
      <c r="BO3" s="182"/>
      <c r="BP3" s="182"/>
      <c r="BQ3" s="182"/>
      <c r="BR3" s="182"/>
      <c r="BS3" s="182"/>
      <c r="BT3" s="182"/>
      <c r="BU3" s="182"/>
      <c r="BV3" s="182"/>
      <c r="BW3" s="182"/>
      <c r="BX3" s="182"/>
      <c r="BY3" s="182"/>
    </row>
    <row r="4" spans="1:77" ht="12.75">
      <c r="A4" s="225" t="str">
        <f>'ADJ DETAIL-INPUT'!A2</f>
        <v xml:space="preserve">WASHINGTON ELECTRIC RESULTS </v>
      </c>
      <c r="D4" s="168"/>
      <c r="F4" s="182"/>
      <c r="G4" s="182"/>
      <c r="H4" s="182"/>
      <c r="I4" s="182"/>
      <c r="J4" s="182"/>
      <c r="K4" s="182"/>
      <c r="L4" s="182"/>
      <c r="M4" s="182"/>
      <c r="N4" s="182"/>
      <c r="O4" s="182"/>
      <c r="P4" s="182"/>
      <c r="Q4" s="182"/>
      <c r="R4" s="182"/>
      <c r="S4" s="182"/>
      <c r="T4" s="182"/>
      <c r="U4" s="182"/>
      <c r="V4" s="182"/>
      <c r="W4"/>
      <c r="X4"/>
      <c r="Y4"/>
      <c r="Z4"/>
      <c r="AA4"/>
      <c r="AB4"/>
      <c r="AC4"/>
      <c r="AD4" s="182"/>
      <c r="AE4" s="182"/>
      <c r="AF4" s="182"/>
      <c r="AG4" s="182"/>
      <c r="AH4" s="182"/>
      <c r="AI4" s="182"/>
      <c r="AJ4" s="182"/>
      <c r="AK4" s="182"/>
      <c r="AL4" s="182"/>
      <c r="AM4" s="182"/>
      <c r="AN4" s="182"/>
      <c r="AO4" s="182"/>
      <c r="AP4" s="182"/>
      <c r="AQ4" s="182"/>
      <c r="AR4" s="182"/>
      <c r="AS4" s="182"/>
      <c r="AT4" s="182"/>
      <c r="AU4" s="182"/>
      <c r="AV4" s="182"/>
      <c r="AW4" s="182"/>
      <c r="AX4" s="182"/>
      <c r="AY4" s="182"/>
      <c r="AZ4" s="182"/>
      <c r="BA4" s="182"/>
      <c r="BB4" s="182"/>
      <c r="BC4" s="182"/>
      <c r="BD4" s="182"/>
      <c r="BE4" s="182"/>
      <c r="BF4" s="182"/>
      <c r="BG4" s="182"/>
      <c r="BH4" s="182"/>
      <c r="BI4" s="182"/>
      <c r="BJ4" s="182"/>
      <c r="BK4" s="182"/>
      <c r="BL4" s="182"/>
      <c r="BM4" s="182"/>
      <c r="BN4" s="182"/>
      <c r="BO4" s="182"/>
      <c r="BP4" s="182"/>
      <c r="BQ4" s="182"/>
      <c r="BR4" s="182"/>
      <c r="BS4" s="182"/>
      <c r="BT4" s="182"/>
      <c r="BU4" s="182"/>
      <c r="BV4" s="182"/>
      <c r="BW4" s="182"/>
      <c r="BX4" s="182"/>
      <c r="BY4" s="182"/>
    </row>
    <row r="5" spans="1:77" ht="12.75">
      <c r="A5" s="225" t="str">
        <f>'ADJ DETAIL-INPUT'!A4</f>
        <v xml:space="preserve">(000'S OF DOLLARS)  </v>
      </c>
      <c r="D5" s="168"/>
      <c r="E5" s="413"/>
      <c r="W5"/>
      <c r="X5"/>
      <c r="Y5"/>
      <c r="Z5"/>
      <c r="AA5"/>
      <c r="AB5"/>
      <c r="AC5"/>
    </row>
    <row r="6" spans="1:77" s="148" customFormat="1" ht="12.75">
      <c r="A6" s="225" t="str">
        <f>'ADJ DETAIL-INPUT'!A3</f>
        <v>TWELVE MONTHS ENDED JUNE 30, 2023</v>
      </c>
      <c r="E6" s="184"/>
      <c r="F6" s="185"/>
      <c r="G6" s="185"/>
      <c r="H6" s="185"/>
      <c r="I6" s="185"/>
      <c r="J6" s="185"/>
      <c r="K6" s="185"/>
      <c r="L6" s="185"/>
      <c r="M6" s="185"/>
      <c r="N6" s="185"/>
      <c r="O6" s="185"/>
      <c r="P6" s="185"/>
      <c r="Q6" s="185"/>
      <c r="R6" s="185"/>
      <c r="S6" s="185"/>
      <c r="T6" s="185"/>
      <c r="U6" s="185"/>
      <c r="V6" s="185"/>
      <c r="W6"/>
      <c r="X6"/>
      <c r="Y6"/>
      <c r="Z6"/>
      <c r="AA6"/>
      <c r="AB6"/>
      <c r="AC6"/>
      <c r="AD6" s="185"/>
      <c r="AE6" s="185"/>
      <c r="AF6" s="185"/>
      <c r="AG6" s="185"/>
      <c r="AH6" s="185"/>
      <c r="AI6" s="185"/>
      <c r="AJ6" s="185"/>
      <c r="AK6" s="185"/>
      <c r="AL6" s="185"/>
      <c r="AM6" s="185"/>
      <c r="AN6" s="185"/>
      <c r="AO6" s="185"/>
      <c r="AP6" s="185"/>
      <c r="AQ6" s="185"/>
      <c r="AR6" s="185"/>
      <c r="AS6" s="185"/>
      <c r="AT6" s="185"/>
      <c r="AU6" s="185"/>
      <c r="AV6" s="185"/>
      <c r="AW6" s="185"/>
      <c r="AX6" s="185"/>
      <c r="AY6" s="185"/>
      <c r="AZ6" s="185"/>
      <c r="BA6" s="185"/>
      <c r="BB6" s="185"/>
      <c r="BC6" s="185"/>
      <c r="BD6" s="185"/>
      <c r="BE6" s="185"/>
      <c r="BF6" s="185"/>
      <c r="BG6" s="185"/>
      <c r="BH6" s="185"/>
      <c r="BI6" s="185"/>
      <c r="BJ6" s="185"/>
      <c r="BK6" s="185"/>
      <c r="BL6" s="185"/>
      <c r="BM6" s="185"/>
      <c r="BN6" s="185"/>
      <c r="BO6" s="185"/>
      <c r="BP6" s="185"/>
      <c r="BQ6" s="185"/>
      <c r="BR6" s="185"/>
      <c r="BS6" s="185"/>
      <c r="BT6" s="185"/>
      <c r="BU6" s="185"/>
      <c r="BV6" s="185"/>
      <c r="BW6" s="185"/>
      <c r="BX6" s="185"/>
      <c r="BY6" s="185"/>
    </row>
    <row r="7" spans="1:77" s="148" customFormat="1" ht="12" customHeight="1">
      <c r="F7" s="184" t="str">
        <f>'ADJ DETAIL-INPUT'!F6</f>
        <v xml:space="preserve">Deferred </v>
      </c>
      <c r="G7" s="184" t="str">
        <f>'ADJ DETAIL-INPUT'!G6</f>
        <v xml:space="preserve">Deferred </v>
      </c>
      <c r="H7" s="184" t="str">
        <f>'ADJ DETAIL-INPUT'!H6</f>
        <v>Working</v>
      </c>
      <c r="I7" s="184" t="str">
        <f>'ADJ DETAIL-INPUT'!I6</f>
        <v>Remove</v>
      </c>
      <c r="J7" s="184" t="str">
        <f>'ADJ DETAIL-INPUT'!J6</f>
        <v>Eliminate</v>
      </c>
      <c r="K7" s="184" t="str">
        <f>'ADJ DETAIL-INPUT'!K6</f>
        <v>Restate</v>
      </c>
      <c r="L7" s="184" t="str">
        <f>'ADJ DETAIL-INPUT'!L6</f>
        <v>Uncollectible</v>
      </c>
      <c r="M7" s="184" t="str">
        <f>'ADJ DETAIL-INPUT'!M6</f>
        <v>Regulatory</v>
      </c>
      <c r="N7" s="184" t="str">
        <f>'ADJ DETAIL-INPUT'!N6</f>
        <v>Injuries</v>
      </c>
      <c r="O7" s="184" t="str">
        <f>'ADJ DETAIL-INPUT'!O6</f>
        <v>FIT/DFIT/</v>
      </c>
      <c r="P7" s="184" t="str">
        <f>'ADJ DETAIL-INPUT'!P6</f>
        <v>Office Space</v>
      </c>
      <c r="Q7" s="184" t="str">
        <f>'ADJ DETAIL-INPUT'!Q6</f>
        <v>Restate</v>
      </c>
      <c r="R7" s="184" t="str">
        <f>'ADJ DETAIL-INPUT'!R6</f>
        <v>Net</v>
      </c>
      <c r="S7" s="184" t="str">
        <f>'ADJ DETAIL-INPUT'!S6</f>
        <v xml:space="preserve">Weather </v>
      </c>
      <c r="T7" s="184" t="str">
        <f>'ADJ DETAIL-INPUT'!T6</f>
        <v>Eliminate</v>
      </c>
      <c r="U7" s="184" t="str">
        <f>'ADJ DETAIL-INPUT'!U6</f>
        <v>Misc. Restating</v>
      </c>
      <c r="V7" s="184" t="str">
        <f>'ADJ DETAIL-INPUT'!V6</f>
        <v xml:space="preserve">Restating </v>
      </c>
      <c r="W7" s="184" t="str">
        <f>'ADJ DETAIL-INPUT'!W6</f>
        <v>Restate</v>
      </c>
      <c r="X7" s="184" t="str">
        <f>'ADJ DETAIL-INPUT'!X6</f>
        <v>Restate</v>
      </c>
      <c r="Y7" s="184" t="str">
        <f>'ADJ DETAIL-INPUT'!Y6</f>
        <v>Eliminate</v>
      </c>
      <c r="Z7" s="184" t="str">
        <f>'ADJ DETAIL-INPUT'!Z6</f>
        <v>Nez Perce</v>
      </c>
      <c r="AA7" s="184" t="str">
        <f>'ADJ DETAIL-INPUT'!AA6</f>
        <v>Normalize</v>
      </c>
      <c r="AB7" s="184" t="str">
        <f>'ADJ DETAIL-INPUT'!AB6</f>
        <v xml:space="preserve">Authorized </v>
      </c>
      <c r="AC7" s="184">
        <f>'ADJ DETAIL-INPUT'!AC6</f>
        <v>0</v>
      </c>
      <c r="AD7" s="184" t="str">
        <f>'ADJ DETAIL-INPUT'!AE6</f>
        <v>Pro Forma</v>
      </c>
      <c r="AE7" s="184" t="str">
        <f>'ADJ DETAIL-INPUT'!AF6</f>
        <v>Pro Forma</v>
      </c>
      <c r="AF7" s="184" t="str">
        <f>'ADJ DETAIL-INPUT'!AG6</f>
        <v>Pro Forma</v>
      </c>
      <c r="AG7" s="184" t="str">
        <f>'ADJ DETAIL-INPUT'!AH6</f>
        <v xml:space="preserve">Pro Forma </v>
      </c>
      <c r="AH7" s="184" t="str">
        <f>'ADJ DETAIL-INPUT'!AI6</f>
        <v xml:space="preserve">Pro Forma </v>
      </c>
      <c r="AI7" s="184" t="str">
        <f>'ADJ DETAIL-INPUT'!AJ6</f>
        <v>Pro Forma</v>
      </c>
      <c r="AJ7" s="184" t="str">
        <f>'ADJ DETAIL-INPUT'!AK6</f>
        <v xml:space="preserve">Pro Forma </v>
      </c>
      <c r="AK7" s="184" t="str">
        <f>'ADJ DETAIL-INPUT'!AL6</f>
        <v xml:space="preserve">Pro Forma </v>
      </c>
      <c r="AL7" s="184" t="str">
        <f>'ADJ DETAIL-INPUT'!AM6</f>
        <v xml:space="preserve">Pro Forma </v>
      </c>
      <c r="AM7" s="184" t="str">
        <f>'ADJ DETAIL-INPUT'!AN6</f>
        <v xml:space="preserve">Pro Forma </v>
      </c>
      <c r="AN7" s="184" t="str">
        <f>'ADJ DETAIL-INPUT'!AO6</f>
        <v xml:space="preserve">Pro Forma </v>
      </c>
      <c r="AO7" s="184" t="str">
        <f>'ADJ DETAIL-INPUT'!AP6</f>
        <v xml:space="preserve">Pro Forma </v>
      </c>
      <c r="AP7" s="184" t="str">
        <f>'ADJ DETAIL-INPUT'!AQ6</f>
        <v xml:space="preserve">Pro Forma </v>
      </c>
      <c r="AQ7" s="184" t="str">
        <f>'ADJ DETAIL-INPUT'!AR6</f>
        <v>Pro Forma</v>
      </c>
      <c r="AR7" s="184" t="str">
        <f>'ADJ DETAIL-INPUT'!AS6</f>
        <v xml:space="preserve">Pro Forma </v>
      </c>
      <c r="AS7" s="184" t="str">
        <f>'ADJ DETAIL-INPUT'!AT6</f>
        <v>Pro Forma</v>
      </c>
      <c r="AT7" s="184" t="str">
        <f>'ADJ DETAIL-INPUT'!AU6</f>
        <v>Pro Forma</v>
      </c>
      <c r="AU7" s="184" t="str">
        <f>'ADJ DETAIL-INPUT'!AV6</f>
        <v>Pro Forma</v>
      </c>
      <c r="AV7" s="184" t="str">
        <f>'ADJ DETAIL-INPUT'!AW6</f>
        <v>Pro Forma</v>
      </c>
      <c r="AW7" s="184" t="str">
        <f>'ADJ DETAIL-INPUT'!AX6</f>
        <v>Pro Forma</v>
      </c>
      <c r="AX7" s="184" t="str">
        <f>'ADJ DETAIL-INPUT'!AY6</f>
        <v>Pro Forma</v>
      </c>
      <c r="AY7" s="184" t="str">
        <f>'ADJ DETAIL-INPUT'!AZ6</f>
        <v>Pro Forma</v>
      </c>
      <c r="AZ7" s="184" t="str">
        <f>'ADJ DETAIL-INPUT'!BA6</f>
        <v>PF Transportation</v>
      </c>
      <c r="BA7" s="184" t="str">
        <f>'ADJ DETAIL-INPUT'!BB6</f>
        <v>Pro Forma</v>
      </c>
      <c r="BB7" s="184" t="str">
        <f>'ADJ DETAIL-INPUT'!BC6</f>
        <v>Pro Forma</v>
      </c>
      <c r="BC7" s="184" t="str">
        <f>'ADJ DETAIL-INPUT'!BD6</f>
        <v>Pro Forma</v>
      </c>
      <c r="BD7" s="184" t="str">
        <f>'ADJ DETAIL-INPUT'!BE6</f>
        <v>Provisional</v>
      </c>
      <c r="BE7" s="184" t="str">
        <f>'ADJ DETAIL-INPUT'!BF6</f>
        <v>2024-2025</v>
      </c>
      <c r="BF7" s="184">
        <f>'ADJ DETAIL-INPUT'!BG6</f>
        <v>0</v>
      </c>
      <c r="BG7" s="184">
        <f>'ADJ DETAIL-INPUT'!BH6</f>
        <v>0</v>
      </c>
      <c r="BH7" s="184">
        <f>'ADJ DETAIL-INPUT'!BI6</f>
        <v>0</v>
      </c>
      <c r="BI7" s="184">
        <f>'ADJ DETAIL-INPUT'!BJ6</f>
        <v>0</v>
      </c>
      <c r="BJ7" s="184">
        <f>'ADJ DETAIL-INPUT'!BK6</f>
        <v>0</v>
      </c>
      <c r="BK7" s="184" t="str">
        <f>'ADJ DETAIL-INPUT'!BN6</f>
        <v>Pro Forma</v>
      </c>
      <c r="BL7" s="184">
        <f>'ADJ DETAIL-INPUT'!BO6</f>
        <v>0</v>
      </c>
      <c r="BM7" s="184" t="str">
        <f>'ADJ DETAIL-INPUT'!BP6</f>
        <v>Pro Forma</v>
      </c>
      <c r="BN7" s="184" t="str">
        <f>'ADJ DETAIL-INPUT'!BQ6</f>
        <v xml:space="preserve">Pro Forma </v>
      </c>
      <c r="BO7" s="184" t="str">
        <f>'ADJ DETAIL-INPUT'!BR6</f>
        <v xml:space="preserve">Pro Forma </v>
      </c>
      <c r="BP7" s="184" t="str">
        <f>'ADJ DETAIL-INPUT'!BS6</f>
        <v xml:space="preserve">Pro Forma </v>
      </c>
      <c r="BQ7" s="184" t="str">
        <f>'ADJ DETAIL-INPUT'!BT6</f>
        <v>Pro Forma</v>
      </c>
      <c r="BR7" s="184" t="str">
        <f>'ADJ DETAIL-INPUT'!BU6</f>
        <v>Pro Forma</v>
      </c>
      <c r="BS7" s="184" t="str">
        <f>'ADJ DETAIL-INPUT'!BV6</f>
        <v>Provisional</v>
      </c>
      <c r="BT7" s="148">
        <f>'ADJ DETAIL-INPUT'!BW6</f>
        <v>2026</v>
      </c>
      <c r="BU7" s="184" t="str">
        <f>'ADJ DETAIL-INPUT'!BX6</f>
        <v>Pro Forma</v>
      </c>
      <c r="BV7" s="184" t="str">
        <f>'ADJ DETAIL-INPUT'!BY6</f>
        <v>PF Transportation</v>
      </c>
      <c r="BW7" s="184" t="str">
        <f>'ADJ DETAIL-INPUT'!BZ6</f>
        <v>Pro Forma</v>
      </c>
      <c r="BX7" s="184" t="str">
        <f>'ADJ DETAIL-INPUT'!CA6</f>
        <v>Pro Forma</v>
      </c>
      <c r="BY7" s="184">
        <f>'ADJ DETAIL-INPUT'!CB6</f>
        <v>0</v>
      </c>
    </row>
    <row r="8" spans="1:77" s="148" customFormat="1">
      <c r="A8" s="148" t="str">
        <f>'ADJ DETAIL-INPUT'!A7</f>
        <v>Line</v>
      </c>
      <c r="E8" s="184" t="s">
        <v>245</v>
      </c>
      <c r="F8" s="184" t="str">
        <f>'ADJ DETAIL-INPUT'!F7</f>
        <v>FIT</v>
      </c>
      <c r="G8" s="184" t="str">
        <f>'ADJ DETAIL-INPUT'!G7</f>
        <v xml:space="preserve">Debits and </v>
      </c>
      <c r="H8" s="184" t="str">
        <f>'ADJ DETAIL-INPUT'!H7</f>
        <v>Capital</v>
      </c>
      <c r="I8" s="184" t="str">
        <f>'ADJ DETAIL-INPUT'!I7</f>
        <v>Colstrip</v>
      </c>
      <c r="J8" s="184" t="str">
        <f>'ADJ DETAIL-INPUT'!J7</f>
        <v>B &amp; O</v>
      </c>
      <c r="K8" s="184" t="str">
        <f>'ADJ DETAIL-INPUT'!K7</f>
        <v>Property</v>
      </c>
      <c r="L8" s="184" t="str">
        <f>'ADJ DETAIL-INPUT'!L7</f>
        <v>Expense</v>
      </c>
      <c r="M8" s="184" t="str">
        <f>'ADJ DETAIL-INPUT'!M7</f>
        <v>Expense</v>
      </c>
      <c r="N8" s="184" t="str">
        <f>'ADJ DETAIL-INPUT'!N7</f>
        <v xml:space="preserve">and </v>
      </c>
      <c r="O8" s="184" t="str">
        <f>'ADJ DETAIL-INPUT'!O7</f>
        <v>ITC</v>
      </c>
      <c r="P8" s="184" t="str">
        <f>'ADJ DETAIL-INPUT'!P7</f>
        <v>Charges to</v>
      </c>
      <c r="Q8" s="184" t="str">
        <f>'ADJ DETAIL-INPUT'!Q7</f>
        <v>Excise</v>
      </c>
      <c r="R8" s="184" t="str">
        <f>'ADJ DETAIL-INPUT'!R7</f>
        <v>Gains &amp;</v>
      </c>
      <c r="S8" s="184" t="str">
        <f>'ADJ DETAIL-INPUT'!S7</f>
        <v>Normalization</v>
      </c>
      <c r="T8" s="184" t="str">
        <f>'ADJ DETAIL-INPUT'!T7</f>
        <v>Adder</v>
      </c>
      <c r="U8" s="184" t="str">
        <f>'ADJ DETAIL-INPUT'!U7</f>
        <v>Non-Util / Non-</v>
      </c>
      <c r="V8" s="184" t="str">
        <f>'ADJ DETAIL-INPUT'!V7</f>
        <v>Incentives</v>
      </c>
      <c r="W8" s="184" t="str">
        <f>'ADJ DETAIL-INPUT'!W7</f>
        <v>Debt</v>
      </c>
      <c r="X8" s="184" t="str">
        <f>'ADJ DETAIL-INPUT'!X7</f>
        <v>Capital</v>
      </c>
      <c r="Y8" s="184" t="str">
        <f>'ADJ DETAIL-INPUT'!Y7</f>
        <v>WA Power</v>
      </c>
      <c r="Z8" s="184" t="str">
        <f>'ADJ DETAIL-INPUT'!Z7</f>
        <v>Settlement</v>
      </c>
      <c r="AA8" s="184" t="str">
        <f>'ADJ DETAIL-INPUT'!AA7</f>
        <v>CS2</v>
      </c>
      <c r="AB8" s="184" t="str">
        <f>'ADJ DETAIL-INPUT'!AB7</f>
        <v>Power</v>
      </c>
      <c r="AC8" s="184">
        <f>'ADJ DETAIL-INPUT'!AC7</f>
        <v>0</v>
      </c>
      <c r="AD8" s="184" t="str">
        <f>'ADJ DETAIL-INPUT'!AE7</f>
        <v xml:space="preserve">Power </v>
      </c>
      <c r="AE8" s="184" t="str">
        <f>'ADJ DETAIL-INPUT'!AF7</f>
        <v>Transmission</v>
      </c>
      <c r="AF8" s="184" t="str">
        <f>'ADJ DETAIL-INPUT'!AG7</f>
        <v xml:space="preserve">Revenue </v>
      </c>
      <c r="AG8" s="184" t="str">
        <f>'ADJ DETAIL-INPUT'!AH7</f>
        <v>Def. Debits, Credits &amp;</v>
      </c>
      <c r="AH8" s="184" t="str">
        <f>'ADJ DETAIL-INPUT'!AI7</f>
        <v>EDIT</v>
      </c>
      <c r="AI8" s="184" t="str">
        <f>'ADJ DETAIL-INPUT'!AJ7</f>
        <v xml:space="preserve">AMI </v>
      </c>
      <c r="AJ8" s="184" t="str">
        <f>'ADJ DETAIL-INPUT'!AK7</f>
        <v>Labor</v>
      </c>
      <c r="AK8" s="184" t="str">
        <f>'ADJ DETAIL-INPUT'!AL7</f>
        <v>Labor</v>
      </c>
      <c r="AL8" s="184" t="str">
        <f>'ADJ DETAIL-INPUT'!AM7</f>
        <v xml:space="preserve">Employee </v>
      </c>
      <c r="AM8" s="184" t="str">
        <f>'ADJ DETAIL-INPUT'!AN7</f>
        <v>Incentives</v>
      </c>
      <c r="AN8" s="184" t="str">
        <f>'ADJ DETAIL-INPUT'!AO7</f>
        <v>LIRAP</v>
      </c>
      <c r="AO8" s="184" t="str">
        <f>'ADJ DETAIL-INPUT'!AP7</f>
        <v>CCA</v>
      </c>
      <c r="AP8" s="184" t="str">
        <f>'ADJ DETAIL-INPUT'!AQ7</f>
        <v>Property</v>
      </c>
      <c r="AQ8" s="184" t="str">
        <f>'ADJ DETAIL-INPUT'!AR7</f>
        <v>Insurance</v>
      </c>
      <c r="AR8" s="184" t="str">
        <f>'ADJ DETAIL-INPUT'!AS7</f>
        <v>IS/IT</v>
      </c>
      <c r="AS8" s="184" t="str">
        <f>'ADJ DETAIL-INPUT'!AT7</f>
        <v>Misc</v>
      </c>
      <c r="AT8" s="184" t="str">
        <f>'ADJ DETAIL-INPUT'!AU7</f>
        <v>Capital Additions</v>
      </c>
      <c r="AU8" s="184" t="str">
        <f>'ADJ DETAIL-INPUT'!AV7</f>
        <v>Depreciation</v>
      </c>
      <c r="AV8" s="184" t="str">
        <f>'ADJ DETAIL-INPUT'!AW7</f>
        <v>Capital Additions</v>
      </c>
      <c r="AW8" s="184" t="str">
        <f>'ADJ DETAIL-INPUT'!AX7</f>
        <v>New Regulatory</v>
      </c>
      <c r="AX8" s="184" t="str">
        <f>'ADJ DETAIL-INPUT'!AY7</f>
        <v>Nucleus/ETRM</v>
      </c>
      <c r="AY8" s="184" t="str">
        <f>'ADJ DETAIL-INPUT'!AZ7</f>
        <v>BOD Fees</v>
      </c>
      <c r="AZ8" s="184" t="str">
        <f>'ADJ DETAIL-INPUT'!BA7</f>
        <v>Electrification</v>
      </c>
      <c r="BA8" s="184" t="str">
        <f>'ADJ DETAIL-INPUT'!BB7</f>
        <v>Remove Normalize</v>
      </c>
      <c r="BB8" s="184" t="str">
        <f>'ADJ DETAIL-INPUT'!BC7</f>
        <v>PPA</v>
      </c>
      <c r="BC8" s="184" t="str">
        <f>'ADJ DETAIL-INPUT'!BD7</f>
        <v>Wildfire</v>
      </c>
      <c r="BD8" s="184" t="str">
        <f>'ADJ DETAIL-INPUT'!BE7</f>
        <v>Capital Additions</v>
      </c>
      <c r="BE8" s="184" t="str">
        <f>'ADJ DETAIL-INPUT'!BF7</f>
        <v>Capital Adds O&amp;M</v>
      </c>
      <c r="BF8" s="184">
        <f>'ADJ DETAIL-INPUT'!BG7</f>
        <v>0</v>
      </c>
      <c r="BG8" s="184">
        <f>'ADJ DETAIL-INPUT'!BH7</f>
        <v>0</v>
      </c>
      <c r="BH8" s="184">
        <f>'ADJ DETAIL-INPUT'!BI7</f>
        <v>0</v>
      </c>
      <c r="BI8" s="184">
        <f>'ADJ DETAIL-INPUT'!BJ7</f>
        <v>0</v>
      </c>
      <c r="BJ8" s="184">
        <f>'ADJ DETAIL-INPUT'!BK7</f>
        <v>0</v>
      </c>
      <c r="BK8" s="184" t="str">
        <f>'ADJ DETAIL-INPUT'!BN7</f>
        <v xml:space="preserve">Power Supply - </v>
      </c>
      <c r="BL8" s="184">
        <f>'ADJ DETAIL-INPUT'!BO7</f>
        <v>0</v>
      </c>
      <c r="BM8" s="184" t="str">
        <f>'ADJ DETAIL-INPUT'!BP7</f>
        <v xml:space="preserve">AMI </v>
      </c>
      <c r="BN8" s="184" t="str">
        <f>'ADJ DETAIL-INPUT'!BQ7</f>
        <v>Labor</v>
      </c>
      <c r="BO8" s="184" t="str">
        <f>'ADJ DETAIL-INPUT'!BR7</f>
        <v xml:space="preserve">Employee </v>
      </c>
      <c r="BP8" s="184" t="str">
        <f>'ADJ DETAIL-INPUT'!BS7</f>
        <v>Property</v>
      </c>
      <c r="BQ8" s="184" t="str">
        <f>'ADJ DETAIL-INPUT'!BT7</f>
        <v>Nucleus/ETRM</v>
      </c>
      <c r="BR8" s="184" t="str">
        <f>'ADJ DETAIL-INPUT'!BU7</f>
        <v>Misc</v>
      </c>
      <c r="BS8" s="184" t="str">
        <f>'ADJ DETAIL-INPUT'!BV7</f>
        <v>Capital Adds</v>
      </c>
      <c r="BT8" s="184" t="str">
        <f>'ADJ DETAIL-INPUT'!BW7</f>
        <v>Capital Adds O&amp;M</v>
      </c>
      <c r="BU8" s="184" t="str">
        <f>'ADJ DETAIL-INPUT'!BX7</f>
        <v>EDIT</v>
      </c>
      <c r="BV8" s="184" t="str">
        <f>'ADJ DETAIL-INPUT'!BY7</f>
        <v>Electrification</v>
      </c>
      <c r="BW8" s="184" t="str">
        <f>'ADJ DETAIL-INPUT'!BZ7</f>
        <v>CS2</v>
      </c>
      <c r="BX8" s="184" t="str">
        <f>'ADJ DETAIL-INPUT'!CA7</f>
        <v>PPA</v>
      </c>
      <c r="BY8" s="184">
        <f>'ADJ DETAIL-INPUT'!CB7</f>
        <v>0</v>
      </c>
    </row>
    <row r="9" spans="1:77" s="148" customFormat="1" ht="11.25" customHeight="1">
      <c r="A9" s="151" t="str">
        <f>'ADJ DETAIL-INPUT'!A8</f>
        <v>No.</v>
      </c>
      <c r="B9" s="151"/>
      <c r="C9" s="152" t="s">
        <v>21</v>
      </c>
      <c r="D9" s="151"/>
      <c r="E9" s="195" t="s">
        <v>246</v>
      </c>
      <c r="F9" s="195" t="str">
        <f>'ADJ DETAIL-INPUT'!F8</f>
        <v>Rate Base</v>
      </c>
      <c r="G9" s="195" t="str">
        <f>'ADJ DETAIL-INPUT'!G8</f>
        <v>Credits</v>
      </c>
      <c r="H9" s="195" t="str">
        <f>'ADJ DETAIL-INPUT'!H8</f>
        <v xml:space="preserve"> </v>
      </c>
      <c r="I9" s="195" t="str">
        <f>'ADJ DETAIL-INPUT'!I8</f>
        <v xml:space="preserve"> </v>
      </c>
      <c r="J9" s="195" t="str">
        <f>'ADJ DETAIL-INPUT'!J8</f>
        <v>Taxes</v>
      </c>
      <c r="K9" s="195" t="str">
        <f>'ADJ DETAIL-INPUT'!K8</f>
        <v>Tax</v>
      </c>
      <c r="L9" s="195" t="str">
        <f>'ADJ DETAIL-INPUT'!L8</f>
        <v xml:space="preserve"> </v>
      </c>
      <c r="M9" s="195" t="str">
        <f>'ADJ DETAIL-INPUT'!M8</f>
        <v xml:space="preserve"> </v>
      </c>
      <c r="N9" s="195" t="str">
        <f>'ADJ DETAIL-INPUT'!N8</f>
        <v>Damages</v>
      </c>
      <c r="O9" s="195" t="str">
        <f>'ADJ DETAIL-INPUT'!O8</f>
        <v>Expense</v>
      </c>
      <c r="P9" s="195" t="str">
        <f>'ADJ DETAIL-INPUT'!P8</f>
        <v>Non-Utility</v>
      </c>
      <c r="Q9" s="195" t="str">
        <f>'ADJ DETAIL-INPUT'!Q8</f>
        <v>Taxes</v>
      </c>
      <c r="R9" s="195" t="str">
        <f>'ADJ DETAIL-INPUT'!R8</f>
        <v>Losses</v>
      </c>
      <c r="S9" s="195" t="str">
        <f>'ADJ DETAIL-INPUT'!S8</f>
        <v xml:space="preserve"> </v>
      </c>
      <c r="T9" s="195" t="str">
        <f>'ADJ DETAIL-INPUT'!T8</f>
        <v>Schedules</v>
      </c>
      <c r="U9" s="195" t="str">
        <f>'ADJ DETAIL-INPUT'!U8</f>
        <v>Recurring Expenses</v>
      </c>
      <c r="V9" s="195" t="str">
        <f>'ADJ DETAIL-INPUT'!V8</f>
        <v>Expense</v>
      </c>
      <c r="W9" s="195" t="str">
        <f>'ADJ DETAIL-INPUT'!W8</f>
        <v>Interest</v>
      </c>
      <c r="X9" s="195" t="str">
        <f>'ADJ DETAIL-INPUT'!X8</f>
        <v>06.2023 EOP</v>
      </c>
      <c r="Y9" s="195" t="str">
        <f>'ADJ DETAIL-INPUT'!Y8</f>
        <v>Cost Defer</v>
      </c>
      <c r="Z9" s="195" t="str">
        <f>'ADJ DETAIL-INPUT'!Z8</f>
        <v>Adjustment</v>
      </c>
      <c r="AA9" s="195" t="str">
        <f>'ADJ DETAIL-INPUT'!AA8</f>
        <v>Major Maint</v>
      </c>
      <c r="AB9" s="195" t="str">
        <f>'ADJ DETAIL-INPUT'!AB8</f>
        <v>Supply</v>
      </c>
      <c r="AC9" s="195">
        <f>'ADJ DETAIL-INPUT'!AC8</f>
        <v>0</v>
      </c>
      <c r="AD9" s="195" t="str">
        <f>'ADJ DETAIL-INPUT'!AE8</f>
        <v>Supply</v>
      </c>
      <c r="AE9" s="195" t="str">
        <f>'ADJ DETAIL-INPUT'!AF8</f>
        <v>Revenue/Expense</v>
      </c>
      <c r="AF9" s="195" t="str">
        <f>'ADJ DETAIL-INPUT'!AG8</f>
        <v>Normalization</v>
      </c>
      <c r="AG9" s="195" t="str">
        <f>'ADJ DETAIL-INPUT'!AH8</f>
        <v>Regulatory Amorts</v>
      </c>
      <c r="AH9" s="195" t="str">
        <f>'ADJ DETAIL-INPUT'!AI8</f>
        <v>(RSGM)</v>
      </c>
      <c r="AI9" s="195" t="str">
        <f>'ADJ DETAIL-INPUT'!AJ8</f>
        <v>Amortization</v>
      </c>
      <c r="AJ9" s="195" t="str">
        <f>'ADJ DETAIL-INPUT'!AK8</f>
        <v>Non-Exec</v>
      </c>
      <c r="AK9" s="195" t="str">
        <f>'ADJ DETAIL-INPUT'!AL8</f>
        <v>Exec</v>
      </c>
      <c r="AL9" s="195" t="str">
        <f>'ADJ DETAIL-INPUT'!AM8</f>
        <v>Benefits</v>
      </c>
      <c r="AM9" s="195">
        <f>'ADJ DETAIL-INPUT'!AN8</f>
        <v>0</v>
      </c>
      <c r="AN9" s="195" t="str">
        <f>'ADJ DETAIL-INPUT'!AO8</f>
        <v>Labor</v>
      </c>
      <c r="AO9" s="195" t="str">
        <f>'ADJ DETAIL-INPUT'!AP8</f>
        <v>Labor</v>
      </c>
      <c r="AP9" s="195" t="str">
        <f>'ADJ DETAIL-INPUT'!AQ8</f>
        <v>Tax</v>
      </c>
      <c r="AQ9" s="195" t="str">
        <f>'ADJ DETAIL-INPUT'!AR8</f>
        <v>Expense</v>
      </c>
      <c r="AR9" s="195" t="str">
        <f>'ADJ DETAIL-INPUT'!AS8</f>
        <v>Expense</v>
      </c>
      <c r="AS9" s="195" t="str">
        <f>'ADJ DETAIL-INPUT'!AT8</f>
        <v>O&amp;M Exp</v>
      </c>
      <c r="AT9" s="195" t="str">
        <f>'ADJ DETAIL-INPUT'!AU8</f>
        <v>to 12.31.2023 EOP</v>
      </c>
      <c r="AU9" s="195" t="str">
        <f>'ADJ DETAIL-INPUT'!AV8</f>
        <v>Expense</v>
      </c>
      <c r="AV9" s="195" t="str">
        <f>'ADJ DETAIL-INPUT'!AW8</f>
        <v>to 12.31.2024 EOP</v>
      </c>
      <c r="AW9" s="195" t="str">
        <f>'ADJ DETAIL-INPUT'!AX8</f>
        <v>Amortizations</v>
      </c>
      <c r="AX9" s="195" t="str">
        <f>'ADJ DETAIL-INPUT'!AY8</f>
        <v>Expense</v>
      </c>
      <c r="AY9" s="195" t="str">
        <f>'ADJ DETAIL-INPUT'!AZ8</f>
        <v>Expense</v>
      </c>
      <c r="AZ9" s="195" t="str">
        <f>'ADJ DETAIL-INPUT'!BA8</f>
        <v>Return (Kicker)</v>
      </c>
      <c r="BA9" s="195" t="str">
        <f>'ADJ DETAIL-INPUT'!BB8</f>
        <v xml:space="preserve">CS2 Major Maint </v>
      </c>
      <c r="BB9" s="195" t="str">
        <f>'ADJ DETAIL-INPUT'!BC8</f>
        <v>Interest</v>
      </c>
      <c r="BC9" s="195" t="str">
        <f>'ADJ DETAIL-INPUT'!BD8</f>
        <v>Expense</v>
      </c>
      <c r="BD9" s="195" t="str">
        <f>'ADJ DETAIL-INPUT'!BE8</f>
        <v>to 12.31.2025 AMA</v>
      </c>
      <c r="BE9" s="195" t="str">
        <f>'ADJ DETAIL-INPUT'!BF8</f>
        <v>&amp; Revenue Offsets</v>
      </c>
      <c r="BF9" s="195">
        <f>'ADJ DETAIL-INPUT'!BG8</f>
        <v>0</v>
      </c>
      <c r="BG9" s="195">
        <f>'ADJ DETAIL-INPUT'!BH8</f>
        <v>0</v>
      </c>
      <c r="BH9" s="195">
        <f>'ADJ DETAIL-INPUT'!BI8</f>
        <v>0</v>
      </c>
      <c r="BI9" s="195">
        <f>'ADJ DETAIL-INPUT'!BJ8</f>
        <v>0</v>
      </c>
      <c r="BJ9" s="195">
        <f>'ADJ DETAIL-INPUT'!BK8</f>
        <v>0</v>
      </c>
      <c r="BK9" s="195" t="str">
        <f>'ADJ DETAIL-INPUT'!BN8</f>
        <v>Remove Colstrip</v>
      </c>
      <c r="BL9" s="195">
        <f>'ADJ DETAIL-INPUT'!BO8</f>
        <v>0</v>
      </c>
      <c r="BM9" s="195" t="str">
        <f>'ADJ DETAIL-INPUT'!BP8</f>
        <v>Amortization</v>
      </c>
      <c r="BN9" s="195" t="str">
        <f>'ADJ DETAIL-INPUT'!BQ8</f>
        <v>Non-Exec</v>
      </c>
      <c r="BO9" s="195" t="str">
        <f>'ADJ DETAIL-INPUT'!BR8</f>
        <v>Benefits</v>
      </c>
      <c r="BP9" s="195" t="str">
        <f>'ADJ DETAIL-INPUT'!BS8</f>
        <v>Tax</v>
      </c>
      <c r="BQ9" s="195" t="str">
        <f>'ADJ DETAIL-INPUT'!BT8</f>
        <v>Expense</v>
      </c>
      <c r="BR9" s="195" t="str">
        <f>'ADJ DETAIL-INPUT'!BU8</f>
        <v>O&amp;M Exp</v>
      </c>
      <c r="BS9" s="195" t="str">
        <f>'ADJ DETAIL-INPUT'!BV8</f>
        <v>to 12.31.2026 AMA</v>
      </c>
      <c r="BT9" s="195" t="str">
        <f>'ADJ DETAIL-INPUT'!BW8</f>
        <v>&amp; Revenue Offsets</v>
      </c>
      <c r="BU9" s="195">
        <f>'ADJ DETAIL-INPUT'!BX8</f>
        <v>0</v>
      </c>
      <c r="BV9" s="195" t="str">
        <f>'ADJ DETAIL-INPUT'!BY8</f>
        <v>Return (Kicker)</v>
      </c>
      <c r="BW9" s="195" t="str">
        <f>'ADJ DETAIL-INPUT'!BZ8</f>
        <v>Amortization</v>
      </c>
      <c r="BX9" s="195" t="str">
        <f>'ADJ DETAIL-INPUT'!CA8</f>
        <v>Interest</v>
      </c>
      <c r="BY9" s="195">
        <f>'ADJ DETAIL-INPUT'!CB8</f>
        <v>0</v>
      </c>
    </row>
    <row r="10" spans="1:77" s="191" customFormat="1">
      <c r="B10" s="194" t="s">
        <v>529</v>
      </c>
      <c r="E10" s="193">
        <v>1</v>
      </c>
      <c r="F10" s="192">
        <f>'ADJ DETAIL-INPUT'!F9</f>
        <v>1.01</v>
      </c>
      <c r="G10" s="192">
        <f>'ADJ DETAIL-INPUT'!G9</f>
        <v>1.02</v>
      </c>
      <c r="H10" s="192">
        <f>'ADJ DETAIL-INPUT'!H9</f>
        <v>1.03</v>
      </c>
      <c r="I10" s="192">
        <f>'ADJ DETAIL-INPUT'!I9</f>
        <v>1.04</v>
      </c>
      <c r="J10" s="192">
        <f>'ADJ DETAIL-INPUT'!J9</f>
        <v>2.0099999999999998</v>
      </c>
      <c r="K10" s="192">
        <f>'ADJ DETAIL-INPUT'!K9</f>
        <v>2.0199999999999996</v>
      </c>
      <c r="L10" s="192">
        <f>'ADJ DETAIL-INPUT'!L9</f>
        <v>2.0299999999999994</v>
      </c>
      <c r="M10" s="192">
        <f>'ADJ DETAIL-INPUT'!M9</f>
        <v>2.0399999999999991</v>
      </c>
      <c r="N10" s="192">
        <f>'ADJ DETAIL-INPUT'!N9</f>
        <v>2.0499999999999989</v>
      </c>
      <c r="O10" s="192">
        <f>'ADJ DETAIL-INPUT'!O9</f>
        <v>2.0599999999999987</v>
      </c>
      <c r="P10" s="192">
        <f>'ADJ DETAIL-INPUT'!P9</f>
        <v>2.0699999999999985</v>
      </c>
      <c r="Q10" s="192">
        <f>'ADJ DETAIL-INPUT'!Q9</f>
        <v>2.0799999999999983</v>
      </c>
      <c r="R10" s="192">
        <f>'ADJ DETAIL-INPUT'!R9</f>
        <v>2.0899999999999981</v>
      </c>
      <c r="S10" s="192">
        <f>'ADJ DETAIL-INPUT'!S9</f>
        <v>2.0999999999999979</v>
      </c>
      <c r="T10" s="192">
        <f>'ADJ DETAIL-INPUT'!T9</f>
        <v>2.1099999999999977</v>
      </c>
      <c r="U10" s="192">
        <f>'ADJ DETAIL-INPUT'!U9</f>
        <v>2.1199999999999974</v>
      </c>
      <c r="V10" s="192">
        <f>'ADJ DETAIL-INPUT'!V9</f>
        <v>2.1299999999999972</v>
      </c>
      <c r="W10" s="192">
        <f>'ADJ DETAIL-INPUT'!W9</f>
        <v>2.139999999999997</v>
      </c>
      <c r="X10" s="192">
        <f>'ADJ DETAIL-INPUT'!X9</f>
        <v>2.1499999999999968</v>
      </c>
      <c r="Y10" s="192">
        <f>'ADJ DETAIL-INPUT'!Y9</f>
        <v>2.1599999999999966</v>
      </c>
      <c r="Z10" s="192">
        <f>'ADJ DETAIL-INPUT'!Z9</f>
        <v>2.1699999999999964</v>
      </c>
      <c r="AA10" s="192">
        <f>'ADJ DETAIL-INPUT'!AA9</f>
        <v>2.1799999999999962</v>
      </c>
      <c r="AB10" s="192">
        <f>'ADJ DETAIL-INPUT'!AB9</f>
        <v>2.1899999999999959</v>
      </c>
      <c r="AC10" s="192">
        <f>'ADJ DETAIL-INPUT'!AC9</f>
        <v>0</v>
      </c>
      <c r="AD10" s="192" t="str">
        <f>'ADJ DETAIL-INPUT'!AE9</f>
        <v>3.00P</v>
      </c>
      <c r="AE10" s="192" t="str">
        <f>'ADJ DETAIL-INPUT'!AF9</f>
        <v>3.00T</v>
      </c>
      <c r="AF10" s="192">
        <f>'ADJ DETAIL-INPUT'!AG9</f>
        <v>3.01</v>
      </c>
      <c r="AG10" s="192">
        <f>'ADJ DETAIL-INPUT'!AH9</f>
        <v>3.0199999999999996</v>
      </c>
      <c r="AH10" s="192">
        <f>'ADJ DETAIL-INPUT'!AI9</f>
        <v>3.0299999999999994</v>
      </c>
      <c r="AI10" s="192">
        <f>'ADJ DETAIL-INPUT'!AJ9</f>
        <v>3.0399999999999991</v>
      </c>
      <c r="AJ10" s="192">
        <f>'ADJ DETAIL-INPUT'!AK9</f>
        <v>3.0499999999999989</v>
      </c>
      <c r="AK10" s="192">
        <f>'ADJ DETAIL-INPUT'!AL9</f>
        <v>3.0599999999999987</v>
      </c>
      <c r="AL10" s="192">
        <f>'ADJ DETAIL-INPUT'!AM9</f>
        <v>3.0699999999999985</v>
      </c>
      <c r="AM10" s="192">
        <f>'ADJ DETAIL-INPUT'!AN9</f>
        <v>3.0799999999999983</v>
      </c>
      <c r="AN10" s="192">
        <f>'ADJ DETAIL-INPUT'!AO9</f>
        <v>3.0899999999999981</v>
      </c>
      <c r="AO10" s="192">
        <f>'ADJ DETAIL-INPUT'!AP9</f>
        <v>3.0999999999999979</v>
      </c>
      <c r="AP10" s="192">
        <f>'ADJ DETAIL-INPUT'!AQ9</f>
        <v>3.1099999999999977</v>
      </c>
      <c r="AQ10" s="192">
        <f>'ADJ DETAIL-INPUT'!AR9</f>
        <v>3.1199999999999974</v>
      </c>
      <c r="AR10" s="192">
        <f>'ADJ DETAIL-INPUT'!AS9</f>
        <v>3.1299999999999972</v>
      </c>
      <c r="AS10" s="192">
        <f>'ADJ DETAIL-INPUT'!AT9</f>
        <v>3.139999999999997</v>
      </c>
      <c r="AT10" s="192">
        <f>'ADJ DETAIL-INPUT'!AU9</f>
        <v>3.1499999999999968</v>
      </c>
      <c r="AU10" s="192">
        <f>'ADJ DETAIL-INPUT'!AV9</f>
        <v>3.1599999999999966</v>
      </c>
      <c r="AV10" s="192">
        <f>'ADJ DETAIL-INPUT'!AW9</f>
        <v>3.1699999999999964</v>
      </c>
      <c r="AW10" s="192">
        <f>'ADJ DETAIL-INPUT'!AX9</f>
        <v>3.1799999999999962</v>
      </c>
      <c r="AX10" s="192">
        <f>'ADJ DETAIL-INPUT'!AY9</f>
        <v>3.1899999999999959</v>
      </c>
      <c r="AY10" s="192">
        <f>'ADJ DETAIL-INPUT'!AZ9</f>
        <v>3.1999999999999957</v>
      </c>
      <c r="AZ10" s="192">
        <f>'ADJ DETAIL-INPUT'!BA9</f>
        <v>3.2099999999999955</v>
      </c>
      <c r="BA10" s="192">
        <f>'ADJ DETAIL-INPUT'!BB9</f>
        <v>3.2199999999999953</v>
      </c>
      <c r="BB10" s="192">
        <f>'ADJ DETAIL-INPUT'!BC9</f>
        <v>3.2299999999999951</v>
      </c>
      <c r="BC10" s="192">
        <f>'ADJ DETAIL-INPUT'!BD9</f>
        <v>3.2399999999999949</v>
      </c>
      <c r="BD10" s="192">
        <f>'ADJ DETAIL-INPUT'!BE9</f>
        <v>4.01</v>
      </c>
      <c r="BE10" s="192">
        <f>'ADJ DETAIL-INPUT'!BF9</f>
        <v>4.0199999999999996</v>
      </c>
      <c r="BF10" s="192">
        <f>'ADJ DETAIL-INPUT'!BG9</f>
        <v>0</v>
      </c>
      <c r="BG10" s="192">
        <f>'ADJ DETAIL-INPUT'!BH9</f>
        <v>0</v>
      </c>
      <c r="BH10" s="192">
        <f>'ADJ DETAIL-INPUT'!BI9</f>
        <v>0</v>
      </c>
      <c r="BI10" s="192">
        <f>'ADJ DETAIL-INPUT'!BJ9</f>
        <v>0</v>
      </c>
      <c r="BJ10" s="192">
        <f>'ADJ DETAIL-INPUT'!BK9</f>
        <v>0</v>
      </c>
      <c r="BK10" s="192" t="str">
        <f>'ADJ DETAIL-INPUT'!BN9</f>
        <v>5.00P</v>
      </c>
      <c r="BL10" s="192">
        <f>'ADJ DETAIL-INPUT'!BO9</f>
        <v>0</v>
      </c>
      <c r="BM10" s="192">
        <f>'ADJ DETAIL-INPUT'!BP9</f>
        <v>5.01</v>
      </c>
      <c r="BN10" s="192">
        <f>'ADJ DETAIL-INPUT'!BQ9</f>
        <v>5.0199999999999996</v>
      </c>
      <c r="BO10" s="192">
        <f>'ADJ DETAIL-INPUT'!BR9</f>
        <v>5.0299999999999994</v>
      </c>
      <c r="BP10" s="192">
        <f>'ADJ DETAIL-INPUT'!BS9</f>
        <v>5.0399999999999991</v>
      </c>
      <c r="BQ10" s="192">
        <f>'ADJ DETAIL-INPUT'!BT9</f>
        <v>5.0499999999999989</v>
      </c>
      <c r="BR10" s="192">
        <f>'ADJ DETAIL-INPUT'!BU9</f>
        <v>5.0599999999999987</v>
      </c>
      <c r="BS10" s="192">
        <f>'ADJ DETAIL-INPUT'!BV9</f>
        <v>5.0699999999999985</v>
      </c>
      <c r="BT10" s="192">
        <f>'ADJ DETAIL-INPUT'!BW9</f>
        <v>5.0799999999999983</v>
      </c>
      <c r="BU10" s="192">
        <f>'ADJ DETAIL-INPUT'!BX9</f>
        <v>5.0899999999999981</v>
      </c>
      <c r="BV10" s="192">
        <f>'ADJ DETAIL-INPUT'!BY9</f>
        <v>5.0999999999999979</v>
      </c>
      <c r="BW10" s="192">
        <f>'ADJ DETAIL-INPUT'!BZ9</f>
        <v>5.1099999999999977</v>
      </c>
      <c r="BX10" s="192">
        <f>'ADJ DETAIL-INPUT'!CA9</f>
        <v>5.1199999999999974</v>
      </c>
      <c r="BY10" s="192">
        <f>'ADJ DETAIL-INPUT'!CB9</f>
        <v>0</v>
      </c>
    </row>
    <row r="11" spans="1:77" s="191" customFormat="1">
      <c r="A11" s="149"/>
      <c r="B11" s="150" t="s">
        <v>530</v>
      </c>
      <c r="C11" s="149"/>
      <c r="D11" s="149"/>
      <c r="E11" s="196" t="str">
        <f>'ADJ DETAIL-INPUT'!E10</f>
        <v>E-ROO</v>
      </c>
      <c r="F11" s="196" t="str">
        <f>'ADJ DETAIL-INPUT'!F10</f>
        <v>E-DFIT</v>
      </c>
      <c r="G11" s="196" t="str">
        <f>'ADJ DETAIL-INPUT'!G10</f>
        <v>E-DDC</v>
      </c>
      <c r="H11" s="196" t="str">
        <f>'ADJ DETAIL-INPUT'!H10</f>
        <v xml:space="preserve">E-WC </v>
      </c>
      <c r="I11" s="196" t="str">
        <f>'ADJ DETAIL-INPUT'!I10</f>
        <v>E-Col</v>
      </c>
      <c r="J11" s="196" t="str">
        <f>'ADJ DETAIL-INPUT'!J10</f>
        <v>E-EBO</v>
      </c>
      <c r="K11" s="196" t="str">
        <f>'ADJ DETAIL-INPUT'!K10</f>
        <v>E-RPT</v>
      </c>
      <c r="L11" s="196" t="str">
        <f>'ADJ DETAIL-INPUT'!L10</f>
        <v>E-UE</v>
      </c>
      <c r="M11" s="196" t="str">
        <f>'ADJ DETAIL-INPUT'!M10</f>
        <v>E-RE</v>
      </c>
      <c r="N11" s="196" t="str">
        <f>'ADJ DETAIL-INPUT'!N10</f>
        <v>E-ID</v>
      </c>
      <c r="O11" s="196" t="str">
        <f>'ADJ DETAIL-INPUT'!O10</f>
        <v xml:space="preserve">E-FIT </v>
      </c>
      <c r="P11" s="196" t="str">
        <f>'ADJ DETAIL-INPUT'!P10</f>
        <v>E-OSC</v>
      </c>
      <c r="Q11" s="196" t="str">
        <f>'ADJ DETAIL-INPUT'!Q10</f>
        <v>E-RET</v>
      </c>
      <c r="R11" s="196" t="str">
        <f>'ADJ DETAIL-INPUT'!R10</f>
        <v>E-NGL</v>
      </c>
      <c r="S11" s="196" t="str">
        <f>'ADJ DETAIL-INPUT'!S10</f>
        <v>E-WN</v>
      </c>
      <c r="T11" s="196" t="str">
        <f>'ADJ DETAIL-INPUT'!T10</f>
        <v>E-EAS</v>
      </c>
      <c r="U11" s="196" t="str">
        <f>'ADJ DETAIL-INPUT'!U10</f>
        <v>E-MR</v>
      </c>
      <c r="V11" s="196" t="str">
        <f>'ADJ DETAIL-INPUT'!V10</f>
        <v>E-RI</v>
      </c>
      <c r="W11" s="196" t="str">
        <f>'ADJ DETAIL-INPUT'!W10</f>
        <v>E-RDI</v>
      </c>
      <c r="X11" s="196" t="str">
        <f>'ADJ DETAIL-INPUT'!X10</f>
        <v>E-RCAP</v>
      </c>
      <c r="Y11" s="196" t="str">
        <f>'ADJ DETAIL-INPUT'!Y10</f>
        <v>E-EWPC</v>
      </c>
      <c r="Z11" s="196" t="str">
        <f>'ADJ DETAIL-INPUT'!Z10</f>
        <v>E-NPS</v>
      </c>
      <c r="AA11" s="196" t="str">
        <f>'ADJ DETAIL-INPUT'!AA10</f>
        <v>E-RMM</v>
      </c>
      <c r="AB11" s="196" t="str">
        <f>'ADJ DETAIL-INPUT'!AB10</f>
        <v>E-APS</v>
      </c>
      <c r="AC11" s="196">
        <f>'ADJ DETAIL-INPUT'!AC10</f>
        <v>0</v>
      </c>
      <c r="AD11" s="196" t="str">
        <f>'ADJ DETAIL-INPUT'!AE10</f>
        <v>E-PPS</v>
      </c>
      <c r="AE11" s="196" t="str">
        <f>'ADJ DETAIL-INPUT'!AF10</f>
        <v>E-PTRAN</v>
      </c>
      <c r="AF11" s="196" t="str">
        <f>'ADJ DETAIL-INPUT'!AG10</f>
        <v>E-PREV</v>
      </c>
      <c r="AG11" s="196" t="str">
        <f>'ADJ DETAIL-INPUT'!AH10</f>
        <v>E-PRA</v>
      </c>
      <c r="AH11" s="196" t="str">
        <f>'ADJ DETAIL-INPUT'!AI10</f>
        <v>E-EDIT</v>
      </c>
      <c r="AI11" s="196" t="str">
        <f>'ADJ DETAIL-INPUT'!AJ10</f>
        <v>E-PAMI</v>
      </c>
      <c r="AJ11" s="196" t="str">
        <f>'ADJ DETAIL-INPUT'!AK10</f>
        <v>E-PLN</v>
      </c>
      <c r="AK11" s="196" t="str">
        <f>'ADJ DETAIL-INPUT'!AL10</f>
        <v>E-PLE</v>
      </c>
      <c r="AL11" s="196" t="str">
        <f>'ADJ DETAIL-INPUT'!AM10</f>
        <v>E-PEB</v>
      </c>
      <c r="AM11" s="196" t="str">
        <f>'ADJ DETAIL-INPUT'!AN10</f>
        <v>E-PI</v>
      </c>
      <c r="AN11" s="196" t="str">
        <f>'ADJ DETAIL-INPUT'!AO10</f>
        <v>E-LIRAP</v>
      </c>
      <c r="AO11" s="196" t="str">
        <f>'ADJ DETAIL-INPUT'!AP10</f>
        <v>E-CCA</v>
      </c>
      <c r="AP11" s="196" t="str">
        <f>'ADJ DETAIL-INPUT'!AQ10</f>
        <v>E-PPT</v>
      </c>
      <c r="AQ11" s="196" t="str">
        <f>'ADJ DETAIL-INPUT'!AR10</f>
        <v>E-PINS</v>
      </c>
      <c r="AR11" s="196" t="str">
        <f>'ADJ DETAIL-INPUT'!AS10</f>
        <v>E-PIT</v>
      </c>
      <c r="AS11" s="196" t="str">
        <f>'ADJ DETAIL-INPUT'!AT10</f>
        <v>E-PMisc</v>
      </c>
      <c r="AT11" s="196" t="str">
        <f>'ADJ DETAIL-INPUT'!AU10</f>
        <v>E-CAP23E</v>
      </c>
      <c r="AU11" s="196" t="str">
        <f>'ADJ DETAIL-INPUT'!AV10</f>
        <v>E-DEP</v>
      </c>
      <c r="AV11" s="196" t="str">
        <f>'ADJ DETAIL-INPUT'!AW10</f>
        <v>E-CAP24E</v>
      </c>
      <c r="AW11" s="196" t="str">
        <f>'ADJ DETAIL-INPUT'!AX10</f>
        <v>E-NRA</v>
      </c>
      <c r="AX11" s="196" t="str">
        <f>'ADJ DETAIL-INPUT'!AY10</f>
        <v>E-ETRM</v>
      </c>
      <c r="AY11" s="196" t="str">
        <f>'ADJ DETAIL-INPUT'!AZ10</f>
        <v>E-PBOD</v>
      </c>
      <c r="AZ11" s="196" t="str">
        <f>'ADJ DETAIL-INPUT'!BA10</f>
        <v>E-TER</v>
      </c>
      <c r="BA11" s="196" t="str">
        <f>'ADJ DETAIL-INPUT'!BB10</f>
        <v>E-PMM</v>
      </c>
      <c r="BB11" s="196" t="str">
        <f>'ADJ DETAIL-INPUT'!BC10</f>
        <v>E-PPAI</v>
      </c>
      <c r="BC11" s="196" t="str">
        <f>'ADJ DETAIL-INPUT'!BD10</f>
        <v>E-PWF</v>
      </c>
      <c r="BD11" s="196" t="str">
        <f>'ADJ DETAIL-INPUT'!BE10</f>
        <v>E-CAP25A</v>
      </c>
      <c r="BE11" s="196" t="str">
        <f>'ADJ DETAIL-INPUT'!BF10</f>
        <v>E-Offsets25</v>
      </c>
      <c r="BF11" s="196">
        <f>'ADJ DETAIL-INPUT'!BG10</f>
        <v>0</v>
      </c>
      <c r="BG11" s="196">
        <f>'ADJ DETAIL-INPUT'!BH10</f>
        <v>0</v>
      </c>
      <c r="BH11" s="196">
        <f>'ADJ DETAIL-INPUT'!BI10</f>
        <v>0</v>
      </c>
      <c r="BI11" s="196">
        <f>'ADJ DETAIL-INPUT'!BJ10</f>
        <v>0</v>
      </c>
      <c r="BJ11" s="196">
        <f>'ADJ DETAIL-INPUT'!BK10</f>
        <v>0</v>
      </c>
      <c r="BK11" s="196" t="str">
        <f>'ADJ DETAIL-INPUT'!BN10</f>
        <v>E-PPS26</v>
      </c>
      <c r="BL11" s="196">
        <f>'ADJ DETAIL-INPUT'!BO10</f>
        <v>0</v>
      </c>
      <c r="BM11" s="196" t="str">
        <f>'ADJ DETAIL-INPUT'!BP10</f>
        <v>E-AMI26</v>
      </c>
      <c r="BN11" s="196" t="str">
        <f>'ADJ DETAIL-INPUT'!BQ10</f>
        <v>E-PLN26</v>
      </c>
      <c r="BO11" s="196" t="str">
        <f>'ADJ DETAIL-INPUT'!BR10</f>
        <v>E-PEB26</v>
      </c>
      <c r="BP11" s="196" t="str">
        <f>'ADJ DETAIL-INPUT'!BS10</f>
        <v>E-PPT26</v>
      </c>
      <c r="BQ11" s="196" t="str">
        <f>'ADJ DETAIL-INPUT'!BT10</f>
        <v>E-ETRM26</v>
      </c>
      <c r="BR11" s="196" t="str">
        <f>'ADJ DETAIL-INPUT'!BU10</f>
        <v>E-PMisc26</v>
      </c>
      <c r="BS11" s="196" t="str">
        <f>'ADJ DETAIL-INPUT'!BV10</f>
        <v>E-CAP26A</v>
      </c>
      <c r="BT11" s="196" t="str">
        <f>'ADJ DETAIL-INPUT'!BW10</f>
        <v>E-Offsets26</v>
      </c>
      <c r="BU11" s="196" t="str">
        <f>'ADJ DETAIL-INPUT'!BX10</f>
        <v>E-EDIT26</v>
      </c>
      <c r="BV11" s="196" t="str">
        <f>'ADJ DETAIL-INPUT'!BY10</f>
        <v>E-TER26</v>
      </c>
      <c r="BW11" s="196" t="str">
        <f>'ADJ DETAIL-INPUT'!BZ10</f>
        <v>E-CS2A</v>
      </c>
      <c r="BX11" s="196" t="str">
        <f>'ADJ DETAIL-INPUT'!CA10</f>
        <v>E-PPAI26</v>
      </c>
      <c r="BY11" s="196">
        <f>'ADJ DETAIL-INPUT'!CB10</f>
        <v>0</v>
      </c>
    </row>
    <row r="12" spans="1:77" s="191" customFormat="1">
      <c r="B12" s="194"/>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2"/>
      <c r="AZ12" s="192"/>
      <c r="BA12" s="192"/>
      <c r="BB12" s="192"/>
      <c r="BC12" s="192"/>
      <c r="BD12" s="192"/>
      <c r="BE12" s="192"/>
      <c r="BF12" s="192"/>
      <c r="BG12" s="192"/>
      <c r="BH12" s="192"/>
      <c r="BI12" s="192"/>
      <c r="BJ12" s="192"/>
      <c r="BK12" s="192"/>
      <c r="BL12" s="192"/>
      <c r="BM12" s="192"/>
      <c r="BN12" s="192"/>
      <c r="BO12" s="192"/>
      <c r="BP12" s="192"/>
      <c r="BQ12" s="192"/>
      <c r="BR12" s="192"/>
      <c r="BS12" s="192"/>
      <c r="BT12" s="192"/>
      <c r="BU12" s="192"/>
      <c r="BV12" s="192"/>
      <c r="BW12" s="192"/>
      <c r="BX12" s="192"/>
      <c r="BY12" s="192"/>
    </row>
    <row r="13" spans="1:77">
      <c r="B13" s="167" t="str">
        <f>'ADJ DETAIL-INPUT'!B12</f>
        <v xml:space="preserve">REVENUES  </v>
      </c>
    </row>
    <row r="14" spans="1:77" s="177" customFormat="1">
      <c r="A14" s="176">
        <f>'ADJ DETAIL-INPUT'!A13</f>
        <v>1</v>
      </c>
      <c r="B14" s="177" t="str">
        <f>'ADJ DETAIL-INPUT'!B13</f>
        <v xml:space="preserve">Total General Business  </v>
      </c>
      <c r="E14" s="177">
        <f>'ADJ DETAIL-INPUT'!E13</f>
        <v>600149.4</v>
      </c>
      <c r="F14" s="190">
        <f>'ADJ DETAIL-INPUT'!F13</f>
        <v>0</v>
      </c>
      <c r="G14" s="190">
        <f>'ADJ DETAIL-INPUT'!G13</f>
        <v>0</v>
      </c>
      <c r="H14" s="190">
        <f>'ADJ DETAIL-INPUT'!H13</f>
        <v>0</v>
      </c>
      <c r="I14" s="190">
        <f>'ADJ DETAIL-INPUT'!I13</f>
        <v>-22988</v>
      </c>
      <c r="J14" s="190">
        <f>'ADJ DETAIL-INPUT'!J13</f>
        <v>-20672</v>
      </c>
      <c r="K14" s="190">
        <f>'ADJ DETAIL-INPUT'!K13</f>
        <v>0</v>
      </c>
      <c r="L14" s="190">
        <f>'ADJ DETAIL-INPUT'!L13</f>
        <v>0</v>
      </c>
      <c r="M14" s="190">
        <f>'ADJ DETAIL-INPUT'!M13</f>
        <v>0</v>
      </c>
      <c r="N14" s="190">
        <f>'ADJ DETAIL-INPUT'!N13</f>
        <v>0</v>
      </c>
      <c r="O14" s="190">
        <f>'ADJ DETAIL-INPUT'!O13</f>
        <v>0</v>
      </c>
      <c r="P14" s="190">
        <f>'ADJ DETAIL-INPUT'!P13</f>
        <v>0</v>
      </c>
      <c r="Q14" s="190">
        <f>'ADJ DETAIL-INPUT'!Q13</f>
        <v>0</v>
      </c>
      <c r="R14" s="190">
        <f>'ADJ DETAIL-INPUT'!R13</f>
        <v>0</v>
      </c>
      <c r="S14" s="190">
        <f>'ADJ DETAIL-INPUT'!S13</f>
        <v>-10306</v>
      </c>
      <c r="T14" s="190">
        <f>'ADJ DETAIL-INPUT'!T13</f>
        <v>8983</v>
      </c>
      <c r="U14" s="190">
        <f>'ADJ DETAIL-INPUT'!U13</f>
        <v>0</v>
      </c>
      <c r="V14" s="190">
        <f>'ADJ DETAIL-INPUT'!V13</f>
        <v>0</v>
      </c>
      <c r="W14" s="190">
        <f>'ADJ DETAIL-INPUT'!W13</f>
        <v>0</v>
      </c>
      <c r="X14" s="190">
        <f>'ADJ DETAIL-INPUT'!X13</f>
        <v>0</v>
      </c>
      <c r="Y14" s="190">
        <f>'ADJ DETAIL-INPUT'!Y13</f>
        <v>3596</v>
      </c>
      <c r="Z14" s="190">
        <f>'ADJ DETAIL-INPUT'!Z13</f>
        <v>0</v>
      </c>
      <c r="AA14" s="190">
        <f>'ADJ DETAIL-INPUT'!AA13</f>
        <v>0</v>
      </c>
      <c r="AB14" s="190">
        <f>'ADJ DETAIL-INPUT'!AB13</f>
        <v>0</v>
      </c>
      <c r="AC14" s="190">
        <f>'ADJ DETAIL-INPUT'!AC13</f>
        <v>0</v>
      </c>
      <c r="AD14" s="190">
        <f>'ADJ DETAIL-INPUT'!AE13</f>
        <v>0</v>
      </c>
      <c r="AE14" s="190">
        <f>'ADJ DETAIL-INPUT'!AF13</f>
        <v>0</v>
      </c>
      <c r="AF14" s="190">
        <f>'ADJ DETAIL-INPUT'!AG13</f>
        <v>30477</v>
      </c>
      <c r="AG14" s="190">
        <f>'ADJ DETAIL-INPUT'!AH13</f>
        <v>0</v>
      </c>
      <c r="AH14" s="190">
        <f>'ADJ DETAIL-INPUT'!AI13</f>
        <v>0</v>
      </c>
      <c r="AI14" s="190">
        <f>'ADJ DETAIL-INPUT'!AJ13</f>
        <v>0</v>
      </c>
      <c r="AJ14" s="190">
        <f>'ADJ DETAIL-INPUT'!AK13</f>
        <v>0</v>
      </c>
      <c r="AK14" s="190">
        <f>'ADJ DETAIL-INPUT'!AL13</f>
        <v>0</v>
      </c>
      <c r="AL14" s="190">
        <f>'ADJ DETAIL-INPUT'!AM13</f>
        <v>0</v>
      </c>
      <c r="AM14" s="190">
        <f>'ADJ DETAIL-INPUT'!AN13</f>
        <v>0</v>
      </c>
      <c r="AN14" s="190">
        <f>'ADJ DETAIL-INPUT'!AO13</f>
        <v>0</v>
      </c>
      <c r="AO14" s="190">
        <f>'ADJ DETAIL-INPUT'!AP13</f>
        <v>0</v>
      </c>
      <c r="AP14" s="190">
        <f>'ADJ DETAIL-INPUT'!AQ13</f>
        <v>0</v>
      </c>
      <c r="AQ14" s="190">
        <f>'ADJ DETAIL-INPUT'!AR13</f>
        <v>0</v>
      </c>
      <c r="AR14" s="190">
        <f>'ADJ DETAIL-INPUT'!AS13</f>
        <v>0</v>
      </c>
      <c r="AS14" s="190">
        <f>'ADJ DETAIL-INPUT'!AT13</f>
        <v>0</v>
      </c>
      <c r="AT14" s="190">
        <f>'ADJ DETAIL-INPUT'!AU13</f>
        <v>0</v>
      </c>
      <c r="AU14" s="190">
        <f>'ADJ DETAIL-INPUT'!AV13</f>
        <v>0</v>
      </c>
      <c r="AV14" s="190">
        <f>'ADJ DETAIL-INPUT'!AW13</f>
        <v>0</v>
      </c>
      <c r="AW14" s="190">
        <f>'ADJ DETAIL-INPUT'!AX13</f>
        <v>0</v>
      </c>
      <c r="AX14" s="190">
        <f>'ADJ DETAIL-INPUT'!AY13</f>
        <v>0</v>
      </c>
      <c r="AY14" s="190">
        <f>'ADJ DETAIL-INPUT'!AZ13</f>
        <v>0</v>
      </c>
      <c r="AZ14" s="190">
        <f>'ADJ DETAIL-INPUT'!BA13</f>
        <v>0</v>
      </c>
      <c r="BA14" s="190">
        <f>'ADJ DETAIL-INPUT'!BB13</f>
        <v>0</v>
      </c>
      <c r="BB14" s="190">
        <f>'ADJ DETAIL-INPUT'!BC13</f>
        <v>0</v>
      </c>
      <c r="BC14" s="190">
        <f>'ADJ DETAIL-INPUT'!BD13</f>
        <v>0</v>
      </c>
      <c r="BD14" s="190">
        <f>'ADJ DETAIL-INPUT'!BE13</f>
        <v>0</v>
      </c>
      <c r="BE14" s="190">
        <f>'ADJ DETAIL-INPUT'!BF13</f>
        <v>0</v>
      </c>
      <c r="BF14" s="190">
        <f>'ADJ DETAIL-INPUT'!BG13</f>
        <v>0</v>
      </c>
      <c r="BG14" s="190">
        <f>'ADJ DETAIL-INPUT'!BH13</f>
        <v>0</v>
      </c>
      <c r="BH14" s="190">
        <f>'ADJ DETAIL-INPUT'!BI13</f>
        <v>0</v>
      </c>
      <c r="BI14" s="190">
        <f>'ADJ DETAIL-INPUT'!BJ13</f>
        <v>0</v>
      </c>
      <c r="BJ14" s="190">
        <f>'ADJ DETAIL-INPUT'!BK13</f>
        <v>0</v>
      </c>
      <c r="BK14" s="190">
        <f>'ADJ DETAIL-INPUT'!BN13</f>
        <v>0</v>
      </c>
      <c r="BL14" s="190">
        <f>'ADJ DETAIL-INPUT'!BO13</f>
        <v>0</v>
      </c>
      <c r="BM14" s="190">
        <f>'ADJ DETAIL-INPUT'!BP13</f>
        <v>0</v>
      </c>
      <c r="BN14" s="190">
        <f>'ADJ DETAIL-INPUT'!BQ13</f>
        <v>0</v>
      </c>
      <c r="BO14" s="190">
        <f>'ADJ DETAIL-INPUT'!BR13</f>
        <v>0</v>
      </c>
      <c r="BP14" s="190">
        <f>'ADJ DETAIL-INPUT'!BS13</f>
        <v>0</v>
      </c>
      <c r="BQ14" s="190">
        <f>'ADJ DETAIL-INPUT'!BT13</f>
        <v>0</v>
      </c>
      <c r="BR14" s="190">
        <f>'ADJ DETAIL-INPUT'!BU13</f>
        <v>0</v>
      </c>
      <c r="BS14" s="190">
        <f>'ADJ DETAIL-INPUT'!BV13</f>
        <v>0</v>
      </c>
      <c r="BT14" s="190">
        <f>'ADJ DETAIL-INPUT'!BW13</f>
        <v>0</v>
      </c>
      <c r="BU14" s="190">
        <f>'ADJ DETAIL-INPUT'!BX13</f>
        <v>0</v>
      </c>
      <c r="BV14" s="190">
        <f>'ADJ DETAIL-INPUT'!BY13</f>
        <v>0</v>
      </c>
      <c r="BW14" s="190">
        <f>'ADJ DETAIL-INPUT'!BZ13</f>
        <v>0</v>
      </c>
      <c r="BX14" s="190">
        <f>'ADJ DETAIL-INPUT'!CA13</f>
        <v>0</v>
      </c>
      <c r="BY14" s="190">
        <f>'ADJ DETAIL-INPUT'!CB13</f>
        <v>0</v>
      </c>
    </row>
    <row r="15" spans="1:77" s="178" customFormat="1">
      <c r="A15" s="176">
        <f>'ADJ DETAIL-INPUT'!A14</f>
        <v>2</v>
      </c>
      <c r="B15" s="178" t="str">
        <f>'ADJ DETAIL-INPUT'!B14</f>
        <v xml:space="preserve">Interdepartmental Sales  </v>
      </c>
      <c r="E15" s="178">
        <f>'ADJ DETAIL-INPUT'!E14</f>
        <v>1324</v>
      </c>
      <c r="F15" s="183">
        <f>'ADJ DETAIL-INPUT'!F14</f>
        <v>0</v>
      </c>
      <c r="G15" s="183">
        <f>'ADJ DETAIL-INPUT'!G14</f>
        <v>0</v>
      </c>
      <c r="H15" s="183">
        <f>'ADJ DETAIL-INPUT'!H14</f>
        <v>0</v>
      </c>
      <c r="I15" s="183">
        <f>'ADJ DETAIL-INPUT'!I14</f>
        <v>0</v>
      </c>
      <c r="J15" s="183">
        <f>'ADJ DETAIL-INPUT'!J14</f>
        <v>0</v>
      </c>
      <c r="K15" s="183">
        <f>'ADJ DETAIL-INPUT'!K14</f>
        <v>0</v>
      </c>
      <c r="L15" s="183">
        <f>'ADJ DETAIL-INPUT'!L14</f>
        <v>0</v>
      </c>
      <c r="M15" s="183">
        <f>'ADJ DETAIL-INPUT'!M14</f>
        <v>0</v>
      </c>
      <c r="N15" s="183">
        <f>'ADJ DETAIL-INPUT'!N14</f>
        <v>0</v>
      </c>
      <c r="O15" s="183">
        <f>'ADJ DETAIL-INPUT'!O14</f>
        <v>0</v>
      </c>
      <c r="P15" s="183">
        <f>'ADJ DETAIL-INPUT'!P14</f>
        <v>0</v>
      </c>
      <c r="Q15" s="183">
        <f>'ADJ DETAIL-INPUT'!Q14</f>
        <v>0</v>
      </c>
      <c r="R15" s="183">
        <f>'ADJ DETAIL-INPUT'!R14</f>
        <v>0</v>
      </c>
      <c r="S15" s="183">
        <f>'ADJ DETAIL-INPUT'!S14</f>
        <v>0</v>
      </c>
      <c r="T15" s="183">
        <f>'ADJ DETAIL-INPUT'!T14</f>
        <v>0</v>
      </c>
      <c r="U15" s="183">
        <f>'ADJ DETAIL-INPUT'!U14</f>
        <v>0</v>
      </c>
      <c r="V15" s="183">
        <f>'ADJ DETAIL-INPUT'!V14</f>
        <v>0</v>
      </c>
      <c r="W15" s="183">
        <f>'ADJ DETAIL-INPUT'!W14</f>
        <v>0</v>
      </c>
      <c r="X15" s="183">
        <f>'ADJ DETAIL-INPUT'!X14</f>
        <v>0</v>
      </c>
      <c r="Y15" s="183">
        <f>'ADJ DETAIL-INPUT'!Y14</f>
        <v>0</v>
      </c>
      <c r="Z15" s="183">
        <f>'ADJ DETAIL-INPUT'!Z14</f>
        <v>0</v>
      </c>
      <c r="AA15" s="183">
        <f>'ADJ DETAIL-INPUT'!AA14</f>
        <v>0</v>
      </c>
      <c r="AB15" s="183">
        <f>'ADJ DETAIL-INPUT'!AB14</f>
        <v>0</v>
      </c>
      <c r="AC15" s="183">
        <f>'ADJ DETAIL-INPUT'!AC14</f>
        <v>0</v>
      </c>
      <c r="AD15" s="183">
        <f>'ADJ DETAIL-INPUT'!AE14</f>
        <v>0</v>
      </c>
      <c r="AE15" s="183">
        <f>'ADJ DETAIL-INPUT'!AF14</f>
        <v>0</v>
      </c>
      <c r="AF15" s="183">
        <f>'ADJ DETAIL-INPUT'!AG14</f>
        <v>0</v>
      </c>
      <c r="AG15" s="183">
        <f>'ADJ DETAIL-INPUT'!AH14</f>
        <v>0</v>
      </c>
      <c r="AH15" s="183">
        <f>'ADJ DETAIL-INPUT'!AI14</f>
        <v>0</v>
      </c>
      <c r="AI15" s="183">
        <f>'ADJ DETAIL-INPUT'!AJ14</f>
        <v>0</v>
      </c>
      <c r="AJ15" s="183">
        <f>'ADJ DETAIL-INPUT'!AK14</f>
        <v>0</v>
      </c>
      <c r="AK15" s="183">
        <f>'ADJ DETAIL-INPUT'!AL14</f>
        <v>0</v>
      </c>
      <c r="AL15" s="183">
        <f>'ADJ DETAIL-INPUT'!AM14</f>
        <v>0</v>
      </c>
      <c r="AM15" s="183">
        <f>'ADJ DETAIL-INPUT'!AN14</f>
        <v>0</v>
      </c>
      <c r="AN15" s="183">
        <f>'ADJ DETAIL-INPUT'!AO14</f>
        <v>0</v>
      </c>
      <c r="AO15" s="183">
        <f>'ADJ DETAIL-INPUT'!AP14</f>
        <v>0</v>
      </c>
      <c r="AP15" s="183">
        <f>'ADJ DETAIL-INPUT'!AQ14</f>
        <v>0</v>
      </c>
      <c r="AQ15" s="183">
        <f>'ADJ DETAIL-INPUT'!AR14</f>
        <v>0</v>
      </c>
      <c r="AR15" s="183">
        <f>'ADJ DETAIL-INPUT'!AS14</f>
        <v>0</v>
      </c>
      <c r="AS15" s="183">
        <f>'ADJ DETAIL-INPUT'!AT14</f>
        <v>0</v>
      </c>
      <c r="AT15" s="183">
        <f>'ADJ DETAIL-INPUT'!AU14</f>
        <v>0</v>
      </c>
      <c r="AU15" s="183">
        <f>'ADJ DETAIL-INPUT'!AV14</f>
        <v>0</v>
      </c>
      <c r="AV15" s="183">
        <f>'ADJ DETAIL-INPUT'!AW14</f>
        <v>0</v>
      </c>
      <c r="AW15" s="183">
        <f>'ADJ DETAIL-INPUT'!AX14</f>
        <v>0</v>
      </c>
      <c r="AX15" s="183">
        <f>'ADJ DETAIL-INPUT'!AY14</f>
        <v>0</v>
      </c>
      <c r="AY15" s="183">
        <f>'ADJ DETAIL-INPUT'!AZ14</f>
        <v>0</v>
      </c>
      <c r="AZ15" s="183">
        <f>'ADJ DETAIL-INPUT'!BA14</f>
        <v>0</v>
      </c>
      <c r="BA15" s="183">
        <f>'ADJ DETAIL-INPUT'!BB14</f>
        <v>0</v>
      </c>
      <c r="BB15" s="183">
        <f>'ADJ DETAIL-INPUT'!BC14</f>
        <v>0</v>
      </c>
      <c r="BC15" s="183">
        <f>'ADJ DETAIL-INPUT'!BD14</f>
        <v>0</v>
      </c>
      <c r="BD15" s="183">
        <f>'ADJ DETAIL-INPUT'!BE14</f>
        <v>0</v>
      </c>
      <c r="BE15" s="183">
        <f>'ADJ DETAIL-INPUT'!BF14</f>
        <v>0</v>
      </c>
      <c r="BF15" s="183">
        <f>'ADJ DETAIL-INPUT'!BG14</f>
        <v>0</v>
      </c>
      <c r="BG15" s="183">
        <f>'ADJ DETAIL-INPUT'!BH14</f>
        <v>0</v>
      </c>
      <c r="BH15" s="183">
        <f>'ADJ DETAIL-INPUT'!BI14</f>
        <v>0</v>
      </c>
      <c r="BI15" s="183">
        <f>'ADJ DETAIL-INPUT'!BJ14</f>
        <v>0</v>
      </c>
      <c r="BJ15" s="183">
        <f>'ADJ DETAIL-INPUT'!BK14</f>
        <v>0</v>
      </c>
      <c r="BK15" s="183">
        <f>'ADJ DETAIL-INPUT'!BN14</f>
        <v>0</v>
      </c>
      <c r="BL15" s="183">
        <f>'ADJ DETAIL-INPUT'!BO14</f>
        <v>0</v>
      </c>
      <c r="BM15" s="183">
        <f>'ADJ DETAIL-INPUT'!BP14</f>
        <v>0</v>
      </c>
      <c r="BN15" s="183">
        <f>'ADJ DETAIL-INPUT'!BQ14</f>
        <v>0</v>
      </c>
      <c r="BO15" s="183">
        <f>'ADJ DETAIL-INPUT'!BR14</f>
        <v>0</v>
      </c>
      <c r="BP15" s="183">
        <f>'ADJ DETAIL-INPUT'!BS14</f>
        <v>0</v>
      </c>
      <c r="BQ15" s="183">
        <f>'ADJ DETAIL-INPUT'!BT14</f>
        <v>0</v>
      </c>
      <c r="BR15" s="183">
        <f>'ADJ DETAIL-INPUT'!BU14</f>
        <v>0</v>
      </c>
      <c r="BS15" s="183">
        <f>'ADJ DETAIL-INPUT'!BV14</f>
        <v>0</v>
      </c>
      <c r="BT15" s="183">
        <f>'ADJ DETAIL-INPUT'!BW14</f>
        <v>0</v>
      </c>
      <c r="BU15" s="183">
        <f>'ADJ DETAIL-INPUT'!BX14</f>
        <v>0</v>
      </c>
      <c r="BV15" s="183">
        <f>'ADJ DETAIL-INPUT'!BY14</f>
        <v>0</v>
      </c>
      <c r="BW15" s="183">
        <f>'ADJ DETAIL-INPUT'!BZ14</f>
        <v>0</v>
      </c>
      <c r="BX15" s="183">
        <f>'ADJ DETAIL-INPUT'!CA14</f>
        <v>0</v>
      </c>
      <c r="BY15" s="183">
        <f>'ADJ DETAIL-INPUT'!CB14</f>
        <v>0</v>
      </c>
    </row>
    <row r="16" spans="1:77" s="178" customFormat="1">
      <c r="A16" s="176">
        <f>'ADJ DETAIL-INPUT'!A15</f>
        <v>3</v>
      </c>
      <c r="B16" s="178" t="str">
        <f>'ADJ DETAIL-INPUT'!B15</f>
        <v xml:space="preserve">Sales for Resale  </v>
      </c>
      <c r="E16" s="307">
        <f>'ADJ DETAIL-INPUT'!E15</f>
        <v>149694</v>
      </c>
      <c r="F16" s="186">
        <f>'ADJ DETAIL-INPUT'!F15</f>
        <v>0</v>
      </c>
      <c r="G16" s="186">
        <f>'ADJ DETAIL-INPUT'!G15</f>
        <v>0</v>
      </c>
      <c r="H16" s="186">
        <f>'ADJ DETAIL-INPUT'!H15</f>
        <v>0</v>
      </c>
      <c r="I16" s="186">
        <f>'ADJ DETAIL-INPUT'!I15</f>
        <v>0</v>
      </c>
      <c r="J16" s="186">
        <f>'ADJ DETAIL-INPUT'!J15</f>
        <v>0</v>
      </c>
      <c r="K16" s="186">
        <f>'ADJ DETAIL-INPUT'!K15</f>
        <v>0</v>
      </c>
      <c r="L16" s="186">
        <f>'ADJ DETAIL-INPUT'!L15</f>
        <v>0</v>
      </c>
      <c r="M16" s="186">
        <f>'ADJ DETAIL-INPUT'!M15</f>
        <v>0</v>
      </c>
      <c r="N16" s="186">
        <f>'ADJ DETAIL-INPUT'!N15</f>
        <v>0</v>
      </c>
      <c r="O16" s="186">
        <f>'ADJ DETAIL-INPUT'!O15</f>
        <v>0</v>
      </c>
      <c r="P16" s="186">
        <f>'ADJ DETAIL-INPUT'!P15</f>
        <v>0</v>
      </c>
      <c r="Q16" s="186">
        <f>'ADJ DETAIL-INPUT'!Q15</f>
        <v>0</v>
      </c>
      <c r="R16" s="186">
        <f>'ADJ DETAIL-INPUT'!R15</f>
        <v>0</v>
      </c>
      <c r="S16" s="186">
        <f>'ADJ DETAIL-INPUT'!S15</f>
        <v>0</v>
      </c>
      <c r="T16" s="186">
        <f>'ADJ DETAIL-INPUT'!T15</f>
        <v>0</v>
      </c>
      <c r="U16" s="186">
        <f>'ADJ DETAIL-INPUT'!U15</f>
        <v>0</v>
      </c>
      <c r="V16" s="186">
        <f>'ADJ DETAIL-INPUT'!V15</f>
        <v>0</v>
      </c>
      <c r="W16" s="186">
        <f>'ADJ DETAIL-INPUT'!W15</f>
        <v>0</v>
      </c>
      <c r="X16" s="186">
        <f>'ADJ DETAIL-INPUT'!X15</f>
        <v>0</v>
      </c>
      <c r="Y16" s="186">
        <f>'ADJ DETAIL-INPUT'!Y15</f>
        <v>0</v>
      </c>
      <c r="Z16" s="186">
        <f>'ADJ DETAIL-INPUT'!Z15</f>
        <v>0</v>
      </c>
      <c r="AA16" s="186">
        <f>'ADJ DETAIL-INPUT'!AA15</f>
        <v>0</v>
      </c>
      <c r="AB16" s="186">
        <f>'ADJ DETAIL-INPUT'!AB15</f>
        <v>-62356</v>
      </c>
      <c r="AC16" s="186">
        <f>'ADJ DETAIL-INPUT'!AC15</f>
        <v>0</v>
      </c>
      <c r="AD16" s="186">
        <f>'ADJ DETAIL-INPUT'!AE15</f>
        <v>49123</v>
      </c>
      <c r="AE16" s="186">
        <f>'ADJ DETAIL-INPUT'!AF15</f>
        <v>0</v>
      </c>
      <c r="AF16" s="186">
        <f>'ADJ DETAIL-INPUT'!AG15</f>
        <v>0</v>
      </c>
      <c r="AG16" s="186">
        <f>'ADJ DETAIL-INPUT'!AH15</f>
        <v>0</v>
      </c>
      <c r="AH16" s="186">
        <f>'ADJ DETAIL-INPUT'!AI15</f>
        <v>0</v>
      </c>
      <c r="AI16" s="186">
        <f>'ADJ DETAIL-INPUT'!AJ15</f>
        <v>0</v>
      </c>
      <c r="AJ16" s="186">
        <f>'ADJ DETAIL-INPUT'!AK15</f>
        <v>0</v>
      </c>
      <c r="AK16" s="186">
        <f>'ADJ DETAIL-INPUT'!AL15</f>
        <v>0</v>
      </c>
      <c r="AL16" s="186">
        <f>'ADJ DETAIL-INPUT'!AM15</f>
        <v>0</v>
      </c>
      <c r="AM16" s="186">
        <f>'ADJ DETAIL-INPUT'!AN15</f>
        <v>0</v>
      </c>
      <c r="AN16" s="186">
        <f>'ADJ DETAIL-INPUT'!AO15</f>
        <v>0</v>
      </c>
      <c r="AO16" s="186">
        <f>'ADJ DETAIL-INPUT'!AP15</f>
        <v>0</v>
      </c>
      <c r="AP16" s="186">
        <f>'ADJ DETAIL-INPUT'!AQ15</f>
        <v>0</v>
      </c>
      <c r="AQ16" s="186">
        <f>'ADJ DETAIL-INPUT'!AR15</f>
        <v>0</v>
      </c>
      <c r="AR16" s="186">
        <f>'ADJ DETAIL-INPUT'!AS15</f>
        <v>0</v>
      </c>
      <c r="AS16" s="186">
        <f>'ADJ DETAIL-INPUT'!AT15</f>
        <v>0</v>
      </c>
      <c r="AT16" s="186">
        <f>'ADJ DETAIL-INPUT'!AU15</f>
        <v>0</v>
      </c>
      <c r="AU16" s="186">
        <f>'ADJ DETAIL-INPUT'!AV15</f>
        <v>0</v>
      </c>
      <c r="AV16" s="186">
        <f>'ADJ DETAIL-INPUT'!AW15</f>
        <v>0</v>
      </c>
      <c r="AW16" s="186">
        <f>'ADJ DETAIL-INPUT'!AX15</f>
        <v>0</v>
      </c>
      <c r="AX16" s="186">
        <f>'ADJ DETAIL-INPUT'!AY15</f>
        <v>0</v>
      </c>
      <c r="AY16" s="186">
        <f>'ADJ DETAIL-INPUT'!AZ15</f>
        <v>0</v>
      </c>
      <c r="AZ16" s="186">
        <f>'ADJ DETAIL-INPUT'!BA15</f>
        <v>0</v>
      </c>
      <c r="BA16" s="186">
        <f>'ADJ DETAIL-INPUT'!BB15</f>
        <v>0</v>
      </c>
      <c r="BB16" s="186">
        <f>'ADJ DETAIL-INPUT'!BC15</f>
        <v>0</v>
      </c>
      <c r="BC16" s="186">
        <f>'ADJ DETAIL-INPUT'!BD15</f>
        <v>0</v>
      </c>
      <c r="BD16" s="186">
        <f>'ADJ DETAIL-INPUT'!BE15</f>
        <v>0</v>
      </c>
      <c r="BE16" s="186">
        <f>'ADJ DETAIL-INPUT'!BF15</f>
        <v>0</v>
      </c>
      <c r="BF16" s="186">
        <f>'ADJ DETAIL-INPUT'!BG15</f>
        <v>0</v>
      </c>
      <c r="BG16" s="186">
        <f>'ADJ DETAIL-INPUT'!BH15</f>
        <v>0</v>
      </c>
      <c r="BH16" s="186">
        <f>'ADJ DETAIL-INPUT'!BI15</f>
        <v>0</v>
      </c>
      <c r="BI16" s="186">
        <f>'ADJ DETAIL-INPUT'!BJ15</f>
        <v>0</v>
      </c>
      <c r="BJ16" s="186">
        <f>'ADJ DETAIL-INPUT'!BK15</f>
        <v>0</v>
      </c>
      <c r="BK16" s="186">
        <f>'ADJ DETAIL-INPUT'!BN15</f>
        <v>-77626</v>
      </c>
      <c r="BL16" s="186">
        <f>'ADJ DETAIL-INPUT'!BO15</f>
        <v>0</v>
      </c>
      <c r="BM16" s="186">
        <f>'ADJ DETAIL-INPUT'!BP15</f>
        <v>0</v>
      </c>
      <c r="BN16" s="186">
        <f>'ADJ DETAIL-INPUT'!BQ15</f>
        <v>0</v>
      </c>
      <c r="BO16" s="186">
        <f>'ADJ DETAIL-INPUT'!BR15</f>
        <v>0</v>
      </c>
      <c r="BP16" s="186">
        <f>'ADJ DETAIL-INPUT'!BS15</f>
        <v>0</v>
      </c>
      <c r="BQ16" s="186">
        <f>'ADJ DETAIL-INPUT'!BT15</f>
        <v>0</v>
      </c>
      <c r="BR16" s="186">
        <f>'ADJ DETAIL-INPUT'!BU15</f>
        <v>0</v>
      </c>
      <c r="BS16" s="186">
        <f>'ADJ DETAIL-INPUT'!BV15</f>
        <v>0</v>
      </c>
      <c r="BT16" s="186">
        <f>'ADJ DETAIL-INPUT'!BW15</f>
        <v>0</v>
      </c>
      <c r="BU16" s="186">
        <f>'ADJ DETAIL-INPUT'!BX15</f>
        <v>0</v>
      </c>
      <c r="BV16" s="186">
        <f>'ADJ DETAIL-INPUT'!BY15</f>
        <v>0</v>
      </c>
      <c r="BW16" s="186">
        <f>'ADJ DETAIL-INPUT'!BZ15</f>
        <v>0</v>
      </c>
      <c r="BX16" s="186">
        <f>'ADJ DETAIL-INPUT'!CA15</f>
        <v>0</v>
      </c>
      <c r="BY16" s="186">
        <f>'ADJ DETAIL-INPUT'!CB15</f>
        <v>0</v>
      </c>
    </row>
    <row r="17" spans="1:77" s="178" customFormat="1">
      <c r="A17" s="176">
        <f>'ADJ DETAIL-INPUT'!A16</f>
        <v>4</v>
      </c>
      <c r="B17" s="178" t="str">
        <f>'ADJ DETAIL-INPUT'!B16</f>
        <v xml:space="preserve">Total Sales of Electricity  </v>
      </c>
      <c r="E17" s="178">
        <f>'ADJ DETAIL-INPUT'!E16</f>
        <v>751167.4</v>
      </c>
      <c r="F17" s="183">
        <f>'ADJ DETAIL-INPUT'!F16</f>
        <v>0</v>
      </c>
      <c r="G17" s="183">
        <f>'ADJ DETAIL-INPUT'!G16</f>
        <v>0</v>
      </c>
      <c r="H17" s="183">
        <f>'ADJ DETAIL-INPUT'!H16</f>
        <v>0</v>
      </c>
      <c r="I17" s="183">
        <f>'ADJ DETAIL-INPUT'!I16</f>
        <v>-22988</v>
      </c>
      <c r="J17" s="183">
        <f>'ADJ DETAIL-INPUT'!J16</f>
        <v>-20672</v>
      </c>
      <c r="K17" s="183">
        <f>'ADJ DETAIL-INPUT'!K16</f>
        <v>0</v>
      </c>
      <c r="L17" s="183">
        <f>'ADJ DETAIL-INPUT'!L16</f>
        <v>0</v>
      </c>
      <c r="M17" s="183">
        <f>'ADJ DETAIL-INPUT'!M16</f>
        <v>0</v>
      </c>
      <c r="N17" s="183">
        <f>'ADJ DETAIL-INPUT'!N16</f>
        <v>0</v>
      </c>
      <c r="O17" s="183">
        <f>'ADJ DETAIL-INPUT'!O16</f>
        <v>0</v>
      </c>
      <c r="P17" s="183">
        <f>'ADJ DETAIL-INPUT'!P16</f>
        <v>0</v>
      </c>
      <c r="Q17" s="183">
        <f>'ADJ DETAIL-INPUT'!Q16</f>
        <v>0</v>
      </c>
      <c r="R17" s="183">
        <f>'ADJ DETAIL-INPUT'!R16</f>
        <v>0</v>
      </c>
      <c r="S17" s="183">
        <f>'ADJ DETAIL-INPUT'!S16</f>
        <v>-10306</v>
      </c>
      <c r="T17" s="183">
        <f>'ADJ DETAIL-INPUT'!T16</f>
        <v>8983</v>
      </c>
      <c r="U17" s="183">
        <f>'ADJ DETAIL-INPUT'!U16</f>
        <v>0</v>
      </c>
      <c r="V17" s="183">
        <f>'ADJ DETAIL-INPUT'!V16</f>
        <v>0</v>
      </c>
      <c r="W17" s="183">
        <f>'ADJ DETAIL-INPUT'!W16</f>
        <v>0</v>
      </c>
      <c r="X17" s="183">
        <f>'ADJ DETAIL-INPUT'!X16</f>
        <v>0</v>
      </c>
      <c r="Y17" s="183">
        <f>'ADJ DETAIL-INPUT'!Y16</f>
        <v>3596</v>
      </c>
      <c r="Z17" s="183">
        <f>'ADJ DETAIL-INPUT'!Z16</f>
        <v>0</v>
      </c>
      <c r="AA17" s="183">
        <f>'ADJ DETAIL-INPUT'!AA16</f>
        <v>0</v>
      </c>
      <c r="AB17" s="183">
        <f>'ADJ DETAIL-INPUT'!AB16</f>
        <v>-62356</v>
      </c>
      <c r="AC17" s="183">
        <f>'ADJ DETAIL-INPUT'!AC16</f>
        <v>0</v>
      </c>
      <c r="AD17" s="183">
        <f>'ADJ DETAIL-INPUT'!AE16</f>
        <v>49123</v>
      </c>
      <c r="AE17" s="183">
        <f>'ADJ DETAIL-INPUT'!AF16</f>
        <v>0</v>
      </c>
      <c r="AF17" s="183">
        <f>'ADJ DETAIL-INPUT'!AG16</f>
        <v>30477</v>
      </c>
      <c r="AG17" s="183">
        <f>'ADJ DETAIL-INPUT'!AH16</f>
        <v>0</v>
      </c>
      <c r="AH17" s="183">
        <f>'ADJ DETAIL-INPUT'!AI16</f>
        <v>0</v>
      </c>
      <c r="AI17" s="183">
        <f>'ADJ DETAIL-INPUT'!AJ16</f>
        <v>0</v>
      </c>
      <c r="AJ17" s="183">
        <f>'ADJ DETAIL-INPUT'!AK16</f>
        <v>0</v>
      </c>
      <c r="AK17" s="183">
        <f>'ADJ DETAIL-INPUT'!AL16</f>
        <v>0</v>
      </c>
      <c r="AL17" s="183">
        <f>'ADJ DETAIL-INPUT'!AM16</f>
        <v>0</v>
      </c>
      <c r="AM17" s="183">
        <f>'ADJ DETAIL-INPUT'!AN16</f>
        <v>0</v>
      </c>
      <c r="AN17" s="183">
        <f>'ADJ DETAIL-INPUT'!AO16</f>
        <v>0</v>
      </c>
      <c r="AO17" s="183">
        <f>'ADJ DETAIL-INPUT'!AP16</f>
        <v>0</v>
      </c>
      <c r="AP17" s="183">
        <f>'ADJ DETAIL-INPUT'!AQ16</f>
        <v>0</v>
      </c>
      <c r="AQ17" s="183">
        <f>'ADJ DETAIL-INPUT'!AR16</f>
        <v>0</v>
      </c>
      <c r="AR17" s="183">
        <f>'ADJ DETAIL-INPUT'!AS16</f>
        <v>0</v>
      </c>
      <c r="AS17" s="183">
        <f>'ADJ DETAIL-INPUT'!AT16</f>
        <v>0</v>
      </c>
      <c r="AT17" s="183">
        <f>'ADJ DETAIL-INPUT'!AU16</f>
        <v>0</v>
      </c>
      <c r="AU17" s="183">
        <f>'ADJ DETAIL-INPUT'!AV16</f>
        <v>0</v>
      </c>
      <c r="AV17" s="183">
        <f>'ADJ DETAIL-INPUT'!AW16</f>
        <v>0</v>
      </c>
      <c r="AW17" s="183">
        <f>'ADJ DETAIL-INPUT'!AX16</f>
        <v>0</v>
      </c>
      <c r="AX17" s="183">
        <f>'ADJ DETAIL-INPUT'!AY16</f>
        <v>0</v>
      </c>
      <c r="AY17" s="183">
        <f>'ADJ DETAIL-INPUT'!AZ16</f>
        <v>0</v>
      </c>
      <c r="AZ17" s="183">
        <f>'ADJ DETAIL-INPUT'!BA16</f>
        <v>0</v>
      </c>
      <c r="BA17" s="183">
        <f>'ADJ DETAIL-INPUT'!BB16</f>
        <v>0</v>
      </c>
      <c r="BB17" s="183">
        <f>'ADJ DETAIL-INPUT'!BC16</f>
        <v>0</v>
      </c>
      <c r="BC17" s="183">
        <f>'ADJ DETAIL-INPUT'!BD16</f>
        <v>0</v>
      </c>
      <c r="BD17" s="183">
        <f>'ADJ DETAIL-INPUT'!BE16</f>
        <v>0</v>
      </c>
      <c r="BE17" s="183">
        <f>'ADJ DETAIL-INPUT'!BF16</f>
        <v>0</v>
      </c>
      <c r="BF17" s="183">
        <f>'ADJ DETAIL-INPUT'!BG16</f>
        <v>0</v>
      </c>
      <c r="BG17" s="183">
        <f>'ADJ DETAIL-INPUT'!BH16</f>
        <v>0</v>
      </c>
      <c r="BH17" s="183">
        <f>'ADJ DETAIL-INPUT'!BI16</f>
        <v>0</v>
      </c>
      <c r="BI17" s="183">
        <f>'ADJ DETAIL-INPUT'!BJ16</f>
        <v>0</v>
      </c>
      <c r="BJ17" s="183">
        <f>'ADJ DETAIL-INPUT'!BK16</f>
        <v>0</v>
      </c>
      <c r="BK17" s="183">
        <f>'ADJ DETAIL-INPUT'!BN16</f>
        <v>-77626</v>
      </c>
      <c r="BL17" s="183">
        <f>'ADJ DETAIL-INPUT'!BO16</f>
        <v>0</v>
      </c>
      <c r="BM17" s="183">
        <f>'ADJ DETAIL-INPUT'!BP16</f>
        <v>0</v>
      </c>
      <c r="BN17" s="183">
        <f>'ADJ DETAIL-INPUT'!BQ16</f>
        <v>0</v>
      </c>
      <c r="BO17" s="183">
        <f>'ADJ DETAIL-INPUT'!BR16</f>
        <v>0</v>
      </c>
      <c r="BP17" s="183">
        <f>'ADJ DETAIL-INPUT'!BS16</f>
        <v>0</v>
      </c>
      <c r="BQ17" s="183">
        <f>'ADJ DETAIL-INPUT'!BT16</f>
        <v>0</v>
      </c>
      <c r="BR17" s="183">
        <f>'ADJ DETAIL-INPUT'!BU16</f>
        <v>0</v>
      </c>
      <c r="BS17" s="183">
        <f>'ADJ DETAIL-INPUT'!BV16</f>
        <v>0</v>
      </c>
      <c r="BT17" s="183">
        <f>'ADJ DETAIL-INPUT'!BW16</f>
        <v>0</v>
      </c>
      <c r="BU17" s="183">
        <f>'ADJ DETAIL-INPUT'!BX16</f>
        <v>0</v>
      </c>
      <c r="BV17" s="183">
        <f>'ADJ DETAIL-INPUT'!BY16</f>
        <v>0</v>
      </c>
      <c r="BW17" s="183">
        <f>'ADJ DETAIL-INPUT'!BZ16</f>
        <v>0</v>
      </c>
      <c r="BX17" s="183">
        <f>'ADJ DETAIL-INPUT'!CA16</f>
        <v>0</v>
      </c>
      <c r="BY17" s="183">
        <f>'ADJ DETAIL-INPUT'!CB16</f>
        <v>0</v>
      </c>
    </row>
    <row r="18" spans="1:77" s="178" customFormat="1">
      <c r="A18" s="176">
        <f>'ADJ DETAIL-INPUT'!A17</f>
        <v>5</v>
      </c>
      <c r="B18" s="178" t="str">
        <f>'ADJ DETAIL-INPUT'!B17</f>
        <v xml:space="preserve">Other Revenue  </v>
      </c>
      <c r="E18" s="307">
        <f>'ADJ DETAIL-INPUT'!E17</f>
        <v>24101</v>
      </c>
      <c r="F18" s="186">
        <f>'ADJ DETAIL-INPUT'!F17</f>
        <v>0</v>
      </c>
      <c r="G18" s="186">
        <f>'ADJ DETAIL-INPUT'!G17</f>
        <v>0</v>
      </c>
      <c r="H18" s="186">
        <f>'ADJ DETAIL-INPUT'!H17</f>
        <v>0</v>
      </c>
      <c r="I18" s="186">
        <f>'ADJ DETAIL-INPUT'!I17</f>
        <v>0</v>
      </c>
      <c r="J18" s="186">
        <f>'ADJ DETAIL-INPUT'!J17</f>
        <v>-23</v>
      </c>
      <c r="K18" s="186">
        <f>'ADJ DETAIL-INPUT'!K17</f>
        <v>0</v>
      </c>
      <c r="L18" s="186">
        <f>'ADJ DETAIL-INPUT'!L17</f>
        <v>0</v>
      </c>
      <c r="M18" s="186">
        <f>'ADJ DETAIL-INPUT'!M17</f>
        <v>0</v>
      </c>
      <c r="N18" s="186">
        <f>'ADJ DETAIL-INPUT'!N17</f>
        <v>0</v>
      </c>
      <c r="O18" s="186">
        <f>'ADJ DETAIL-INPUT'!O17</f>
        <v>0</v>
      </c>
      <c r="P18" s="186">
        <f>'ADJ DETAIL-INPUT'!P17</f>
        <v>0</v>
      </c>
      <c r="Q18" s="186">
        <f>'ADJ DETAIL-INPUT'!Q17</f>
        <v>0</v>
      </c>
      <c r="R18" s="186">
        <f>'ADJ DETAIL-INPUT'!R17</f>
        <v>0</v>
      </c>
      <c r="S18" s="186">
        <f>'ADJ DETAIL-INPUT'!S17</f>
        <v>8423</v>
      </c>
      <c r="T18" s="186">
        <f>'ADJ DETAIL-INPUT'!T17</f>
        <v>1079</v>
      </c>
      <c r="U18" s="186">
        <f>'ADJ DETAIL-INPUT'!U17</f>
        <v>0</v>
      </c>
      <c r="V18" s="186">
        <f>'ADJ DETAIL-INPUT'!V17</f>
        <v>0</v>
      </c>
      <c r="W18" s="186">
        <f>'ADJ DETAIL-INPUT'!W17</f>
        <v>0</v>
      </c>
      <c r="X18" s="186">
        <f>'ADJ DETAIL-INPUT'!X17</f>
        <v>0</v>
      </c>
      <c r="Y18" s="186">
        <f>'ADJ DETAIL-INPUT'!Y17</f>
        <v>0</v>
      </c>
      <c r="Z18" s="186">
        <f>'ADJ DETAIL-INPUT'!Z17</f>
        <v>0</v>
      </c>
      <c r="AA18" s="186">
        <f>'ADJ DETAIL-INPUT'!AA17</f>
        <v>0</v>
      </c>
      <c r="AB18" s="186">
        <f>'ADJ DETAIL-INPUT'!AB17</f>
        <v>-8193</v>
      </c>
      <c r="AC18" s="186">
        <f>'ADJ DETAIL-INPUT'!AC17</f>
        <v>0</v>
      </c>
      <c r="AD18" s="186">
        <f>'ADJ DETAIL-INPUT'!AE17</f>
        <v>5857</v>
      </c>
      <c r="AE18" s="186">
        <f>'ADJ DETAIL-INPUT'!AF17</f>
        <v>3245</v>
      </c>
      <c r="AF18" s="186">
        <f>'ADJ DETAIL-INPUT'!AG17</f>
        <v>2814</v>
      </c>
      <c r="AG18" s="186">
        <f>'ADJ DETAIL-INPUT'!AH17</f>
        <v>0</v>
      </c>
      <c r="AH18" s="186">
        <f>'ADJ DETAIL-INPUT'!AI17</f>
        <v>0</v>
      </c>
      <c r="AI18" s="186">
        <f>'ADJ DETAIL-INPUT'!AJ17</f>
        <v>0</v>
      </c>
      <c r="AJ18" s="186">
        <f>'ADJ DETAIL-INPUT'!AK17</f>
        <v>0</v>
      </c>
      <c r="AK18" s="186">
        <f>'ADJ DETAIL-INPUT'!AL17</f>
        <v>0</v>
      </c>
      <c r="AL18" s="186">
        <f>'ADJ DETAIL-INPUT'!AM17</f>
        <v>0</v>
      </c>
      <c r="AM18" s="186">
        <f>'ADJ DETAIL-INPUT'!AN17</f>
        <v>0</v>
      </c>
      <c r="AN18" s="186">
        <f>'ADJ DETAIL-INPUT'!AO17</f>
        <v>0</v>
      </c>
      <c r="AO18" s="186">
        <f>'ADJ DETAIL-INPUT'!AP17</f>
        <v>0</v>
      </c>
      <c r="AP18" s="186">
        <f>'ADJ DETAIL-INPUT'!AQ17</f>
        <v>0</v>
      </c>
      <c r="AQ18" s="186">
        <f>'ADJ DETAIL-INPUT'!AR17</f>
        <v>0</v>
      </c>
      <c r="AR18" s="186">
        <f>'ADJ DETAIL-INPUT'!AS17</f>
        <v>0</v>
      </c>
      <c r="AS18" s="186">
        <f>'ADJ DETAIL-INPUT'!AT17</f>
        <v>0</v>
      </c>
      <c r="AT18" s="186">
        <f>'ADJ DETAIL-INPUT'!AU17</f>
        <v>0</v>
      </c>
      <c r="AU18" s="186">
        <f>'ADJ DETAIL-INPUT'!AV17</f>
        <v>0</v>
      </c>
      <c r="AV18" s="186">
        <f>'ADJ DETAIL-INPUT'!AW17</f>
        <v>0</v>
      </c>
      <c r="AW18" s="186">
        <f>'ADJ DETAIL-INPUT'!AX17</f>
        <v>0</v>
      </c>
      <c r="AX18" s="186">
        <f>'ADJ DETAIL-INPUT'!AY17</f>
        <v>0</v>
      </c>
      <c r="AY18" s="186">
        <f>'ADJ DETAIL-INPUT'!AZ17</f>
        <v>0</v>
      </c>
      <c r="AZ18" s="186">
        <f>'ADJ DETAIL-INPUT'!BA17</f>
        <v>0</v>
      </c>
      <c r="BA18" s="186">
        <f>'ADJ DETAIL-INPUT'!BB17</f>
        <v>0</v>
      </c>
      <c r="BB18" s="186">
        <f>'ADJ DETAIL-INPUT'!BC17</f>
        <v>0</v>
      </c>
      <c r="BC18" s="186">
        <f>'ADJ DETAIL-INPUT'!BD17</f>
        <v>0</v>
      </c>
      <c r="BD18" s="186">
        <f>'ADJ DETAIL-INPUT'!BE17</f>
        <v>0</v>
      </c>
      <c r="BE18" s="186">
        <f>'ADJ DETAIL-INPUT'!BF17</f>
        <v>6382</v>
      </c>
      <c r="BF18" s="186">
        <f>'ADJ DETAIL-INPUT'!BG17</f>
        <v>0</v>
      </c>
      <c r="BG18" s="186">
        <f>'ADJ DETAIL-INPUT'!BH17</f>
        <v>0</v>
      </c>
      <c r="BH18" s="186">
        <f>'ADJ DETAIL-INPUT'!BI17</f>
        <v>0</v>
      </c>
      <c r="BI18" s="186">
        <f>'ADJ DETAIL-INPUT'!BJ17</f>
        <v>0</v>
      </c>
      <c r="BJ18" s="186">
        <f>'ADJ DETAIL-INPUT'!BK17</f>
        <v>0</v>
      </c>
      <c r="BK18" s="186">
        <f>'ADJ DETAIL-INPUT'!BN17</f>
        <v>0</v>
      </c>
      <c r="BL18" s="186">
        <f>'ADJ DETAIL-INPUT'!BO17</f>
        <v>0</v>
      </c>
      <c r="BM18" s="186">
        <f>'ADJ DETAIL-INPUT'!BP17</f>
        <v>0</v>
      </c>
      <c r="BN18" s="186">
        <f>'ADJ DETAIL-INPUT'!BQ17</f>
        <v>0</v>
      </c>
      <c r="BO18" s="186">
        <f>'ADJ DETAIL-INPUT'!BR17</f>
        <v>0</v>
      </c>
      <c r="BP18" s="186">
        <f>'ADJ DETAIL-INPUT'!BS17</f>
        <v>0</v>
      </c>
      <c r="BQ18" s="186">
        <f>'ADJ DETAIL-INPUT'!BT17</f>
        <v>0</v>
      </c>
      <c r="BR18" s="186">
        <f>'ADJ DETAIL-INPUT'!BU17</f>
        <v>0</v>
      </c>
      <c r="BS18" s="186">
        <f>'ADJ DETAIL-INPUT'!BV17</f>
        <v>0</v>
      </c>
      <c r="BT18" s="186">
        <f>'ADJ DETAIL-INPUT'!BW17</f>
        <v>3014</v>
      </c>
      <c r="BU18" s="186">
        <f>'ADJ DETAIL-INPUT'!BX17</f>
        <v>0</v>
      </c>
      <c r="BV18" s="186">
        <f>'ADJ DETAIL-INPUT'!BY17</f>
        <v>0</v>
      </c>
      <c r="BW18" s="186">
        <f>'ADJ DETAIL-INPUT'!BZ17</f>
        <v>0</v>
      </c>
      <c r="BX18" s="186">
        <f>'ADJ DETAIL-INPUT'!CA17</f>
        <v>0</v>
      </c>
      <c r="BY18" s="186">
        <f>'ADJ DETAIL-INPUT'!CB17</f>
        <v>0</v>
      </c>
    </row>
    <row r="19" spans="1:77" s="178" customFormat="1">
      <c r="A19" s="176">
        <f>'ADJ DETAIL-INPUT'!A18</f>
        <v>6</v>
      </c>
      <c r="B19" s="178" t="str">
        <f>'ADJ DETAIL-INPUT'!B18</f>
        <v xml:space="preserve">Total Electric Revenue  </v>
      </c>
      <c r="E19" s="178">
        <f>'ADJ DETAIL-INPUT'!E18</f>
        <v>775268.4</v>
      </c>
      <c r="F19" s="183">
        <f>'ADJ DETAIL-INPUT'!F18</f>
        <v>0</v>
      </c>
      <c r="G19" s="183">
        <f>'ADJ DETAIL-INPUT'!G18</f>
        <v>0</v>
      </c>
      <c r="H19" s="183">
        <f>'ADJ DETAIL-INPUT'!H18</f>
        <v>0</v>
      </c>
      <c r="I19" s="183">
        <f>'ADJ DETAIL-INPUT'!I18</f>
        <v>-22988</v>
      </c>
      <c r="J19" s="183">
        <f>'ADJ DETAIL-INPUT'!J18</f>
        <v>-20695</v>
      </c>
      <c r="K19" s="183">
        <f>'ADJ DETAIL-INPUT'!K18</f>
        <v>0</v>
      </c>
      <c r="L19" s="183">
        <f>'ADJ DETAIL-INPUT'!L18</f>
        <v>0</v>
      </c>
      <c r="M19" s="183">
        <f>'ADJ DETAIL-INPUT'!M18</f>
        <v>0</v>
      </c>
      <c r="N19" s="183">
        <f>'ADJ DETAIL-INPUT'!N18</f>
        <v>0</v>
      </c>
      <c r="O19" s="183">
        <f>'ADJ DETAIL-INPUT'!O18</f>
        <v>0</v>
      </c>
      <c r="P19" s="183">
        <f>'ADJ DETAIL-INPUT'!P18</f>
        <v>0</v>
      </c>
      <c r="Q19" s="183">
        <f>'ADJ DETAIL-INPUT'!Q18</f>
        <v>0</v>
      </c>
      <c r="R19" s="183">
        <f>'ADJ DETAIL-INPUT'!R18</f>
        <v>0</v>
      </c>
      <c r="S19" s="183">
        <f>'ADJ DETAIL-INPUT'!S18</f>
        <v>-1883</v>
      </c>
      <c r="T19" s="183">
        <f>'ADJ DETAIL-INPUT'!T18</f>
        <v>10062</v>
      </c>
      <c r="U19" s="183">
        <f>'ADJ DETAIL-INPUT'!U18</f>
        <v>0</v>
      </c>
      <c r="V19" s="183">
        <f>'ADJ DETAIL-INPUT'!V18</f>
        <v>0</v>
      </c>
      <c r="W19" s="183">
        <f>'ADJ DETAIL-INPUT'!W18</f>
        <v>0</v>
      </c>
      <c r="X19" s="183">
        <f>'ADJ DETAIL-INPUT'!X18</f>
        <v>0</v>
      </c>
      <c r="Y19" s="183">
        <f>'ADJ DETAIL-INPUT'!Y18</f>
        <v>3596</v>
      </c>
      <c r="Z19" s="183">
        <f>'ADJ DETAIL-INPUT'!Z18</f>
        <v>0</v>
      </c>
      <c r="AA19" s="183">
        <f>'ADJ DETAIL-INPUT'!AA18</f>
        <v>0</v>
      </c>
      <c r="AB19" s="183">
        <f>'ADJ DETAIL-INPUT'!AB18</f>
        <v>-70549</v>
      </c>
      <c r="AC19" s="183">
        <f>'ADJ DETAIL-INPUT'!AC18</f>
        <v>0</v>
      </c>
      <c r="AD19" s="183">
        <f>'ADJ DETAIL-INPUT'!AE18</f>
        <v>54980</v>
      </c>
      <c r="AE19" s="183">
        <f>'ADJ DETAIL-INPUT'!AF18</f>
        <v>3245</v>
      </c>
      <c r="AF19" s="183">
        <f>'ADJ DETAIL-INPUT'!AG18</f>
        <v>33291</v>
      </c>
      <c r="AG19" s="183">
        <f>'ADJ DETAIL-INPUT'!AH18</f>
        <v>0</v>
      </c>
      <c r="AH19" s="183">
        <f>'ADJ DETAIL-INPUT'!AI18</f>
        <v>0</v>
      </c>
      <c r="AI19" s="183">
        <f>'ADJ DETAIL-INPUT'!AJ18</f>
        <v>0</v>
      </c>
      <c r="AJ19" s="183">
        <f>'ADJ DETAIL-INPUT'!AK18</f>
        <v>0</v>
      </c>
      <c r="AK19" s="183">
        <f>'ADJ DETAIL-INPUT'!AL18</f>
        <v>0</v>
      </c>
      <c r="AL19" s="183">
        <f>'ADJ DETAIL-INPUT'!AM18</f>
        <v>0</v>
      </c>
      <c r="AM19" s="183">
        <f>'ADJ DETAIL-INPUT'!AN18</f>
        <v>0</v>
      </c>
      <c r="AN19" s="183">
        <f>'ADJ DETAIL-INPUT'!AO18</f>
        <v>0</v>
      </c>
      <c r="AO19" s="183">
        <f>'ADJ DETAIL-INPUT'!AP18</f>
        <v>0</v>
      </c>
      <c r="AP19" s="183">
        <f>'ADJ DETAIL-INPUT'!AQ18</f>
        <v>0</v>
      </c>
      <c r="AQ19" s="183">
        <f>'ADJ DETAIL-INPUT'!AR18</f>
        <v>0</v>
      </c>
      <c r="AR19" s="183">
        <f>'ADJ DETAIL-INPUT'!AS18</f>
        <v>0</v>
      </c>
      <c r="AS19" s="183">
        <f>'ADJ DETAIL-INPUT'!AT18</f>
        <v>0</v>
      </c>
      <c r="AT19" s="183">
        <f>'ADJ DETAIL-INPUT'!AU18</f>
        <v>0</v>
      </c>
      <c r="AU19" s="183">
        <f>'ADJ DETAIL-INPUT'!AV18</f>
        <v>0</v>
      </c>
      <c r="AV19" s="183">
        <f>'ADJ DETAIL-INPUT'!AW18</f>
        <v>0</v>
      </c>
      <c r="AW19" s="183">
        <f>'ADJ DETAIL-INPUT'!AX18</f>
        <v>0</v>
      </c>
      <c r="AX19" s="183">
        <f>'ADJ DETAIL-INPUT'!AY18</f>
        <v>0</v>
      </c>
      <c r="AY19" s="183">
        <f>'ADJ DETAIL-INPUT'!AZ18</f>
        <v>0</v>
      </c>
      <c r="AZ19" s="183">
        <f>'ADJ DETAIL-INPUT'!BA18</f>
        <v>0</v>
      </c>
      <c r="BA19" s="183">
        <f>'ADJ DETAIL-INPUT'!BB18</f>
        <v>0</v>
      </c>
      <c r="BB19" s="183">
        <f>'ADJ DETAIL-INPUT'!BC18</f>
        <v>0</v>
      </c>
      <c r="BC19" s="183">
        <f>'ADJ DETAIL-INPUT'!BD18</f>
        <v>0</v>
      </c>
      <c r="BD19" s="183">
        <f>'ADJ DETAIL-INPUT'!BE18</f>
        <v>0</v>
      </c>
      <c r="BE19" s="183">
        <f>'ADJ DETAIL-INPUT'!BF18</f>
        <v>6382</v>
      </c>
      <c r="BF19" s="183">
        <f>'ADJ DETAIL-INPUT'!BG18</f>
        <v>0</v>
      </c>
      <c r="BG19" s="183">
        <f>'ADJ DETAIL-INPUT'!BH18</f>
        <v>0</v>
      </c>
      <c r="BH19" s="183">
        <f>'ADJ DETAIL-INPUT'!BI18</f>
        <v>0</v>
      </c>
      <c r="BI19" s="183">
        <f>'ADJ DETAIL-INPUT'!BJ18</f>
        <v>0</v>
      </c>
      <c r="BJ19" s="183">
        <f>'ADJ DETAIL-INPUT'!BK18</f>
        <v>0</v>
      </c>
      <c r="BK19" s="183">
        <f>'ADJ DETAIL-INPUT'!BN18</f>
        <v>-77626</v>
      </c>
      <c r="BL19" s="183">
        <f>'ADJ DETAIL-INPUT'!BO18</f>
        <v>0</v>
      </c>
      <c r="BM19" s="183">
        <f>'ADJ DETAIL-INPUT'!BP18</f>
        <v>0</v>
      </c>
      <c r="BN19" s="183">
        <f>'ADJ DETAIL-INPUT'!BQ18</f>
        <v>0</v>
      </c>
      <c r="BO19" s="183">
        <f>'ADJ DETAIL-INPUT'!BR18</f>
        <v>0</v>
      </c>
      <c r="BP19" s="183">
        <f>'ADJ DETAIL-INPUT'!BS18</f>
        <v>0</v>
      </c>
      <c r="BQ19" s="183">
        <f>'ADJ DETAIL-INPUT'!BT18</f>
        <v>0</v>
      </c>
      <c r="BR19" s="183">
        <f>'ADJ DETAIL-INPUT'!BU18</f>
        <v>0</v>
      </c>
      <c r="BS19" s="183">
        <f>'ADJ DETAIL-INPUT'!BV18</f>
        <v>0</v>
      </c>
      <c r="BT19" s="183">
        <f>'ADJ DETAIL-INPUT'!BW18</f>
        <v>3014</v>
      </c>
      <c r="BU19" s="183">
        <f>'ADJ DETAIL-INPUT'!BX18</f>
        <v>0</v>
      </c>
      <c r="BV19" s="183">
        <f>'ADJ DETAIL-INPUT'!BY18</f>
        <v>0</v>
      </c>
      <c r="BW19" s="183">
        <f>'ADJ DETAIL-INPUT'!BZ18</f>
        <v>0</v>
      </c>
      <c r="BX19" s="183">
        <f>'ADJ DETAIL-INPUT'!CA18</f>
        <v>0</v>
      </c>
      <c r="BY19" s="183">
        <f>'ADJ DETAIL-INPUT'!CB18</f>
        <v>0</v>
      </c>
    </row>
    <row r="20" spans="1:77" s="178" customFormat="1" ht="6.75" customHeight="1">
      <c r="A20" s="176"/>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3"/>
      <c r="BA20" s="183"/>
      <c r="BB20" s="183"/>
      <c r="BC20" s="183"/>
      <c r="BD20" s="183"/>
      <c r="BE20" s="183"/>
      <c r="BF20" s="183"/>
      <c r="BG20" s="183"/>
      <c r="BH20" s="183"/>
      <c r="BI20" s="183"/>
      <c r="BJ20" s="183"/>
      <c r="BK20" s="183"/>
      <c r="BL20" s="183"/>
      <c r="BM20" s="183"/>
      <c r="BN20" s="183"/>
      <c r="BO20" s="183"/>
      <c r="BP20" s="183"/>
      <c r="BQ20" s="183"/>
      <c r="BR20" s="183"/>
      <c r="BS20" s="183"/>
      <c r="BT20" s="183"/>
      <c r="BU20" s="183"/>
      <c r="BV20" s="183"/>
      <c r="BW20" s="183"/>
      <c r="BX20" s="183"/>
      <c r="BY20" s="183"/>
    </row>
    <row r="21" spans="1:77" s="178" customFormat="1">
      <c r="A21" s="176"/>
      <c r="B21" s="178" t="str">
        <f>'ADJ DETAIL-INPUT'!B20</f>
        <v xml:space="preserve">EXPENSES  </v>
      </c>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3"/>
      <c r="BA21" s="183"/>
      <c r="BB21" s="183"/>
      <c r="BC21" s="183"/>
      <c r="BD21" s="183"/>
      <c r="BE21" s="183"/>
      <c r="BF21" s="183"/>
      <c r="BG21" s="183"/>
      <c r="BH21" s="183"/>
      <c r="BI21" s="183"/>
      <c r="BJ21" s="183"/>
      <c r="BK21" s="183"/>
      <c r="BL21" s="183"/>
      <c r="BM21" s="183"/>
      <c r="BN21" s="183"/>
      <c r="BO21" s="183"/>
      <c r="BP21" s="183"/>
      <c r="BQ21" s="183"/>
      <c r="BR21" s="183"/>
      <c r="BS21" s="183"/>
      <c r="BT21" s="183"/>
      <c r="BU21" s="183"/>
      <c r="BV21" s="183"/>
      <c r="BW21" s="183"/>
      <c r="BX21" s="183"/>
      <c r="BY21" s="183"/>
    </row>
    <row r="22" spans="1:77" s="178" customFormat="1">
      <c r="A22" s="176"/>
      <c r="B22" s="178" t="str">
        <f>'ADJ DETAIL-INPUT'!B21</f>
        <v xml:space="preserve">Production and Transmission  </v>
      </c>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3"/>
      <c r="BA22" s="183"/>
      <c r="BB22" s="183"/>
      <c r="BC22" s="183"/>
      <c r="BD22" s="183"/>
      <c r="BE22" s="183"/>
      <c r="BF22" s="183"/>
      <c r="BG22" s="183"/>
      <c r="BH22" s="183"/>
      <c r="BI22" s="183"/>
      <c r="BJ22" s="183"/>
      <c r="BK22" s="183"/>
      <c r="BL22" s="183"/>
      <c r="BM22" s="183"/>
      <c r="BN22" s="183"/>
      <c r="BO22" s="183"/>
      <c r="BP22" s="183"/>
      <c r="BQ22" s="183"/>
      <c r="BR22" s="183"/>
      <c r="BS22" s="183"/>
      <c r="BT22" s="183"/>
      <c r="BU22" s="183"/>
      <c r="BV22" s="183"/>
      <c r="BW22" s="183"/>
      <c r="BX22" s="183"/>
      <c r="BY22" s="183"/>
    </row>
    <row r="23" spans="1:77" s="178" customFormat="1">
      <c r="A23" s="176">
        <f>'ADJ DETAIL-INPUT'!A22</f>
        <v>7</v>
      </c>
      <c r="C23" s="178" t="str">
        <f>'ADJ DETAIL-INPUT'!C22</f>
        <v xml:space="preserve">Operating Expenses  </v>
      </c>
      <c r="E23" s="178">
        <f>'ADJ DETAIL-INPUT'!E22</f>
        <v>193745.7</v>
      </c>
      <c r="F23" s="183">
        <f>'ADJ DETAIL-INPUT'!F22</f>
        <v>0</v>
      </c>
      <c r="G23" s="183">
        <f>'ADJ DETAIL-INPUT'!G22</f>
        <v>0</v>
      </c>
      <c r="H23" s="183">
        <f>'ADJ DETAIL-INPUT'!H22</f>
        <v>0</v>
      </c>
      <c r="I23" s="183">
        <f>'ADJ DETAIL-INPUT'!I22</f>
        <v>-10542</v>
      </c>
      <c r="J23" s="183">
        <f>'ADJ DETAIL-INPUT'!J22</f>
        <v>0</v>
      </c>
      <c r="K23" s="183">
        <f>'ADJ DETAIL-INPUT'!K22</f>
        <v>0</v>
      </c>
      <c r="L23" s="183">
        <f>'ADJ DETAIL-INPUT'!L22</f>
        <v>0</v>
      </c>
      <c r="M23" s="183">
        <f>'ADJ DETAIL-INPUT'!M22</f>
        <v>0</v>
      </c>
      <c r="N23" s="183">
        <f>'ADJ DETAIL-INPUT'!N22</f>
        <v>0</v>
      </c>
      <c r="O23" s="183">
        <f>'ADJ DETAIL-INPUT'!O22</f>
        <v>0</v>
      </c>
      <c r="P23" s="183">
        <f>'ADJ DETAIL-INPUT'!P22</f>
        <v>0</v>
      </c>
      <c r="Q23" s="183">
        <f>'ADJ DETAIL-INPUT'!Q22</f>
        <v>0</v>
      </c>
      <c r="R23" s="183">
        <f>'ADJ DETAIL-INPUT'!R22</f>
        <v>0</v>
      </c>
      <c r="S23" s="183">
        <f>'ADJ DETAIL-INPUT'!S22</f>
        <v>0</v>
      </c>
      <c r="T23" s="183">
        <f>'ADJ DETAIL-INPUT'!T22</f>
        <v>-3085</v>
      </c>
      <c r="U23" s="183">
        <f>'ADJ DETAIL-INPUT'!U22</f>
        <v>-9</v>
      </c>
      <c r="V23" s="183">
        <f>'ADJ DETAIL-INPUT'!V22</f>
        <v>0</v>
      </c>
      <c r="W23" s="183">
        <f>'ADJ DETAIL-INPUT'!W22</f>
        <v>0</v>
      </c>
      <c r="X23" s="183">
        <f>'ADJ DETAIL-INPUT'!X22</f>
        <v>0</v>
      </c>
      <c r="Y23" s="183">
        <f>'ADJ DETAIL-INPUT'!Y22</f>
        <v>42843</v>
      </c>
      <c r="Z23" s="183">
        <f>'ADJ DETAIL-INPUT'!Z22</f>
        <v>-15</v>
      </c>
      <c r="AA23" s="183">
        <f>'ADJ DETAIL-INPUT'!AA22</f>
        <v>334</v>
      </c>
      <c r="AB23" s="183">
        <f>'ADJ DETAIL-INPUT'!AB22</f>
        <v>-72830</v>
      </c>
      <c r="AC23" s="183">
        <f>'ADJ DETAIL-INPUT'!AC22</f>
        <v>0</v>
      </c>
      <c r="AD23" s="183">
        <f>'ADJ DETAIL-INPUT'!AE22</f>
        <v>36916</v>
      </c>
      <c r="AE23" s="183">
        <f>'ADJ DETAIL-INPUT'!AF22</f>
        <v>0</v>
      </c>
      <c r="AF23" s="183">
        <f>'ADJ DETAIL-INPUT'!AG22</f>
        <v>0</v>
      </c>
      <c r="AG23" s="183">
        <f>'ADJ DETAIL-INPUT'!AH22</f>
        <v>315</v>
      </c>
      <c r="AH23" s="183">
        <f>'ADJ DETAIL-INPUT'!AI22</f>
        <v>0</v>
      </c>
      <c r="AI23" s="183">
        <f>'ADJ DETAIL-INPUT'!AJ22</f>
        <v>0</v>
      </c>
      <c r="AJ23" s="183">
        <f>'ADJ DETAIL-INPUT'!AK22</f>
        <v>2196.6</v>
      </c>
      <c r="AK23" s="183">
        <f>'ADJ DETAIL-INPUT'!AL22</f>
        <v>0</v>
      </c>
      <c r="AL23" s="183">
        <f>'ADJ DETAIL-INPUT'!AM22</f>
        <v>43.5</v>
      </c>
      <c r="AM23" s="183">
        <f>'ADJ DETAIL-INPUT'!AN22</f>
        <v>0</v>
      </c>
      <c r="AN23" s="183">
        <f>'ADJ DETAIL-INPUT'!AO22</f>
        <v>0</v>
      </c>
      <c r="AO23" s="183">
        <f>'ADJ DETAIL-INPUT'!AP22</f>
        <v>0</v>
      </c>
      <c r="AP23" s="183">
        <f>'ADJ DETAIL-INPUT'!AQ22</f>
        <v>0</v>
      </c>
      <c r="AQ23" s="183">
        <f>'ADJ DETAIL-INPUT'!AR22</f>
        <v>0</v>
      </c>
      <c r="AR23" s="183">
        <f>'ADJ DETAIL-INPUT'!AS22</f>
        <v>0</v>
      </c>
      <c r="AS23" s="183">
        <f>'ADJ DETAIL-INPUT'!AT22</f>
        <v>3783.7289999999998</v>
      </c>
      <c r="AT23" s="183">
        <f>'ADJ DETAIL-INPUT'!AU22</f>
        <v>0</v>
      </c>
      <c r="AU23" s="183">
        <f>'ADJ DETAIL-INPUT'!AV22</f>
        <v>0</v>
      </c>
      <c r="AV23" s="183">
        <f>'ADJ DETAIL-INPUT'!AW22</f>
        <v>0</v>
      </c>
      <c r="AW23" s="183">
        <f>'ADJ DETAIL-INPUT'!AX22</f>
        <v>0</v>
      </c>
      <c r="AX23" s="183">
        <f>'ADJ DETAIL-INPUT'!AY22</f>
        <v>0</v>
      </c>
      <c r="AY23" s="183">
        <f>'ADJ DETAIL-INPUT'!AZ22</f>
        <v>0</v>
      </c>
      <c r="AZ23" s="183">
        <f>'ADJ DETAIL-INPUT'!BA22</f>
        <v>0</v>
      </c>
      <c r="BA23" s="183">
        <f>'ADJ DETAIL-INPUT'!BB22</f>
        <v>-334</v>
      </c>
      <c r="BB23" s="183">
        <f>'ADJ DETAIL-INPUT'!BC22</f>
        <v>0</v>
      </c>
      <c r="BC23" s="183">
        <f>'ADJ DETAIL-INPUT'!BD22</f>
        <v>309</v>
      </c>
      <c r="BD23" s="183">
        <f>'ADJ DETAIL-INPUT'!BE22</f>
        <v>0</v>
      </c>
      <c r="BE23" s="183">
        <f>'ADJ DETAIL-INPUT'!BF22</f>
        <v>-141.31899999999999</v>
      </c>
      <c r="BF23" s="183">
        <f>'ADJ DETAIL-INPUT'!BG22</f>
        <v>0</v>
      </c>
      <c r="BG23" s="183">
        <f>'ADJ DETAIL-INPUT'!BH22</f>
        <v>0</v>
      </c>
      <c r="BH23" s="183">
        <f>'ADJ DETAIL-INPUT'!BI22</f>
        <v>0</v>
      </c>
      <c r="BI23" s="183">
        <f>'ADJ DETAIL-INPUT'!BJ22</f>
        <v>0</v>
      </c>
      <c r="BJ23" s="183">
        <f>'ADJ DETAIL-INPUT'!BK22</f>
        <v>0</v>
      </c>
      <c r="BK23" s="183">
        <f>'ADJ DETAIL-INPUT'!BN22</f>
        <v>-20941</v>
      </c>
      <c r="BL23" s="183">
        <f>'ADJ DETAIL-INPUT'!BO22</f>
        <v>0</v>
      </c>
      <c r="BM23" s="183">
        <f>'ADJ DETAIL-INPUT'!BP22</f>
        <v>0</v>
      </c>
      <c r="BN23" s="183">
        <f>'ADJ DETAIL-INPUT'!BQ22</f>
        <v>898</v>
      </c>
      <c r="BO23" s="183">
        <f>'ADJ DETAIL-INPUT'!BR22</f>
        <v>153</v>
      </c>
      <c r="BP23" s="183">
        <f>'ADJ DETAIL-INPUT'!BS22</f>
        <v>0</v>
      </c>
      <c r="BQ23" s="183">
        <f>'ADJ DETAIL-INPUT'!BT22</f>
        <v>0</v>
      </c>
      <c r="BR23" s="183">
        <f>'ADJ DETAIL-INPUT'!BU22</f>
        <v>1513.491</v>
      </c>
      <c r="BS23" s="183">
        <f>'ADJ DETAIL-INPUT'!BV22</f>
        <v>0</v>
      </c>
      <c r="BT23" s="183">
        <f>'ADJ DETAIL-INPUT'!BW22</f>
        <v>-108.928</v>
      </c>
      <c r="BU23" s="183">
        <f>'ADJ DETAIL-INPUT'!BX22</f>
        <v>0</v>
      </c>
      <c r="BV23" s="183">
        <f>'ADJ DETAIL-INPUT'!BY22</f>
        <v>0</v>
      </c>
      <c r="BW23" s="183">
        <f>'ADJ DETAIL-INPUT'!BZ22</f>
        <v>0</v>
      </c>
      <c r="BX23" s="183">
        <f>'ADJ DETAIL-INPUT'!CA22</f>
        <v>0</v>
      </c>
      <c r="BY23" s="183">
        <f>'ADJ DETAIL-INPUT'!CB22</f>
        <v>0</v>
      </c>
    </row>
    <row r="24" spans="1:77" s="178" customFormat="1">
      <c r="A24" s="176">
        <f>'ADJ DETAIL-INPUT'!A23</f>
        <v>8</v>
      </c>
      <c r="C24" s="178" t="str">
        <f>'ADJ DETAIL-INPUT'!C23</f>
        <v xml:space="preserve">Purchased Power  </v>
      </c>
      <c r="E24" s="178">
        <f>'ADJ DETAIL-INPUT'!E23</f>
        <v>133893</v>
      </c>
      <c r="F24" s="183">
        <f>'ADJ DETAIL-INPUT'!F23</f>
        <v>0</v>
      </c>
      <c r="G24" s="183">
        <f>'ADJ DETAIL-INPUT'!G23</f>
        <v>0</v>
      </c>
      <c r="H24" s="183">
        <f>'ADJ DETAIL-INPUT'!H23</f>
        <v>0</v>
      </c>
      <c r="I24" s="183">
        <f>'ADJ DETAIL-INPUT'!I23</f>
        <v>0</v>
      </c>
      <c r="J24" s="183">
        <f>'ADJ DETAIL-INPUT'!J23</f>
        <v>0</v>
      </c>
      <c r="K24" s="183">
        <f>'ADJ DETAIL-INPUT'!K23</f>
        <v>0</v>
      </c>
      <c r="L24" s="183">
        <f>'ADJ DETAIL-INPUT'!L23</f>
        <v>0</v>
      </c>
      <c r="M24" s="183">
        <f>'ADJ DETAIL-INPUT'!M23</f>
        <v>0</v>
      </c>
      <c r="N24" s="183">
        <f>'ADJ DETAIL-INPUT'!N23</f>
        <v>0</v>
      </c>
      <c r="O24" s="183">
        <f>'ADJ DETAIL-INPUT'!O23</f>
        <v>0</v>
      </c>
      <c r="P24" s="183">
        <f>'ADJ DETAIL-INPUT'!P23</f>
        <v>0</v>
      </c>
      <c r="Q24" s="183">
        <f>'ADJ DETAIL-INPUT'!Q23</f>
        <v>0</v>
      </c>
      <c r="R24" s="183">
        <f>'ADJ DETAIL-INPUT'!R23</f>
        <v>0</v>
      </c>
      <c r="S24" s="183">
        <f>'ADJ DETAIL-INPUT'!S23</f>
        <v>0</v>
      </c>
      <c r="T24" s="183">
        <f>'ADJ DETAIL-INPUT'!T23</f>
        <v>0</v>
      </c>
      <c r="U24" s="183">
        <f>'ADJ DETAIL-INPUT'!U23</f>
        <v>0</v>
      </c>
      <c r="V24" s="183">
        <f>'ADJ DETAIL-INPUT'!V23</f>
        <v>0</v>
      </c>
      <c r="W24" s="183">
        <f>'ADJ DETAIL-INPUT'!W23</f>
        <v>0</v>
      </c>
      <c r="X24" s="183">
        <f>'ADJ DETAIL-INPUT'!X23</f>
        <v>0</v>
      </c>
      <c r="Y24" s="183">
        <f>'ADJ DETAIL-INPUT'!Y23</f>
        <v>0</v>
      </c>
      <c r="Z24" s="183">
        <f>'ADJ DETAIL-INPUT'!Z23</f>
        <v>0</v>
      </c>
      <c r="AA24" s="183">
        <f>'ADJ DETAIL-INPUT'!AA23</f>
        <v>0</v>
      </c>
      <c r="AB24" s="183">
        <f>'ADJ DETAIL-INPUT'!AB23</f>
        <v>-56683</v>
      </c>
      <c r="AC24" s="183">
        <f>'ADJ DETAIL-INPUT'!AC23</f>
        <v>0</v>
      </c>
      <c r="AD24" s="183">
        <f>'ADJ DETAIL-INPUT'!AE23</f>
        <v>38936</v>
      </c>
      <c r="AE24" s="183">
        <f>'ADJ DETAIL-INPUT'!AF23</f>
        <v>0</v>
      </c>
      <c r="AF24" s="183">
        <f>'ADJ DETAIL-INPUT'!AG23</f>
        <v>0</v>
      </c>
      <c r="AG24" s="183">
        <f>'ADJ DETAIL-INPUT'!AH23</f>
        <v>0</v>
      </c>
      <c r="AH24" s="183">
        <f>'ADJ DETAIL-INPUT'!AI23</f>
        <v>0</v>
      </c>
      <c r="AI24" s="183">
        <f>'ADJ DETAIL-INPUT'!AJ23</f>
        <v>0</v>
      </c>
      <c r="AJ24" s="183">
        <f>'ADJ DETAIL-INPUT'!AK23</f>
        <v>0</v>
      </c>
      <c r="AK24" s="183">
        <f>'ADJ DETAIL-INPUT'!AL23</f>
        <v>0</v>
      </c>
      <c r="AL24" s="183">
        <f>'ADJ DETAIL-INPUT'!AM23</f>
        <v>0</v>
      </c>
      <c r="AM24" s="183">
        <f>'ADJ DETAIL-INPUT'!AN23</f>
        <v>0</v>
      </c>
      <c r="AN24" s="183">
        <f>'ADJ DETAIL-INPUT'!AO23</f>
        <v>0</v>
      </c>
      <c r="AO24" s="183">
        <f>'ADJ DETAIL-INPUT'!AP23</f>
        <v>0</v>
      </c>
      <c r="AP24" s="183">
        <f>'ADJ DETAIL-INPUT'!AQ23</f>
        <v>0</v>
      </c>
      <c r="AQ24" s="183">
        <f>'ADJ DETAIL-INPUT'!AR23</f>
        <v>0</v>
      </c>
      <c r="AR24" s="183">
        <f>'ADJ DETAIL-INPUT'!AS23</f>
        <v>0</v>
      </c>
      <c r="AS24" s="183">
        <f>'ADJ DETAIL-INPUT'!AT23</f>
        <v>0</v>
      </c>
      <c r="AT24" s="183">
        <f>'ADJ DETAIL-INPUT'!AU23</f>
        <v>0</v>
      </c>
      <c r="AU24" s="183">
        <f>'ADJ DETAIL-INPUT'!AV23</f>
        <v>0</v>
      </c>
      <c r="AV24" s="183">
        <f>'ADJ DETAIL-INPUT'!AW23</f>
        <v>0</v>
      </c>
      <c r="AW24" s="183">
        <f>'ADJ DETAIL-INPUT'!AX23</f>
        <v>0</v>
      </c>
      <c r="AX24" s="183">
        <f>'ADJ DETAIL-INPUT'!AY23</f>
        <v>0</v>
      </c>
      <c r="AY24" s="183">
        <f>'ADJ DETAIL-INPUT'!AZ23</f>
        <v>0</v>
      </c>
      <c r="AZ24" s="183">
        <f>'ADJ DETAIL-INPUT'!BA23</f>
        <v>0</v>
      </c>
      <c r="BA24" s="183">
        <f>'ADJ DETAIL-INPUT'!BB23</f>
        <v>0</v>
      </c>
      <c r="BB24" s="183">
        <f>'ADJ DETAIL-INPUT'!BC23</f>
        <v>0</v>
      </c>
      <c r="BC24" s="183">
        <f>'ADJ DETAIL-INPUT'!BD23</f>
        <v>0</v>
      </c>
      <c r="BD24" s="183">
        <f>'ADJ DETAIL-INPUT'!BE23</f>
        <v>0</v>
      </c>
      <c r="BE24" s="183">
        <f>'ADJ DETAIL-INPUT'!BF23</f>
        <v>0</v>
      </c>
      <c r="BF24" s="183">
        <f>'ADJ DETAIL-INPUT'!BG23</f>
        <v>0</v>
      </c>
      <c r="BG24" s="183">
        <f>'ADJ DETAIL-INPUT'!BH23</f>
        <v>0</v>
      </c>
      <c r="BH24" s="183">
        <f>'ADJ DETAIL-INPUT'!BI23</f>
        <v>0</v>
      </c>
      <c r="BI24" s="183">
        <f>'ADJ DETAIL-INPUT'!BJ23</f>
        <v>0</v>
      </c>
      <c r="BJ24" s="183">
        <f>'ADJ DETAIL-INPUT'!BK23</f>
        <v>0</v>
      </c>
      <c r="BK24" s="183">
        <f>'ADJ DETAIL-INPUT'!BN23</f>
        <v>0</v>
      </c>
      <c r="BL24" s="183">
        <f>'ADJ DETAIL-INPUT'!BO23</f>
        <v>0</v>
      </c>
      <c r="BM24" s="183">
        <f>'ADJ DETAIL-INPUT'!BP23</f>
        <v>0</v>
      </c>
      <c r="BN24" s="183">
        <f>'ADJ DETAIL-INPUT'!BQ23</f>
        <v>0</v>
      </c>
      <c r="BO24" s="183">
        <f>'ADJ DETAIL-INPUT'!BR23</f>
        <v>0</v>
      </c>
      <c r="BP24" s="183">
        <f>'ADJ DETAIL-INPUT'!BS23</f>
        <v>0</v>
      </c>
      <c r="BQ24" s="183">
        <f>'ADJ DETAIL-INPUT'!BT23</f>
        <v>0</v>
      </c>
      <c r="BR24" s="183">
        <f>'ADJ DETAIL-INPUT'!BU23</f>
        <v>0</v>
      </c>
      <c r="BS24" s="183">
        <f>'ADJ DETAIL-INPUT'!BV23</f>
        <v>0</v>
      </c>
      <c r="BT24" s="183">
        <f>'ADJ DETAIL-INPUT'!BW23</f>
        <v>0</v>
      </c>
      <c r="BU24" s="183">
        <f>'ADJ DETAIL-INPUT'!BX23</f>
        <v>0</v>
      </c>
      <c r="BV24" s="183">
        <f>'ADJ DETAIL-INPUT'!BY23</f>
        <v>0</v>
      </c>
      <c r="BW24" s="183">
        <f>'ADJ DETAIL-INPUT'!BZ23</f>
        <v>0</v>
      </c>
      <c r="BX24" s="183">
        <f>'ADJ DETAIL-INPUT'!CA23</f>
        <v>0</v>
      </c>
      <c r="BY24" s="183">
        <f>'ADJ DETAIL-INPUT'!CB23</f>
        <v>0</v>
      </c>
    </row>
    <row r="25" spans="1:77" s="178" customFormat="1">
      <c r="A25" s="176">
        <f>'ADJ DETAIL-INPUT'!A24</f>
        <v>9</v>
      </c>
      <c r="C25" s="178" t="str">
        <f>'ADJ DETAIL-INPUT'!C24</f>
        <v xml:space="preserve">Depreciation/Amortization  </v>
      </c>
      <c r="E25" s="178">
        <f>'ADJ DETAIL-INPUT'!E24</f>
        <v>45659.5</v>
      </c>
      <c r="F25" s="183">
        <f>'ADJ DETAIL-INPUT'!F24</f>
        <v>0</v>
      </c>
      <c r="G25" s="183">
        <f>'ADJ DETAIL-INPUT'!G24</f>
        <v>0</v>
      </c>
      <c r="H25" s="183">
        <f>'ADJ DETAIL-INPUT'!H24</f>
        <v>0</v>
      </c>
      <c r="I25" s="183">
        <f>'ADJ DETAIL-INPUT'!I24</f>
        <v>-11503</v>
      </c>
      <c r="J25" s="183">
        <f>'ADJ DETAIL-INPUT'!J24</f>
        <v>0</v>
      </c>
      <c r="K25" s="183">
        <f>'ADJ DETAIL-INPUT'!K24</f>
        <v>0</v>
      </c>
      <c r="L25" s="183">
        <f>'ADJ DETAIL-INPUT'!L24</f>
        <v>0</v>
      </c>
      <c r="M25" s="183">
        <f>'ADJ DETAIL-INPUT'!M24</f>
        <v>0</v>
      </c>
      <c r="N25" s="183">
        <f>'ADJ DETAIL-INPUT'!N24</f>
        <v>0</v>
      </c>
      <c r="O25" s="183">
        <f>'ADJ DETAIL-INPUT'!O24</f>
        <v>0</v>
      </c>
      <c r="P25" s="183">
        <f>'ADJ DETAIL-INPUT'!P24</f>
        <v>0</v>
      </c>
      <c r="Q25" s="183">
        <f>'ADJ DETAIL-INPUT'!Q24</f>
        <v>0</v>
      </c>
      <c r="R25" s="183">
        <f>'ADJ DETAIL-INPUT'!R24</f>
        <v>0</v>
      </c>
      <c r="S25" s="183">
        <f>'ADJ DETAIL-INPUT'!S24</f>
        <v>0</v>
      </c>
      <c r="T25" s="183">
        <f>'ADJ DETAIL-INPUT'!T24</f>
        <v>0</v>
      </c>
      <c r="U25" s="183">
        <f>'ADJ DETAIL-INPUT'!U24</f>
        <v>0</v>
      </c>
      <c r="V25" s="183">
        <f>'ADJ DETAIL-INPUT'!V24</f>
        <v>0</v>
      </c>
      <c r="W25" s="183">
        <f>'ADJ DETAIL-INPUT'!W24</f>
        <v>0</v>
      </c>
      <c r="X25" s="183">
        <f>'ADJ DETAIL-INPUT'!X24</f>
        <v>0</v>
      </c>
      <c r="Y25" s="183">
        <f>'ADJ DETAIL-INPUT'!Y24</f>
        <v>0</v>
      </c>
      <c r="Z25" s="183">
        <f>'ADJ DETAIL-INPUT'!Z24</f>
        <v>0</v>
      </c>
      <c r="AA25" s="183">
        <f>'ADJ DETAIL-INPUT'!AA24</f>
        <v>0</v>
      </c>
      <c r="AB25" s="183">
        <f>'ADJ DETAIL-INPUT'!AB24</f>
        <v>0</v>
      </c>
      <c r="AC25" s="183">
        <f>'ADJ DETAIL-INPUT'!AC24</f>
        <v>0</v>
      </c>
      <c r="AD25" s="183">
        <f>'ADJ DETAIL-INPUT'!AE24</f>
        <v>0</v>
      </c>
      <c r="AE25" s="183">
        <f>'ADJ DETAIL-INPUT'!AF24</f>
        <v>0</v>
      </c>
      <c r="AF25" s="183">
        <f>'ADJ DETAIL-INPUT'!AG24</f>
        <v>0</v>
      </c>
      <c r="AG25" s="183">
        <f>'ADJ DETAIL-INPUT'!AH24</f>
        <v>0</v>
      </c>
      <c r="AH25" s="183">
        <f>'ADJ DETAIL-INPUT'!AI24</f>
        <v>0</v>
      </c>
      <c r="AI25" s="183">
        <f>'ADJ DETAIL-INPUT'!AJ24</f>
        <v>0</v>
      </c>
      <c r="AJ25" s="183">
        <f>'ADJ DETAIL-INPUT'!AK24</f>
        <v>0</v>
      </c>
      <c r="AK25" s="183">
        <f>'ADJ DETAIL-INPUT'!AL24</f>
        <v>0</v>
      </c>
      <c r="AL25" s="183">
        <f>'ADJ DETAIL-INPUT'!AM24</f>
        <v>0</v>
      </c>
      <c r="AM25" s="183">
        <f>'ADJ DETAIL-INPUT'!AN24</f>
        <v>0</v>
      </c>
      <c r="AN25" s="183">
        <f>'ADJ DETAIL-INPUT'!AO24</f>
        <v>0</v>
      </c>
      <c r="AO25" s="183">
        <f>'ADJ DETAIL-INPUT'!AP24</f>
        <v>0</v>
      </c>
      <c r="AP25" s="183">
        <f>'ADJ DETAIL-INPUT'!AQ24</f>
        <v>0</v>
      </c>
      <c r="AQ25" s="183">
        <f>'ADJ DETAIL-INPUT'!AR24</f>
        <v>0</v>
      </c>
      <c r="AR25" s="183">
        <f>'ADJ DETAIL-INPUT'!AS24</f>
        <v>0</v>
      </c>
      <c r="AS25" s="183">
        <f>'ADJ DETAIL-INPUT'!AT24</f>
        <v>0</v>
      </c>
      <c r="AT25" s="183">
        <f>'ADJ DETAIL-INPUT'!AU24</f>
        <v>664.2</v>
      </c>
      <c r="AU25" s="183">
        <f>'ADJ DETAIL-INPUT'!AV24</f>
        <v>769.3</v>
      </c>
      <c r="AV25" s="183">
        <f>'ADJ DETAIL-INPUT'!AW24</f>
        <v>1123</v>
      </c>
      <c r="AW25" s="183">
        <f>'ADJ DETAIL-INPUT'!AX24</f>
        <v>0</v>
      </c>
      <c r="AX25" s="183">
        <f>'ADJ DETAIL-INPUT'!AY24</f>
        <v>0</v>
      </c>
      <c r="AY25" s="183">
        <f>'ADJ DETAIL-INPUT'!AZ24</f>
        <v>0</v>
      </c>
      <c r="AZ25" s="183">
        <f>'ADJ DETAIL-INPUT'!BA24</f>
        <v>0</v>
      </c>
      <c r="BA25" s="183">
        <f>'ADJ DETAIL-INPUT'!BB24</f>
        <v>0</v>
      </c>
      <c r="BB25" s="183">
        <f>'ADJ DETAIL-INPUT'!BC24</f>
        <v>0</v>
      </c>
      <c r="BC25" s="183">
        <f>'ADJ DETAIL-INPUT'!BD24</f>
        <v>0</v>
      </c>
      <c r="BD25" s="183">
        <f>'ADJ DETAIL-INPUT'!BE24</f>
        <v>1117</v>
      </c>
      <c r="BE25" s="183">
        <f>'ADJ DETAIL-INPUT'!BF24</f>
        <v>0</v>
      </c>
      <c r="BF25" s="183">
        <f>'ADJ DETAIL-INPUT'!BG24</f>
        <v>0</v>
      </c>
      <c r="BG25" s="183">
        <f>'ADJ DETAIL-INPUT'!BH24</f>
        <v>0</v>
      </c>
      <c r="BH25" s="183">
        <f>'ADJ DETAIL-INPUT'!BI24</f>
        <v>0</v>
      </c>
      <c r="BI25" s="183">
        <f>'ADJ DETAIL-INPUT'!BJ24</f>
        <v>0</v>
      </c>
      <c r="BJ25" s="183">
        <f>'ADJ DETAIL-INPUT'!BK24</f>
        <v>0</v>
      </c>
      <c r="BK25" s="183">
        <f>'ADJ DETAIL-INPUT'!BN24</f>
        <v>0</v>
      </c>
      <c r="BL25" s="183">
        <f>'ADJ DETAIL-INPUT'!BO24</f>
        <v>0</v>
      </c>
      <c r="BM25" s="183">
        <f>'ADJ DETAIL-INPUT'!BP24</f>
        <v>0</v>
      </c>
      <c r="BN25" s="183">
        <f>'ADJ DETAIL-INPUT'!BQ24</f>
        <v>0</v>
      </c>
      <c r="BO25" s="183">
        <f>'ADJ DETAIL-INPUT'!BR24</f>
        <v>0</v>
      </c>
      <c r="BP25" s="183">
        <f>'ADJ DETAIL-INPUT'!BS24</f>
        <v>0</v>
      </c>
      <c r="BQ25" s="183">
        <f>'ADJ DETAIL-INPUT'!BT24</f>
        <v>0</v>
      </c>
      <c r="BR25" s="183">
        <f>'ADJ DETAIL-INPUT'!BU24</f>
        <v>0</v>
      </c>
      <c r="BS25" s="183">
        <f>'ADJ DETAIL-INPUT'!BV24</f>
        <v>1479</v>
      </c>
      <c r="BT25" s="183">
        <f>'ADJ DETAIL-INPUT'!BW24</f>
        <v>0</v>
      </c>
      <c r="BU25" s="183">
        <f>'ADJ DETAIL-INPUT'!BX24</f>
        <v>0</v>
      </c>
      <c r="BV25" s="183">
        <f>'ADJ DETAIL-INPUT'!BY24</f>
        <v>0</v>
      </c>
      <c r="BW25" s="183">
        <f>'ADJ DETAIL-INPUT'!BZ24</f>
        <v>1661</v>
      </c>
      <c r="BX25" s="183">
        <f>'ADJ DETAIL-INPUT'!CA24</f>
        <v>0</v>
      </c>
      <c r="BY25" s="183">
        <f>'ADJ DETAIL-INPUT'!CB24</f>
        <v>0</v>
      </c>
    </row>
    <row r="26" spans="1:77" s="178" customFormat="1">
      <c r="A26" s="176">
        <f>'ADJ DETAIL-INPUT'!A25</f>
        <v>10</v>
      </c>
      <c r="C26" s="178" t="str">
        <f>'ADJ DETAIL-INPUT'!C25</f>
        <v>Regulatory Amortization</v>
      </c>
      <c r="E26" s="178">
        <f>'ADJ DETAIL-INPUT'!E25</f>
        <v>-12767</v>
      </c>
      <c r="F26" s="183">
        <f>'ADJ DETAIL-INPUT'!F25</f>
        <v>0</v>
      </c>
      <c r="G26" s="183">
        <f>'ADJ DETAIL-INPUT'!G25</f>
        <v>0</v>
      </c>
      <c r="H26" s="183">
        <f>'ADJ DETAIL-INPUT'!H25</f>
        <v>0</v>
      </c>
      <c r="I26" s="183">
        <f>'ADJ DETAIL-INPUT'!I25</f>
        <v>2110</v>
      </c>
      <c r="J26" s="183">
        <f>'ADJ DETAIL-INPUT'!J25</f>
        <v>0</v>
      </c>
      <c r="K26" s="183">
        <f>'ADJ DETAIL-INPUT'!K25</f>
        <v>0</v>
      </c>
      <c r="L26" s="183">
        <f>'ADJ DETAIL-INPUT'!L25</f>
        <v>0</v>
      </c>
      <c r="M26" s="183">
        <f>'ADJ DETAIL-INPUT'!M25</f>
        <v>0</v>
      </c>
      <c r="N26" s="183">
        <f>'ADJ DETAIL-INPUT'!N25</f>
        <v>0</v>
      </c>
      <c r="O26" s="183">
        <f>'ADJ DETAIL-INPUT'!O25</f>
        <v>0</v>
      </c>
      <c r="P26" s="183">
        <f>'ADJ DETAIL-INPUT'!P25</f>
        <v>0</v>
      </c>
      <c r="Q26" s="183">
        <f>'ADJ DETAIL-INPUT'!Q25</f>
        <v>0</v>
      </c>
      <c r="R26" s="183">
        <f>'ADJ DETAIL-INPUT'!R25</f>
        <v>0</v>
      </c>
      <c r="S26" s="183">
        <f>'ADJ DETAIL-INPUT'!S25</f>
        <v>0</v>
      </c>
      <c r="T26" s="183">
        <f>'ADJ DETAIL-INPUT'!T25</f>
        <v>10955</v>
      </c>
      <c r="U26" s="183">
        <f>'ADJ DETAIL-INPUT'!U25</f>
        <v>0</v>
      </c>
      <c r="V26" s="183">
        <f>'ADJ DETAIL-INPUT'!V25</f>
        <v>0</v>
      </c>
      <c r="W26" s="183">
        <f>'ADJ DETAIL-INPUT'!W25</f>
        <v>0</v>
      </c>
      <c r="X26" s="183">
        <f>'ADJ DETAIL-INPUT'!X25</f>
        <v>0</v>
      </c>
      <c r="Y26" s="183">
        <f>'ADJ DETAIL-INPUT'!Y25</f>
        <v>0</v>
      </c>
      <c r="Z26" s="183">
        <f>'ADJ DETAIL-INPUT'!Z25</f>
        <v>0</v>
      </c>
      <c r="AA26" s="183">
        <f>'ADJ DETAIL-INPUT'!AA25</f>
        <v>0</v>
      </c>
      <c r="AB26" s="183">
        <f>'ADJ DETAIL-INPUT'!AB25</f>
        <v>0</v>
      </c>
      <c r="AC26" s="183">
        <f>'ADJ DETAIL-INPUT'!AC25</f>
        <v>0</v>
      </c>
      <c r="AD26" s="183">
        <f>'ADJ DETAIL-INPUT'!AE25</f>
        <v>0</v>
      </c>
      <c r="AE26" s="183">
        <f>'ADJ DETAIL-INPUT'!AF25</f>
        <v>0</v>
      </c>
      <c r="AF26" s="183">
        <f>'ADJ DETAIL-INPUT'!AG25</f>
        <v>0</v>
      </c>
      <c r="AG26" s="183">
        <f>'ADJ DETAIL-INPUT'!AH25</f>
        <v>40.5</v>
      </c>
      <c r="AH26" s="183">
        <f>'ADJ DETAIL-INPUT'!AI25</f>
        <v>0</v>
      </c>
      <c r="AI26" s="183">
        <f>'ADJ DETAIL-INPUT'!AJ25</f>
        <v>0</v>
      </c>
      <c r="AJ26" s="183">
        <f>'ADJ DETAIL-INPUT'!AK25</f>
        <v>0</v>
      </c>
      <c r="AK26" s="183">
        <f>'ADJ DETAIL-INPUT'!AL25</f>
        <v>0</v>
      </c>
      <c r="AL26" s="183">
        <f>'ADJ DETAIL-INPUT'!AM25</f>
        <v>0</v>
      </c>
      <c r="AM26" s="183">
        <f>'ADJ DETAIL-INPUT'!AN25</f>
        <v>0</v>
      </c>
      <c r="AN26" s="183">
        <f>'ADJ DETAIL-INPUT'!AO25</f>
        <v>0</v>
      </c>
      <c r="AO26" s="183">
        <f>'ADJ DETAIL-INPUT'!AP25</f>
        <v>0</v>
      </c>
      <c r="AP26" s="183">
        <f>'ADJ DETAIL-INPUT'!AQ25</f>
        <v>0</v>
      </c>
      <c r="AQ26" s="183">
        <f>'ADJ DETAIL-INPUT'!AR25</f>
        <v>0</v>
      </c>
      <c r="AR26" s="183">
        <f>'ADJ DETAIL-INPUT'!AS25</f>
        <v>0</v>
      </c>
      <c r="AS26" s="183">
        <f>'ADJ DETAIL-INPUT'!AT25</f>
        <v>0</v>
      </c>
      <c r="AT26" s="183">
        <f>'ADJ DETAIL-INPUT'!AU25</f>
        <v>0</v>
      </c>
      <c r="AU26" s="183">
        <f>'ADJ DETAIL-INPUT'!AV25</f>
        <v>0</v>
      </c>
      <c r="AV26" s="183">
        <f>'ADJ DETAIL-INPUT'!AW25</f>
        <v>0</v>
      </c>
      <c r="AW26" s="183">
        <f>'ADJ DETAIL-INPUT'!AX25</f>
        <v>-164.6</v>
      </c>
      <c r="AX26" s="183">
        <f>'ADJ DETAIL-INPUT'!AY25</f>
        <v>0</v>
      </c>
      <c r="AY26" s="183">
        <f>'ADJ DETAIL-INPUT'!AZ25</f>
        <v>0</v>
      </c>
      <c r="AZ26" s="183">
        <f>'ADJ DETAIL-INPUT'!BA25</f>
        <v>0</v>
      </c>
      <c r="BA26" s="183">
        <f>'ADJ DETAIL-INPUT'!BB25</f>
        <v>0</v>
      </c>
      <c r="BB26" s="183">
        <f>'ADJ DETAIL-INPUT'!BC25</f>
        <v>2159</v>
      </c>
      <c r="BC26" s="183">
        <f>'ADJ DETAIL-INPUT'!BD25</f>
        <v>0</v>
      </c>
      <c r="BD26" s="183">
        <f>'ADJ DETAIL-INPUT'!BE25</f>
        <v>0</v>
      </c>
      <c r="BE26" s="183">
        <f>'ADJ DETAIL-INPUT'!BF25</f>
        <v>0</v>
      </c>
      <c r="BF26" s="183">
        <f>'ADJ DETAIL-INPUT'!BG25</f>
        <v>0</v>
      </c>
      <c r="BG26" s="183">
        <f>'ADJ DETAIL-INPUT'!BH25</f>
        <v>0</v>
      </c>
      <c r="BH26" s="183">
        <f>'ADJ DETAIL-INPUT'!BI25</f>
        <v>0</v>
      </c>
      <c r="BI26" s="183">
        <f>'ADJ DETAIL-INPUT'!BJ25</f>
        <v>0</v>
      </c>
      <c r="BJ26" s="183">
        <f>'ADJ DETAIL-INPUT'!BK25</f>
        <v>0</v>
      </c>
      <c r="BK26" s="183">
        <f>'ADJ DETAIL-INPUT'!BN25</f>
        <v>0</v>
      </c>
      <c r="BL26" s="183">
        <f>'ADJ DETAIL-INPUT'!BO25</f>
        <v>0</v>
      </c>
      <c r="BM26" s="183">
        <f>'ADJ DETAIL-INPUT'!BP25</f>
        <v>0</v>
      </c>
      <c r="BN26" s="183">
        <f>'ADJ DETAIL-INPUT'!BQ25</f>
        <v>0</v>
      </c>
      <c r="BO26" s="183">
        <f>'ADJ DETAIL-INPUT'!BR25</f>
        <v>0</v>
      </c>
      <c r="BP26" s="183">
        <f>'ADJ DETAIL-INPUT'!BS25</f>
        <v>0</v>
      </c>
      <c r="BQ26" s="183">
        <f>'ADJ DETAIL-INPUT'!BT25</f>
        <v>0</v>
      </c>
      <c r="BR26" s="183">
        <f>'ADJ DETAIL-INPUT'!BU25</f>
        <v>0</v>
      </c>
      <c r="BS26" s="183">
        <f>'ADJ DETAIL-INPUT'!BV25</f>
        <v>0</v>
      </c>
      <c r="BT26" s="183">
        <f>'ADJ DETAIL-INPUT'!BW25</f>
        <v>0</v>
      </c>
      <c r="BU26" s="183">
        <f>'ADJ DETAIL-INPUT'!BX25</f>
        <v>0</v>
      </c>
      <c r="BV26" s="183">
        <f>'ADJ DETAIL-INPUT'!BY25</f>
        <v>0</v>
      </c>
      <c r="BW26" s="183">
        <f>'ADJ DETAIL-INPUT'!BZ25</f>
        <v>0</v>
      </c>
      <c r="BX26" s="183">
        <f>'ADJ DETAIL-INPUT'!CA25</f>
        <v>176</v>
      </c>
      <c r="BY26" s="183">
        <f>'ADJ DETAIL-INPUT'!CB25</f>
        <v>0</v>
      </c>
    </row>
    <row r="27" spans="1:77" s="178" customFormat="1">
      <c r="A27" s="176">
        <f>'ADJ DETAIL-INPUT'!A26</f>
        <v>11</v>
      </c>
      <c r="C27" s="178" t="str">
        <f>'ADJ DETAIL-INPUT'!C26</f>
        <v xml:space="preserve">Taxes  </v>
      </c>
      <c r="E27" s="307">
        <f>'ADJ DETAIL-INPUT'!E26</f>
        <v>12505</v>
      </c>
      <c r="F27" s="186">
        <f>'ADJ DETAIL-INPUT'!F26</f>
        <v>0</v>
      </c>
      <c r="G27" s="186">
        <f>'ADJ DETAIL-INPUT'!G26</f>
        <v>0</v>
      </c>
      <c r="H27" s="186">
        <f>'ADJ DETAIL-INPUT'!H26</f>
        <v>0</v>
      </c>
      <c r="I27" s="186">
        <f>'ADJ DETAIL-INPUT'!I26</f>
        <v>0</v>
      </c>
      <c r="J27" s="186">
        <f>'ADJ DETAIL-INPUT'!J26</f>
        <v>0</v>
      </c>
      <c r="K27" s="186">
        <f>'ADJ DETAIL-INPUT'!K26</f>
        <v>707</v>
      </c>
      <c r="L27" s="186">
        <f>'ADJ DETAIL-INPUT'!L26</f>
        <v>0</v>
      </c>
      <c r="M27" s="186">
        <f>'ADJ DETAIL-INPUT'!M26</f>
        <v>0</v>
      </c>
      <c r="N27" s="186">
        <f>'ADJ DETAIL-INPUT'!N26</f>
        <v>0</v>
      </c>
      <c r="O27" s="186">
        <f>'ADJ DETAIL-INPUT'!O26</f>
        <v>0</v>
      </c>
      <c r="P27" s="186">
        <f>'ADJ DETAIL-INPUT'!P26</f>
        <v>0</v>
      </c>
      <c r="Q27" s="186">
        <f>'ADJ DETAIL-INPUT'!Q26</f>
        <v>0</v>
      </c>
      <c r="R27" s="186">
        <f>'ADJ DETAIL-INPUT'!R26</f>
        <v>0</v>
      </c>
      <c r="S27" s="186">
        <f>'ADJ DETAIL-INPUT'!S26</f>
        <v>0</v>
      </c>
      <c r="T27" s="186">
        <f>'ADJ DETAIL-INPUT'!T26</f>
        <v>0</v>
      </c>
      <c r="U27" s="186">
        <f>'ADJ DETAIL-INPUT'!U26</f>
        <v>0</v>
      </c>
      <c r="V27" s="186">
        <f>'ADJ DETAIL-INPUT'!V26</f>
        <v>0</v>
      </c>
      <c r="W27" s="186">
        <f>'ADJ DETAIL-INPUT'!W26</f>
        <v>0</v>
      </c>
      <c r="X27" s="186">
        <f>'ADJ DETAIL-INPUT'!X26</f>
        <v>0</v>
      </c>
      <c r="Y27" s="186">
        <f>'ADJ DETAIL-INPUT'!Y26</f>
        <v>0</v>
      </c>
      <c r="Z27" s="186">
        <f>'ADJ DETAIL-INPUT'!Z26</f>
        <v>0</v>
      </c>
      <c r="AA27" s="186">
        <f>'ADJ DETAIL-INPUT'!AA26</f>
        <v>0</v>
      </c>
      <c r="AB27" s="186">
        <f>'ADJ DETAIL-INPUT'!AB26</f>
        <v>0</v>
      </c>
      <c r="AC27" s="186">
        <f>'ADJ DETAIL-INPUT'!AC26</f>
        <v>0</v>
      </c>
      <c r="AD27" s="186">
        <f>'ADJ DETAIL-INPUT'!AE26</f>
        <v>0</v>
      </c>
      <c r="AE27" s="186">
        <f>'ADJ DETAIL-INPUT'!AF26</f>
        <v>0</v>
      </c>
      <c r="AF27" s="186">
        <f>'ADJ DETAIL-INPUT'!AG26</f>
        <v>0</v>
      </c>
      <c r="AG27" s="186">
        <f>'ADJ DETAIL-INPUT'!AH26</f>
        <v>0</v>
      </c>
      <c r="AH27" s="186">
        <f>'ADJ DETAIL-INPUT'!AI26</f>
        <v>0</v>
      </c>
      <c r="AI27" s="186">
        <f>'ADJ DETAIL-INPUT'!AJ26</f>
        <v>0</v>
      </c>
      <c r="AJ27" s="186">
        <f>'ADJ DETAIL-INPUT'!AK26</f>
        <v>0</v>
      </c>
      <c r="AK27" s="186">
        <f>'ADJ DETAIL-INPUT'!AL26</f>
        <v>0</v>
      </c>
      <c r="AL27" s="186">
        <f>'ADJ DETAIL-INPUT'!AM26</f>
        <v>0</v>
      </c>
      <c r="AM27" s="186">
        <f>'ADJ DETAIL-INPUT'!AN26</f>
        <v>0</v>
      </c>
      <c r="AN27" s="186">
        <f>'ADJ DETAIL-INPUT'!AO26</f>
        <v>0</v>
      </c>
      <c r="AO27" s="186">
        <f>'ADJ DETAIL-INPUT'!AP26</f>
        <v>0</v>
      </c>
      <c r="AP27" s="186">
        <f>'ADJ DETAIL-INPUT'!AQ26</f>
        <v>-784</v>
      </c>
      <c r="AQ27" s="186">
        <f>'ADJ DETAIL-INPUT'!AR26</f>
        <v>0</v>
      </c>
      <c r="AR27" s="186">
        <f>'ADJ DETAIL-INPUT'!AS26</f>
        <v>0</v>
      </c>
      <c r="AS27" s="186">
        <f>'ADJ DETAIL-INPUT'!AT26</f>
        <v>0</v>
      </c>
      <c r="AT27" s="186">
        <f>'ADJ DETAIL-INPUT'!AU26</f>
        <v>0</v>
      </c>
      <c r="AU27" s="186">
        <f>'ADJ DETAIL-INPUT'!AV26</f>
        <v>0</v>
      </c>
      <c r="AV27" s="186">
        <f>'ADJ DETAIL-INPUT'!AW26</f>
        <v>0</v>
      </c>
      <c r="AW27" s="186">
        <f>'ADJ DETAIL-INPUT'!AX26</f>
        <v>0</v>
      </c>
      <c r="AX27" s="186">
        <f>'ADJ DETAIL-INPUT'!AY26</f>
        <v>0</v>
      </c>
      <c r="AY27" s="186">
        <f>'ADJ DETAIL-INPUT'!AZ26</f>
        <v>0</v>
      </c>
      <c r="AZ27" s="186">
        <f>'ADJ DETAIL-INPUT'!BA26</f>
        <v>0</v>
      </c>
      <c r="BA27" s="186">
        <f>'ADJ DETAIL-INPUT'!BB26</f>
        <v>0</v>
      </c>
      <c r="BB27" s="186">
        <f>'ADJ DETAIL-INPUT'!BC26</f>
        <v>0</v>
      </c>
      <c r="BC27" s="186">
        <f>'ADJ DETAIL-INPUT'!BD26</f>
        <v>0</v>
      </c>
      <c r="BD27" s="186">
        <f>'ADJ DETAIL-INPUT'!BE26</f>
        <v>0</v>
      </c>
      <c r="BE27" s="186">
        <f>'ADJ DETAIL-INPUT'!BF26</f>
        <v>0</v>
      </c>
      <c r="BF27" s="186">
        <f>'ADJ DETAIL-INPUT'!BG26</f>
        <v>0</v>
      </c>
      <c r="BG27" s="186">
        <f>'ADJ DETAIL-INPUT'!BH26</f>
        <v>0</v>
      </c>
      <c r="BH27" s="186">
        <f>'ADJ DETAIL-INPUT'!BI26</f>
        <v>0</v>
      </c>
      <c r="BI27" s="186">
        <f>'ADJ DETAIL-INPUT'!BJ26</f>
        <v>0</v>
      </c>
      <c r="BJ27" s="186">
        <f>'ADJ DETAIL-INPUT'!BK26</f>
        <v>0</v>
      </c>
      <c r="BK27" s="186">
        <f>'ADJ DETAIL-INPUT'!BN26</f>
        <v>0</v>
      </c>
      <c r="BL27" s="186">
        <f>'ADJ DETAIL-INPUT'!BO26</f>
        <v>0</v>
      </c>
      <c r="BM27" s="186">
        <f>'ADJ DETAIL-INPUT'!BP26</f>
        <v>0</v>
      </c>
      <c r="BN27" s="186">
        <f>'ADJ DETAIL-INPUT'!BQ26</f>
        <v>0</v>
      </c>
      <c r="BO27" s="186">
        <f>'ADJ DETAIL-INPUT'!BR26</f>
        <v>0</v>
      </c>
      <c r="BP27" s="186">
        <f>'ADJ DETAIL-INPUT'!BS26</f>
        <v>190</v>
      </c>
      <c r="BQ27" s="186">
        <f>'ADJ DETAIL-INPUT'!BT26</f>
        <v>0</v>
      </c>
      <c r="BR27" s="186">
        <f>'ADJ DETAIL-INPUT'!BU26</f>
        <v>0</v>
      </c>
      <c r="BS27" s="186">
        <f>'ADJ DETAIL-INPUT'!BV26</f>
        <v>0</v>
      </c>
      <c r="BT27" s="186">
        <f>'ADJ DETAIL-INPUT'!BW26</f>
        <v>0</v>
      </c>
      <c r="BU27" s="186">
        <f>'ADJ DETAIL-INPUT'!BX26</f>
        <v>0</v>
      </c>
      <c r="BV27" s="186">
        <f>'ADJ DETAIL-INPUT'!BY26</f>
        <v>0</v>
      </c>
      <c r="BW27" s="186">
        <f>'ADJ DETAIL-INPUT'!BZ26</f>
        <v>0</v>
      </c>
      <c r="BX27" s="186">
        <f>'ADJ DETAIL-INPUT'!CA26</f>
        <v>0</v>
      </c>
      <c r="BY27" s="186">
        <f>'ADJ DETAIL-INPUT'!CB26</f>
        <v>0</v>
      </c>
    </row>
    <row r="28" spans="1:77" s="178" customFormat="1">
      <c r="A28" s="176">
        <f>'ADJ DETAIL-INPUT'!A27</f>
        <v>12</v>
      </c>
      <c r="B28" s="178" t="str">
        <f>'ADJ DETAIL-INPUT'!B27</f>
        <v xml:space="preserve">Total Production &amp; Transmission  </v>
      </c>
      <c r="E28" s="178">
        <f>'ADJ DETAIL-INPUT'!E27</f>
        <v>373036.2</v>
      </c>
      <c r="F28" s="183">
        <f>'ADJ DETAIL-INPUT'!F27</f>
        <v>0</v>
      </c>
      <c r="G28" s="183">
        <f>'ADJ DETAIL-INPUT'!G27</f>
        <v>0</v>
      </c>
      <c r="H28" s="183">
        <f>'ADJ DETAIL-INPUT'!H27</f>
        <v>0</v>
      </c>
      <c r="I28" s="183">
        <f>'ADJ DETAIL-INPUT'!I27</f>
        <v>-19935</v>
      </c>
      <c r="J28" s="183">
        <f>'ADJ DETAIL-INPUT'!J27</f>
        <v>0</v>
      </c>
      <c r="K28" s="183">
        <f>'ADJ DETAIL-INPUT'!K27</f>
        <v>707</v>
      </c>
      <c r="L28" s="183">
        <f>'ADJ DETAIL-INPUT'!L27</f>
        <v>0</v>
      </c>
      <c r="M28" s="183">
        <f>'ADJ DETAIL-INPUT'!M27</f>
        <v>0</v>
      </c>
      <c r="N28" s="183">
        <f>'ADJ DETAIL-INPUT'!N27</f>
        <v>0</v>
      </c>
      <c r="O28" s="183">
        <f>'ADJ DETAIL-INPUT'!O27</f>
        <v>0</v>
      </c>
      <c r="P28" s="183">
        <f>'ADJ DETAIL-INPUT'!P27</f>
        <v>0</v>
      </c>
      <c r="Q28" s="183">
        <f>'ADJ DETAIL-INPUT'!Q27</f>
        <v>0</v>
      </c>
      <c r="R28" s="183">
        <f>'ADJ DETAIL-INPUT'!R27</f>
        <v>0</v>
      </c>
      <c r="S28" s="183">
        <f>'ADJ DETAIL-INPUT'!S27</f>
        <v>0</v>
      </c>
      <c r="T28" s="183">
        <f>'ADJ DETAIL-INPUT'!T27</f>
        <v>7870</v>
      </c>
      <c r="U28" s="183">
        <f>'ADJ DETAIL-INPUT'!U27</f>
        <v>-9</v>
      </c>
      <c r="V28" s="183">
        <f>'ADJ DETAIL-INPUT'!V27</f>
        <v>0</v>
      </c>
      <c r="W28" s="183">
        <f>'ADJ DETAIL-INPUT'!W27</f>
        <v>0</v>
      </c>
      <c r="X28" s="183">
        <f>'ADJ DETAIL-INPUT'!X27</f>
        <v>0</v>
      </c>
      <c r="Y28" s="183">
        <f>'ADJ DETAIL-INPUT'!Y27</f>
        <v>42843</v>
      </c>
      <c r="Z28" s="183">
        <f>'ADJ DETAIL-INPUT'!Z27</f>
        <v>-15</v>
      </c>
      <c r="AA28" s="183">
        <f>'ADJ DETAIL-INPUT'!AA27</f>
        <v>334</v>
      </c>
      <c r="AB28" s="183">
        <f>'ADJ DETAIL-INPUT'!AB27</f>
        <v>-129513</v>
      </c>
      <c r="AC28" s="183">
        <f>'ADJ DETAIL-INPUT'!AC27</f>
        <v>0</v>
      </c>
      <c r="AD28" s="183">
        <f>'ADJ DETAIL-INPUT'!AE27</f>
        <v>75852</v>
      </c>
      <c r="AE28" s="183">
        <f>'ADJ DETAIL-INPUT'!AF27</f>
        <v>0</v>
      </c>
      <c r="AF28" s="183">
        <f>'ADJ DETAIL-INPUT'!AG27</f>
        <v>0</v>
      </c>
      <c r="AG28" s="183">
        <f>'ADJ DETAIL-INPUT'!AH27</f>
        <v>355.5</v>
      </c>
      <c r="AH28" s="183">
        <f>'ADJ DETAIL-INPUT'!AI27</f>
        <v>0</v>
      </c>
      <c r="AI28" s="183">
        <f>'ADJ DETAIL-INPUT'!AJ27</f>
        <v>0</v>
      </c>
      <c r="AJ28" s="183">
        <f>'ADJ DETAIL-INPUT'!AK27</f>
        <v>2196.6</v>
      </c>
      <c r="AK28" s="183">
        <f>'ADJ DETAIL-INPUT'!AL27</f>
        <v>0</v>
      </c>
      <c r="AL28" s="183">
        <f>'ADJ DETAIL-INPUT'!AM27</f>
        <v>43.5</v>
      </c>
      <c r="AM28" s="183">
        <f>'ADJ DETAIL-INPUT'!AN27</f>
        <v>0</v>
      </c>
      <c r="AN28" s="183">
        <f>'ADJ DETAIL-INPUT'!AO27</f>
        <v>0</v>
      </c>
      <c r="AO28" s="183">
        <f>'ADJ DETAIL-INPUT'!AP27</f>
        <v>0</v>
      </c>
      <c r="AP28" s="183">
        <f>'ADJ DETAIL-INPUT'!AQ27</f>
        <v>-784</v>
      </c>
      <c r="AQ28" s="183">
        <f>'ADJ DETAIL-INPUT'!AR27</f>
        <v>0</v>
      </c>
      <c r="AR28" s="183">
        <f>'ADJ DETAIL-INPUT'!AS27</f>
        <v>0</v>
      </c>
      <c r="AS28" s="183">
        <f>'ADJ DETAIL-INPUT'!AT27</f>
        <v>3783.7289999999998</v>
      </c>
      <c r="AT28" s="183">
        <f>'ADJ DETAIL-INPUT'!AU27</f>
        <v>664.2</v>
      </c>
      <c r="AU28" s="183">
        <f>'ADJ DETAIL-INPUT'!AV27</f>
        <v>769.3</v>
      </c>
      <c r="AV28" s="183">
        <f>'ADJ DETAIL-INPUT'!AW27</f>
        <v>1123</v>
      </c>
      <c r="AW28" s="183">
        <f>'ADJ DETAIL-INPUT'!AX27</f>
        <v>-164.6</v>
      </c>
      <c r="AX28" s="183">
        <f>'ADJ DETAIL-INPUT'!AY27</f>
        <v>0</v>
      </c>
      <c r="AY28" s="183">
        <f>'ADJ DETAIL-INPUT'!AZ27</f>
        <v>0</v>
      </c>
      <c r="AZ28" s="183">
        <f>'ADJ DETAIL-INPUT'!BA27</f>
        <v>0</v>
      </c>
      <c r="BA28" s="183">
        <f>'ADJ DETAIL-INPUT'!BB27</f>
        <v>-334</v>
      </c>
      <c r="BB28" s="183">
        <f>'ADJ DETAIL-INPUT'!BC27</f>
        <v>2159</v>
      </c>
      <c r="BC28" s="183">
        <f>'ADJ DETAIL-INPUT'!BD27</f>
        <v>309</v>
      </c>
      <c r="BD28" s="183">
        <f>'ADJ DETAIL-INPUT'!BE27</f>
        <v>1117</v>
      </c>
      <c r="BE28" s="183">
        <f>'ADJ DETAIL-INPUT'!BF27</f>
        <v>-141.31899999999999</v>
      </c>
      <c r="BF28" s="183">
        <f>'ADJ DETAIL-INPUT'!BG27</f>
        <v>0</v>
      </c>
      <c r="BG28" s="183">
        <f>'ADJ DETAIL-INPUT'!BH27</f>
        <v>0</v>
      </c>
      <c r="BH28" s="183">
        <f>'ADJ DETAIL-INPUT'!BI27</f>
        <v>0</v>
      </c>
      <c r="BI28" s="183">
        <f>'ADJ DETAIL-INPUT'!BJ27</f>
        <v>0</v>
      </c>
      <c r="BJ28" s="183">
        <f>'ADJ DETAIL-INPUT'!BK27</f>
        <v>0</v>
      </c>
      <c r="BK28" s="183">
        <f>'ADJ DETAIL-INPUT'!BN27</f>
        <v>-20941</v>
      </c>
      <c r="BL28" s="183">
        <f>'ADJ DETAIL-INPUT'!BO27</f>
        <v>0</v>
      </c>
      <c r="BM28" s="183">
        <f>'ADJ DETAIL-INPUT'!BP27</f>
        <v>0</v>
      </c>
      <c r="BN28" s="183">
        <f>'ADJ DETAIL-INPUT'!BQ27</f>
        <v>898</v>
      </c>
      <c r="BO28" s="183">
        <f>'ADJ DETAIL-INPUT'!BR27</f>
        <v>153</v>
      </c>
      <c r="BP28" s="183">
        <f>'ADJ DETAIL-INPUT'!BS27</f>
        <v>190</v>
      </c>
      <c r="BQ28" s="183">
        <f>'ADJ DETAIL-INPUT'!BT27</f>
        <v>0</v>
      </c>
      <c r="BR28" s="183">
        <f>'ADJ DETAIL-INPUT'!BU27</f>
        <v>1513.491</v>
      </c>
      <c r="BS28" s="183">
        <f>'ADJ DETAIL-INPUT'!BV27</f>
        <v>1479</v>
      </c>
      <c r="BT28" s="183">
        <f>'ADJ DETAIL-INPUT'!BW27</f>
        <v>-108.928</v>
      </c>
      <c r="BU28" s="183">
        <f>'ADJ DETAIL-INPUT'!BX27</f>
        <v>0</v>
      </c>
      <c r="BV28" s="183">
        <f>'ADJ DETAIL-INPUT'!BY27</f>
        <v>0</v>
      </c>
      <c r="BW28" s="183">
        <f>'ADJ DETAIL-INPUT'!BZ27</f>
        <v>1661</v>
      </c>
      <c r="BX28" s="183">
        <f>'ADJ DETAIL-INPUT'!CA27</f>
        <v>176</v>
      </c>
      <c r="BY28" s="183">
        <f>'ADJ DETAIL-INPUT'!CB27</f>
        <v>0</v>
      </c>
    </row>
    <row r="29" spans="1:77" s="178" customFormat="1" ht="6.75" customHeight="1">
      <c r="A29" s="176"/>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c r="BI29" s="183"/>
      <c r="BJ29" s="183"/>
      <c r="BK29" s="183"/>
      <c r="BL29" s="183"/>
      <c r="BM29" s="183"/>
      <c r="BN29" s="183"/>
      <c r="BO29" s="183"/>
      <c r="BP29" s="183"/>
      <c r="BQ29" s="183"/>
      <c r="BR29" s="183"/>
      <c r="BS29" s="183"/>
      <c r="BT29" s="183"/>
      <c r="BU29" s="183"/>
      <c r="BV29" s="183"/>
      <c r="BW29" s="183"/>
      <c r="BX29" s="183"/>
      <c r="BY29" s="183"/>
    </row>
    <row r="30" spans="1:77" s="178" customFormat="1">
      <c r="A30" s="176"/>
      <c r="B30" s="178" t="str">
        <f>'ADJ DETAIL-INPUT'!B29</f>
        <v xml:space="preserve">Distribution  </v>
      </c>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c r="BI30" s="183"/>
      <c r="BJ30" s="183"/>
      <c r="BK30" s="183"/>
      <c r="BL30" s="183"/>
      <c r="BM30" s="183"/>
      <c r="BN30" s="183"/>
      <c r="BO30" s="183"/>
      <c r="BP30" s="183"/>
      <c r="BQ30" s="183"/>
      <c r="BR30" s="183"/>
      <c r="BS30" s="183"/>
      <c r="BT30" s="183"/>
      <c r="BU30" s="183"/>
      <c r="BV30" s="183"/>
      <c r="BW30" s="183"/>
      <c r="BX30" s="183"/>
      <c r="BY30" s="183"/>
    </row>
    <row r="31" spans="1:77" s="178" customFormat="1">
      <c r="A31" s="176">
        <f>'ADJ DETAIL-INPUT'!A30</f>
        <v>13</v>
      </c>
      <c r="C31" s="178" t="str">
        <f>'ADJ DETAIL-INPUT'!C30</f>
        <v xml:space="preserve">Operating Expenses  </v>
      </c>
      <c r="E31" s="178">
        <f>'ADJ DETAIL-INPUT'!E30</f>
        <v>35176</v>
      </c>
      <c r="F31" s="183">
        <f>'ADJ DETAIL-INPUT'!F30</f>
        <v>0</v>
      </c>
      <c r="G31" s="183">
        <f>'ADJ DETAIL-INPUT'!G30</f>
        <v>0</v>
      </c>
      <c r="H31" s="183">
        <f>'ADJ DETAIL-INPUT'!H30</f>
        <v>0</v>
      </c>
      <c r="I31" s="183">
        <f>'ADJ DETAIL-INPUT'!I30</f>
        <v>0</v>
      </c>
      <c r="J31" s="183">
        <f>'ADJ DETAIL-INPUT'!J30</f>
        <v>0</v>
      </c>
      <c r="K31" s="183">
        <f>'ADJ DETAIL-INPUT'!K30</f>
        <v>0</v>
      </c>
      <c r="L31" s="183">
        <f>'ADJ DETAIL-INPUT'!L30</f>
        <v>0</v>
      </c>
      <c r="M31" s="183">
        <f>'ADJ DETAIL-INPUT'!M30</f>
        <v>0</v>
      </c>
      <c r="N31" s="183">
        <f>'ADJ DETAIL-INPUT'!N30</f>
        <v>0</v>
      </c>
      <c r="O31" s="183">
        <f>'ADJ DETAIL-INPUT'!O30</f>
        <v>0</v>
      </c>
      <c r="P31" s="183">
        <f>'ADJ DETAIL-INPUT'!P30</f>
        <v>0</v>
      </c>
      <c r="Q31" s="183">
        <f>'ADJ DETAIL-INPUT'!Q30</f>
        <v>0</v>
      </c>
      <c r="R31" s="183">
        <f>'ADJ DETAIL-INPUT'!R30</f>
        <v>0</v>
      </c>
      <c r="S31" s="183">
        <f>'ADJ DETAIL-INPUT'!S30</f>
        <v>0</v>
      </c>
      <c r="T31" s="183">
        <f>'ADJ DETAIL-INPUT'!T30</f>
        <v>0</v>
      </c>
      <c r="U31" s="183">
        <f>'ADJ DETAIL-INPUT'!U30</f>
        <v>-4</v>
      </c>
      <c r="V31" s="183">
        <f>'ADJ DETAIL-INPUT'!V30</f>
        <v>0</v>
      </c>
      <c r="W31" s="183">
        <f>'ADJ DETAIL-INPUT'!W30</f>
        <v>0</v>
      </c>
      <c r="X31" s="183">
        <f>'ADJ DETAIL-INPUT'!X30</f>
        <v>0</v>
      </c>
      <c r="Y31" s="183">
        <f>'ADJ DETAIL-INPUT'!Y30</f>
        <v>0</v>
      </c>
      <c r="Z31" s="183">
        <f>'ADJ DETAIL-INPUT'!Z30</f>
        <v>0</v>
      </c>
      <c r="AA31" s="183">
        <f>'ADJ DETAIL-INPUT'!AA30</f>
        <v>0</v>
      </c>
      <c r="AB31" s="183">
        <f>'ADJ DETAIL-INPUT'!AB30</f>
        <v>0</v>
      </c>
      <c r="AC31" s="183">
        <f>'ADJ DETAIL-INPUT'!AC30</f>
        <v>0</v>
      </c>
      <c r="AD31" s="183">
        <f>'ADJ DETAIL-INPUT'!AE30</f>
        <v>0</v>
      </c>
      <c r="AE31" s="183">
        <f>'ADJ DETAIL-INPUT'!AF30</f>
        <v>0</v>
      </c>
      <c r="AF31" s="183">
        <f>'ADJ DETAIL-INPUT'!AG30</f>
        <v>0</v>
      </c>
      <c r="AG31" s="183">
        <f>'ADJ DETAIL-INPUT'!AH30</f>
        <v>0</v>
      </c>
      <c r="AH31" s="183">
        <f>'ADJ DETAIL-INPUT'!AI30</f>
        <v>0</v>
      </c>
      <c r="AI31" s="183">
        <f>'ADJ DETAIL-INPUT'!AJ30</f>
        <v>0</v>
      </c>
      <c r="AJ31" s="183">
        <f>'ADJ DETAIL-INPUT'!AK30</f>
        <v>1506.5</v>
      </c>
      <c r="AK31" s="183">
        <f>'ADJ DETAIL-INPUT'!AL30</f>
        <v>0</v>
      </c>
      <c r="AL31" s="183">
        <f>'ADJ DETAIL-INPUT'!AM30</f>
        <v>30.3</v>
      </c>
      <c r="AM31" s="183">
        <f>'ADJ DETAIL-INPUT'!AN30</f>
        <v>0</v>
      </c>
      <c r="AN31" s="183">
        <f>'ADJ DETAIL-INPUT'!AO30</f>
        <v>0</v>
      </c>
      <c r="AO31" s="183">
        <f>'ADJ DETAIL-INPUT'!AP30</f>
        <v>0</v>
      </c>
      <c r="AP31" s="183">
        <f>'ADJ DETAIL-INPUT'!AQ30</f>
        <v>0</v>
      </c>
      <c r="AQ31" s="183">
        <f>'ADJ DETAIL-INPUT'!AR30</f>
        <v>0</v>
      </c>
      <c r="AR31" s="183">
        <f>'ADJ DETAIL-INPUT'!AS30</f>
        <v>0</v>
      </c>
      <c r="AS31" s="183">
        <f>'ADJ DETAIL-INPUT'!AT30</f>
        <v>1828.077</v>
      </c>
      <c r="AT31" s="183">
        <f>'ADJ DETAIL-INPUT'!AU30</f>
        <v>0</v>
      </c>
      <c r="AU31" s="183">
        <f>'ADJ DETAIL-INPUT'!AV30</f>
        <v>0</v>
      </c>
      <c r="AV31" s="183">
        <f>'ADJ DETAIL-INPUT'!AW30</f>
        <v>0</v>
      </c>
      <c r="AW31" s="183">
        <f>'ADJ DETAIL-INPUT'!AX30</f>
        <v>0</v>
      </c>
      <c r="AX31" s="183">
        <f>'ADJ DETAIL-INPUT'!AY30</f>
        <v>0</v>
      </c>
      <c r="AY31" s="183">
        <f>'ADJ DETAIL-INPUT'!AZ30</f>
        <v>0</v>
      </c>
      <c r="AZ31" s="183">
        <f>'ADJ DETAIL-INPUT'!BA30</f>
        <v>0</v>
      </c>
      <c r="BA31" s="183">
        <f>'ADJ DETAIL-INPUT'!BB30</f>
        <v>0</v>
      </c>
      <c r="BB31" s="183">
        <f>'ADJ DETAIL-INPUT'!BC30</f>
        <v>0</v>
      </c>
      <c r="BC31" s="183">
        <f>'ADJ DETAIL-INPUT'!BD30</f>
        <v>-2678</v>
      </c>
      <c r="BD31" s="183">
        <f>'ADJ DETAIL-INPUT'!BE30</f>
        <v>0</v>
      </c>
      <c r="BE31" s="183">
        <f>'ADJ DETAIL-INPUT'!BF30</f>
        <v>-496.21</v>
      </c>
      <c r="BF31" s="183">
        <f>'ADJ DETAIL-INPUT'!BG30</f>
        <v>0</v>
      </c>
      <c r="BG31" s="183">
        <f>'ADJ DETAIL-INPUT'!BH30</f>
        <v>0</v>
      </c>
      <c r="BH31" s="183">
        <f>'ADJ DETAIL-INPUT'!BI30</f>
        <v>0</v>
      </c>
      <c r="BI31" s="183">
        <f>'ADJ DETAIL-INPUT'!BJ30</f>
        <v>0</v>
      </c>
      <c r="BJ31" s="183">
        <f>'ADJ DETAIL-INPUT'!BK30</f>
        <v>0</v>
      </c>
      <c r="BK31" s="183">
        <f>'ADJ DETAIL-INPUT'!BN30</f>
        <v>0</v>
      </c>
      <c r="BL31" s="183">
        <f>'ADJ DETAIL-INPUT'!BO30</f>
        <v>0</v>
      </c>
      <c r="BM31" s="183">
        <f>'ADJ DETAIL-INPUT'!BP30</f>
        <v>0</v>
      </c>
      <c r="BN31" s="183">
        <f>'ADJ DETAIL-INPUT'!BQ30</f>
        <v>631</v>
      </c>
      <c r="BO31" s="183">
        <f>'ADJ DETAIL-INPUT'!BR30</f>
        <v>106.7</v>
      </c>
      <c r="BP31" s="183">
        <f>'ADJ DETAIL-INPUT'!BS30</f>
        <v>0</v>
      </c>
      <c r="BQ31" s="183">
        <f>'ADJ DETAIL-INPUT'!BT30</f>
        <v>0</v>
      </c>
      <c r="BR31" s="183">
        <f>'ADJ DETAIL-INPUT'!BU30</f>
        <v>731.23099999999999</v>
      </c>
      <c r="BS31" s="183">
        <f>'ADJ DETAIL-INPUT'!BV30</f>
        <v>0</v>
      </c>
      <c r="BT31" s="183">
        <f>'ADJ DETAIL-INPUT'!BW30</f>
        <v>-241.239</v>
      </c>
      <c r="BU31" s="183">
        <f>'ADJ DETAIL-INPUT'!BX30</f>
        <v>0</v>
      </c>
      <c r="BV31" s="183">
        <f>'ADJ DETAIL-INPUT'!BY30</f>
        <v>0</v>
      </c>
      <c r="BW31" s="183">
        <f>'ADJ DETAIL-INPUT'!BZ30</f>
        <v>0</v>
      </c>
      <c r="BX31" s="183">
        <f>'ADJ DETAIL-INPUT'!CA30</f>
        <v>0</v>
      </c>
      <c r="BY31" s="183">
        <f>'ADJ DETAIL-INPUT'!CB30</f>
        <v>0</v>
      </c>
    </row>
    <row r="32" spans="1:77" s="178" customFormat="1">
      <c r="A32" s="176">
        <f>'ADJ DETAIL-INPUT'!A31</f>
        <v>14</v>
      </c>
      <c r="C32" s="178" t="str">
        <f>'ADJ DETAIL-INPUT'!C31</f>
        <v>Depreciation/Amortization</v>
      </c>
      <c r="E32" s="178">
        <f>'ADJ DETAIL-INPUT'!E31</f>
        <v>38618.5</v>
      </c>
      <c r="F32" s="183">
        <f>'ADJ DETAIL-INPUT'!F31</f>
        <v>0</v>
      </c>
      <c r="G32" s="183">
        <f>'ADJ DETAIL-INPUT'!G31</f>
        <v>0</v>
      </c>
      <c r="H32" s="183">
        <f>'ADJ DETAIL-INPUT'!H31</f>
        <v>0</v>
      </c>
      <c r="I32" s="183">
        <f>'ADJ DETAIL-INPUT'!I31</f>
        <v>0</v>
      </c>
      <c r="J32" s="183">
        <f>'ADJ DETAIL-INPUT'!J31</f>
        <v>0</v>
      </c>
      <c r="K32" s="183">
        <f>'ADJ DETAIL-INPUT'!K31</f>
        <v>0</v>
      </c>
      <c r="L32" s="183">
        <f>'ADJ DETAIL-INPUT'!L31</f>
        <v>0</v>
      </c>
      <c r="M32" s="183">
        <f>'ADJ DETAIL-INPUT'!M31</f>
        <v>0</v>
      </c>
      <c r="N32" s="183">
        <f>'ADJ DETAIL-INPUT'!N31</f>
        <v>0</v>
      </c>
      <c r="O32" s="183">
        <f>'ADJ DETAIL-INPUT'!O31</f>
        <v>0</v>
      </c>
      <c r="P32" s="183">
        <f>'ADJ DETAIL-INPUT'!P31</f>
        <v>0</v>
      </c>
      <c r="Q32" s="183">
        <f>'ADJ DETAIL-INPUT'!Q31</f>
        <v>0</v>
      </c>
      <c r="R32" s="183">
        <f>'ADJ DETAIL-INPUT'!R31</f>
        <v>-68</v>
      </c>
      <c r="S32" s="183">
        <f>'ADJ DETAIL-INPUT'!S31</f>
        <v>0</v>
      </c>
      <c r="T32" s="183">
        <f>'ADJ DETAIL-INPUT'!T31</f>
        <v>0</v>
      </c>
      <c r="U32" s="183">
        <f>'ADJ DETAIL-INPUT'!U31</f>
        <v>0</v>
      </c>
      <c r="V32" s="183">
        <f>'ADJ DETAIL-INPUT'!V31</f>
        <v>0</v>
      </c>
      <c r="W32" s="183">
        <f>'ADJ DETAIL-INPUT'!W31</f>
        <v>0</v>
      </c>
      <c r="X32" s="183">
        <f>'ADJ DETAIL-INPUT'!X31</f>
        <v>0</v>
      </c>
      <c r="Y32" s="183">
        <f>'ADJ DETAIL-INPUT'!Y31</f>
        <v>0</v>
      </c>
      <c r="Z32" s="183">
        <f>'ADJ DETAIL-INPUT'!Z31</f>
        <v>0</v>
      </c>
      <c r="AA32" s="183">
        <f>'ADJ DETAIL-INPUT'!AA31</f>
        <v>0</v>
      </c>
      <c r="AB32" s="183">
        <f>'ADJ DETAIL-INPUT'!AB31</f>
        <v>0</v>
      </c>
      <c r="AC32" s="183">
        <f>'ADJ DETAIL-INPUT'!AC31</f>
        <v>0</v>
      </c>
      <c r="AD32" s="183">
        <f>'ADJ DETAIL-INPUT'!AE31</f>
        <v>0</v>
      </c>
      <c r="AE32" s="183">
        <f>'ADJ DETAIL-INPUT'!AF31</f>
        <v>0</v>
      </c>
      <c r="AF32" s="183">
        <f>'ADJ DETAIL-INPUT'!AG31</f>
        <v>0</v>
      </c>
      <c r="AG32" s="183">
        <f>'ADJ DETAIL-INPUT'!AH31</f>
        <v>0</v>
      </c>
      <c r="AH32" s="183">
        <f>'ADJ DETAIL-INPUT'!AI31</f>
        <v>0</v>
      </c>
      <c r="AI32" s="183">
        <f>'ADJ DETAIL-INPUT'!AJ31</f>
        <v>0</v>
      </c>
      <c r="AJ32" s="183">
        <f>'ADJ DETAIL-INPUT'!AK31</f>
        <v>0</v>
      </c>
      <c r="AK32" s="183">
        <f>'ADJ DETAIL-INPUT'!AL31</f>
        <v>0</v>
      </c>
      <c r="AL32" s="183">
        <f>'ADJ DETAIL-INPUT'!AM31</f>
        <v>0</v>
      </c>
      <c r="AM32" s="183">
        <f>'ADJ DETAIL-INPUT'!AN31</f>
        <v>0</v>
      </c>
      <c r="AN32" s="183">
        <f>'ADJ DETAIL-INPUT'!AO31</f>
        <v>0</v>
      </c>
      <c r="AO32" s="183">
        <f>'ADJ DETAIL-INPUT'!AP31</f>
        <v>0</v>
      </c>
      <c r="AP32" s="183">
        <f>'ADJ DETAIL-INPUT'!AQ31</f>
        <v>0</v>
      </c>
      <c r="AQ32" s="183">
        <f>'ADJ DETAIL-INPUT'!AR31</f>
        <v>0</v>
      </c>
      <c r="AR32" s="183">
        <f>'ADJ DETAIL-INPUT'!AS31</f>
        <v>0</v>
      </c>
      <c r="AS32" s="183">
        <f>'ADJ DETAIL-INPUT'!AT31</f>
        <v>0</v>
      </c>
      <c r="AT32" s="183">
        <f>'ADJ DETAIL-INPUT'!AU31</f>
        <v>1582.6</v>
      </c>
      <c r="AU32" s="183">
        <f>'ADJ DETAIL-INPUT'!AV31</f>
        <v>-634.9</v>
      </c>
      <c r="AV32" s="183">
        <f>'ADJ DETAIL-INPUT'!AW31</f>
        <v>3131</v>
      </c>
      <c r="AW32" s="183">
        <f>'ADJ DETAIL-INPUT'!AX31</f>
        <v>0</v>
      </c>
      <c r="AX32" s="183">
        <f>'ADJ DETAIL-INPUT'!AY31</f>
        <v>0</v>
      </c>
      <c r="AY32" s="183">
        <f>'ADJ DETAIL-INPUT'!AZ31</f>
        <v>0</v>
      </c>
      <c r="AZ32" s="183">
        <f>'ADJ DETAIL-INPUT'!BA31</f>
        <v>0</v>
      </c>
      <c r="BA32" s="183">
        <f>'ADJ DETAIL-INPUT'!BB31</f>
        <v>0</v>
      </c>
      <c r="BB32" s="183">
        <f>'ADJ DETAIL-INPUT'!BC31</f>
        <v>0</v>
      </c>
      <c r="BC32" s="183">
        <f>'ADJ DETAIL-INPUT'!BD31</f>
        <v>0</v>
      </c>
      <c r="BD32" s="183">
        <f>'ADJ DETAIL-INPUT'!BE31</f>
        <v>2488</v>
      </c>
      <c r="BE32" s="183">
        <f>'ADJ DETAIL-INPUT'!BF31</f>
        <v>0</v>
      </c>
      <c r="BF32" s="183">
        <f>'ADJ DETAIL-INPUT'!BG31</f>
        <v>0</v>
      </c>
      <c r="BG32" s="183">
        <f>'ADJ DETAIL-INPUT'!BH31</f>
        <v>0</v>
      </c>
      <c r="BH32" s="183">
        <f>'ADJ DETAIL-INPUT'!BI31</f>
        <v>0</v>
      </c>
      <c r="BI32" s="183">
        <f>'ADJ DETAIL-INPUT'!BJ31</f>
        <v>0</v>
      </c>
      <c r="BJ32" s="183">
        <f>'ADJ DETAIL-INPUT'!BK31</f>
        <v>0</v>
      </c>
      <c r="BK32" s="183">
        <f>'ADJ DETAIL-INPUT'!BN31</f>
        <v>0</v>
      </c>
      <c r="BL32" s="183">
        <f>'ADJ DETAIL-INPUT'!BO31</f>
        <v>0</v>
      </c>
      <c r="BM32" s="183">
        <f>'ADJ DETAIL-INPUT'!BP31</f>
        <v>0</v>
      </c>
      <c r="BN32" s="183">
        <f>'ADJ DETAIL-INPUT'!BQ31</f>
        <v>0</v>
      </c>
      <c r="BO32" s="183">
        <f>'ADJ DETAIL-INPUT'!BR31</f>
        <v>0</v>
      </c>
      <c r="BP32" s="183">
        <f>'ADJ DETAIL-INPUT'!BS31</f>
        <v>0</v>
      </c>
      <c r="BQ32" s="183">
        <f>'ADJ DETAIL-INPUT'!BT31</f>
        <v>0</v>
      </c>
      <c r="BR32" s="183">
        <f>'ADJ DETAIL-INPUT'!BU31</f>
        <v>0</v>
      </c>
      <c r="BS32" s="183">
        <f>'ADJ DETAIL-INPUT'!BV31</f>
        <v>2519</v>
      </c>
      <c r="BT32" s="183">
        <f>'ADJ DETAIL-INPUT'!BW31</f>
        <v>0</v>
      </c>
      <c r="BU32" s="183">
        <f>'ADJ DETAIL-INPUT'!BX31</f>
        <v>0</v>
      </c>
      <c r="BV32" s="183">
        <f>'ADJ DETAIL-INPUT'!BY31</f>
        <v>0</v>
      </c>
      <c r="BW32" s="183">
        <f>'ADJ DETAIL-INPUT'!BZ31</f>
        <v>0</v>
      </c>
      <c r="BX32" s="183">
        <f>'ADJ DETAIL-INPUT'!CA31</f>
        <v>0</v>
      </c>
      <c r="BY32" s="183">
        <f>'ADJ DETAIL-INPUT'!CB31</f>
        <v>0</v>
      </c>
    </row>
    <row r="33" spans="1:77" s="178" customFormat="1">
      <c r="A33" s="176" t="str">
        <f>'ADJ DETAIL-INPUT'!A32</f>
        <v>14a</v>
      </c>
      <c r="C33" s="178" t="str">
        <f>'ADJ DETAIL-INPUT'!C32</f>
        <v>Regulatory Amortization</v>
      </c>
      <c r="E33" s="178">
        <f>'ADJ DETAIL-INPUT'!E32</f>
        <v>0</v>
      </c>
      <c r="F33" s="183">
        <f>'ADJ DETAIL-INPUT'!F32</f>
        <v>0</v>
      </c>
      <c r="G33" s="183">
        <f>'ADJ DETAIL-INPUT'!G32</f>
        <v>0</v>
      </c>
      <c r="H33" s="183">
        <f>'ADJ DETAIL-INPUT'!H32</f>
        <v>0</v>
      </c>
      <c r="I33" s="183">
        <f>'ADJ DETAIL-INPUT'!I32</f>
        <v>0</v>
      </c>
      <c r="J33" s="183">
        <f>'ADJ DETAIL-INPUT'!J32</f>
        <v>0</v>
      </c>
      <c r="K33" s="183">
        <f>'ADJ DETAIL-INPUT'!K32</f>
        <v>0</v>
      </c>
      <c r="L33" s="183">
        <f>'ADJ DETAIL-INPUT'!L32</f>
        <v>0</v>
      </c>
      <c r="M33" s="183">
        <f>'ADJ DETAIL-INPUT'!M32</f>
        <v>0</v>
      </c>
      <c r="N33" s="183">
        <f>'ADJ DETAIL-INPUT'!N32</f>
        <v>0</v>
      </c>
      <c r="O33" s="183">
        <f>'ADJ DETAIL-INPUT'!O32</f>
        <v>0</v>
      </c>
      <c r="P33" s="183">
        <f>'ADJ DETAIL-INPUT'!P32</f>
        <v>0</v>
      </c>
      <c r="Q33" s="183">
        <f>'ADJ DETAIL-INPUT'!Q32</f>
        <v>0</v>
      </c>
      <c r="R33" s="183">
        <f>'ADJ DETAIL-INPUT'!R32</f>
        <v>0</v>
      </c>
      <c r="S33" s="183">
        <f>'ADJ DETAIL-INPUT'!S32</f>
        <v>0</v>
      </c>
      <c r="T33" s="183">
        <f>'ADJ DETAIL-INPUT'!T32</f>
        <v>0</v>
      </c>
      <c r="U33" s="183">
        <f>'ADJ DETAIL-INPUT'!U32</f>
        <v>0</v>
      </c>
      <c r="V33" s="183">
        <f>'ADJ DETAIL-INPUT'!V32</f>
        <v>0</v>
      </c>
      <c r="W33" s="183">
        <f>'ADJ DETAIL-INPUT'!W32</f>
        <v>0</v>
      </c>
      <c r="X33" s="183">
        <f>'ADJ DETAIL-INPUT'!X32</f>
        <v>0</v>
      </c>
      <c r="Y33" s="183">
        <f>'ADJ DETAIL-INPUT'!Y32</f>
        <v>0</v>
      </c>
      <c r="Z33" s="183">
        <f>'ADJ DETAIL-INPUT'!Z32</f>
        <v>0</v>
      </c>
      <c r="AA33" s="183">
        <f>'ADJ DETAIL-INPUT'!AA32</f>
        <v>0</v>
      </c>
      <c r="AB33" s="183">
        <f>'ADJ DETAIL-INPUT'!AB32</f>
        <v>0</v>
      </c>
      <c r="AC33" s="183">
        <f>'ADJ DETAIL-INPUT'!AC32</f>
        <v>0</v>
      </c>
      <c r="AD33" s="183">
        <f>'ADJ DETAIL-INPUT'!AE32</f>
        <v>0</v>
      </c>
      <c r="AE33" s="183">
        <f>'ADJ DETAIL-INPUT'!AF32</f>
        <v>0</v>
      </c>
      <c r="AF33" s="183">
        <f>'ADJ DETAIL-INPUT'!AG32</f>
        <v>0</v>
      </c>
      <c r="AG33" s="183">
        <f>'ADJ DETAIL-INPUT'!AH32</f>
        <v>0</v>
      </c>
      <c r="AH33" s="183">
        <f>'ADJ DETAIL-INPUT'!AI32</f>
        <v>0</v>
      </c>
      <c r="AI33" s="183">
        <f>'ADJ DETAIL-INPUT'!AJ32</f>
        <v>0</v>
      </c>
      <c r="AJ33" s="183">
        <f>'ADJ DETAIL-INPUT'!AK32</f>
        <v>0</v>
      </c>
      <c r="AK33" s="183">
        <f>'ADJ DETAIL-INPUT'!AL32</f>
        <v>0</v>
      </c>
      <c r="AL33" s="183">
        <f>'ADJ DETAIL-INPUT'!AM32</f>
        <v>0</v>
      </c>
      <c r="AM33" s="183">
        <f>'ADJ DETAIL-INPUT'!AN32</f>
        <v>0</v>
      </c>
      <c r="AN33" s="183">
        <f>'ADJ DETAIL-INPUT'!AO32</f>
        <v>0</v>
      </c>
      <c r="AO33" s="183">
        <f>'ADJ DETAIL-INPUT'!AP32</f>
        <v>0</v>
      </c>
      <c r="AP33" s="183">
        <f>'ADJ DETAIL-INPUT'!AQ32</f>
        <v>0</v>
      </c>
      <c r="AQ33" s="183">
        <f>'ADJ DETAIL-INPUT'!AR32</f>
        <v>0</v>
      </c>
      <c r="AR33" s="183">
        <f>'ADJ DETAIL-INPUT'!AS32</f>
        <v>0</v>
      </c>
      <c r="AS33" s="183">
        <f>'ADJ DETAIL-INPUT'!AT32</f>
        <v>0</v>
      </c>
      <c r="AT33" s="183">
        <f>'ADJ DETAIL-INPUT'!AU32</f>
        <v>0</v>
      </c>
      <c r="AU33" s="183">
        <f>'ADJ DETAIL-INPUT'!AV32</f>
        <v>0</v>
      </c>
      <c r="AV33" s="183">
        <f>'ADJ DETAIL-INPUT'!AW32</f>
        <v>0</v>
      </c>
      <c r="AW33" s="183">
        <f>'ADJ DETAIL-INPUT'!AX32</f>
        <v>0</v>
      </c>
      <c r="AX33" s="183">
        <f>'ADJ DETAIL-INPUT'!AY32</f>
        <v>0</v>
      </c>
      <c r="AY33" s="183">
        <f>'ADJ DETAIL-INPUT'!AZ32</f>
        <v>0</v>
      </c>
      <c r="AZ33" s="183">
        <f>'ADJ DETAIL-INPUT'!BA32</f>
        <v>132</v>
      </c>
      <c r="BA33" s="183">
        <f>'ADJ DETAIL-INPUT'!BB32</f>
        <v>0</v>
      </c>
      <c r="BB33" s="183">
        <f>'ADJ DETAIL-INPUT'!BC32</f>
        <v>0</v>
      </c>
      <c r="BC33" s="183">
        <f>'ADJ DETAIL-INPUT'!BD32</f>
        <v>0</v>
      </c>
      <c r="BD33" s="183">
        <f>'ADJ DETAIL-INPUT'!BE32</f>
        <v>0</v>
      </c>
      <c r="BE33" s="183">
        <f>'ADJ DETAIL-INPUT'!BF32</f>
        <v>0</v>
      </c>
      <c r="BF33" s="183">
        <f>'ADJ DETAIL-INPUT'!BG32</f>
        <v>0</v>
      </c>
      <c r="BG33" s="183">
        <f>'ADJ DETAIL-INPUT'!BH32</f>
        <v>0</v>
      </c>
      <c r="BH33" s="183">
        <f>'ADJ DETAIL-INPUT'!BI32</f>
        <v>0</v>
      </c>
      <c r="BI33" s="183">
        <f>'ADJ DETAIL-INPUT'!BJ32</f>
        <v>0</v>
      </c>
      <c r="BJ33" s="183">
        <f>'ADJ DETAIL-INPUT'!BK32</f>
        <v>0</v>
      </c>
      <c r="BK33" s="183">
        <f>'ADJ DETAIL-INPUT'!BN32</f>
        <v>0</v>
      </c>
      <c r="BL33" s="183">
        <f>'ADJ DETAIL-INPUT'!BO32</f>
        <v>0</v>
      </c>
      <c r="BM33" s="183">
        <f>'ADJ DETAIL-INPUT'!BP32</f>
        <v>0</v>
      </c>
      <c r="BN33" s="183">
        <f>'ADJ DETAIL-INPUT'!BQ32</f>
        <v>0</v>
      </c>
      <c r="BO33" s="183">
        <f>'ADJ DETAIL-INPUT'!BR32</f>
        <v>0</v>
      </c>
      <c r="BP33" s="183">
        <f>'ADJ DETAIL-INPUT'!BS32</f>
        <v>0</v>
      </c>
      <c r="BQ33" s="183">
        <f>'ADJ DETAIL-INPUT'!BT32</f>
        <v>0</v>
      </c>
      <c r="BR33" s="183">
        <f>'ADJ DETAIL-INPUT'!BU32</f>
        <v>0</v>
      </c>
      <c r="BS33" s="183">
        <f>'ADJ DETAIL-INPUT'!BV32</f>
        <v>0</v>
      </c>
      <c r="BT33" s="183">
        <f>'ADJ DETAIL-INPUT'!BW32</f>
        <v>0</v>
      </c>
      <c r="BU33" s="183">
        <f>'ADJ DETAIL-INPUT'!BX32</f>
        <v>0</v>
      </c>
      <c r="BV33" s="183">
        <f>'ADJ DETAIL-INPUT'!BY32</f>
        <v>36</v>
      </c>
      <c r="BW33" s="183">
        <f>'ADJ DETAIL-INPUT'!BZ32</f>
        <v>0</v>
      </c>
      <c r="BX33" s="183">
        <f>'ADJ DETAIL-INPUT'!CA32</f>
        <v>0</v>
      </c>
      <c r="BY33" s="183">
        <f>'ADJ DETAIL-INPUT'!CB32</f>
        <v>0</v>
      </c>
    </row>
    <row r="34" spans="1:77" s="178" customFormat="1">
      <c r="A34" s="176">
        <f>'ADJ DETAIL-INPUT'!A33</f>
        <v>15</v>
      </c>
      <c r="C34" s="178" t="str">
        <f>'ADJ DETAIL-INPUT'!C33</f>
        <v xml:space="preserve">Taxes  </v>
      </c>
      <c r="E34" s="307">
        <f>'ADJ DETAIL-INPUT'!E33</f>
        <v>50732</v>
      </c>
      <c r="F34" s="186">
        <f>'ADJ DETAIL-INPUT'!F33</f>
        <v>0</v>
      </c>
      <c r="G34" s="186">
        <f>'ADJ DETAIL-INPUT'!G33</f>
        <v>0</v>
      </c>
      <c r="H34" s="186">
        <f>'ADJ DETAIL-INPUT'!H33</f>
        <v>0</v>
      </c>
      <c r="I34" s="186">
        <f>'ADJ DETAIL-INPUT'!I33</f>
        <v>-886</v>
      </c>
      <c r="J34" s="186">
        <f>'ADJ DETAIL-INPUT'!J33</f>
        <v>-20759</v>
      </c>
      <c r="K34" s="186">
        <f>'ADJ DETAIL-INPUT'!K33</f>
        <v>651</v>
      </c>
      <c r="L34" s="186">
        <f>'ADJ DETAIL-INPUT'!L33</f>
        <v>0</v>
      </c>
      <c r="M34" s="186">
        <f>'ADJ DETAIL-INPUT'!M33</f>
        <v>0</v>
      </c>
      <c r="N34" s="186">
        <f>'ADJ DETAIL-INPUT'!N33</f>
        <v>0</v>
      </c>
      <c r="O34" s="186">
        <f>'ADJ DETAIL-INPUT'!O33</f>
        <v>0</v>
      </c>
      <c r="P34" s="186">
        <f>'ADJ DETAIL-INPUT'!P33</f>
        <v>0</v>
      </c>
      <c r="Q34" s="186">
        <f>'ADJ DETAIL-INPUT'!Q33</f>
        <v>-58</v>
      </c>
      <c r="R34" s="186">
        <f>'ADJ DETAIL-INPUT'!R33</f>
        <v>0</v>
      </c>
      <c r="S34" s="186">
        <f>'ADJ DETAIL-INPUT'!S33</f>
        <v>-397</v>
      </c>
      <c r="T34" s="186">
        <f>'ADJ DETAIL-INPUT'!T33</f>
        <v>346</v>
      </c>
      <c r="U34" s="186">
        <f>'ADJ DETAIL-INPUT'!U33</f>
        <v>0</v>
      </c>
      <c r="V34" s="186">
        <f>'ADJ DETAIL-INPUT'!V33</f>
        <v>0</v>
      </c>
      <c r="W34" s="186">
        <f>'ADJ DETAIL-INPUT'!W33</f>
        <v>0</v>
      </c>
      <c r="X34" s="186">
        <f>'ADJ DETAIL-INPUT'!X33</f>
        <v>0</v>
      </c>
      <c r="Y34" s="186">
        <f>'ADJ DETAIL-INPUT'!Y33</f>
        <v>139</v>
      </c>
      <c r="Z34" s="186">
        <f>'ADJ DETAIL-INPUT'!Z33</f>
        <v>0</v>
      </c>
      <c r="AA34" s="186">
        <f>'ADJ DETAIL-INPUT'!AA33</f>
        <v>0</v>
      </c>
      <c r="AB34" s="186">
        <f>'ADJ DETAIL-INPUT'!AB33</f>
        <v>0</v>
      </c>
      <c r="AC34" s="186">
        <f>'ADJ DETAIL-INPUT'!AC33</f>
        <v>0</v>
      </c>
      <c r="AD34" s="186">
        <f>'ADJ DETAIL-INPUT'!AE33</f>
        <v>0</v>
      </c>
      <c r="AE34" s="186">
        <f>'ADJ DETAIL-INPUT'!AF33</f>
        <v>0</v>
      </c>
      <c r="AF34" s="186">
        <f>'ADJ DETAIL-INPUT'!AG33</f>
        <v>1175</v>
      </c>
      <c r="AG34" s="186">
        <f>'ADJ DETAIL-INPUT'!AH33</f>
        <v>0</v>
      </c>
      <c r="AH34" s="186">
        <f>'ADJ DETAIL-INPUT'!AI33</f>
        <v>0</v>
      </c>
      <c r="AI34" s="186">
        <f>'ADJ DETAIL-INPUT'!AJ33</f>
        <v>0</v>
      </c>
      <c r="AJ34" s="186">
        <f>'ADJ DETAIL-INPUT'!AK33</f>
        <v>0</v>
      </c>
      <c r="AK34" s="186">
        <f>'ADJ DETAIL-INPUT'!AL33</f>
        <v>0</v>
      </c>
      <c r="AL34" s="186">
        <f>'ADJ DETAIL-INPUT'!AM33</f>
        <v>0</v>
      </c>
      <c r="AM34" s="186">
        <f>'ADJ DETAIL-INPUT'!AN33</f>
        <v>0</v>
      </c>
      <c r="AN34" s="186">
        <f>'ADJ DETAIL-INPUT'!AO33</f>
        <v>0</v>
      </c>
      <c r="AO34" s="186">
        <f>'ADJ DETAIL-INPUT'!AP33</f>
        <v>0</v>
      </c>
      <c r="AP34" s="186">
        <f>'ADJ DETAIL-INPUT'!AQ33</f>
        <v>599</v>
      </c>
      <c r="AQ34" s="186">
        <f>'ADJ DETAIL-INPUT'!AR33</f>
        <v>0</v>
      </c>
      <c r="AR34" s="186">
        <f>'ADJ DETAIL-INPUT'!AS33</f>
        <v>0</v>
      </c>
      <c r="AS34" s="186">
        <f>'ADJ DETAIL-INPUT'!AT33</f>
        <v>0</v>
      </c>
      <c r="AT34" s="186">
        <f>'ADJ DETAIL-INPUT'!AU33</f>
        <v>0</v>
      </c>
      <c r="AU34" s="186">
        <f>'ADJ DETAIL-INPUT'!AV33</f>
        <v>0</v>
      </c>
      <c r="AV34" s="186">
        <f>'ADJ DETAIL-INPUT'!AW33</f>
        <v>0</v>
      </c>
      <c r="AW34" s="186">
        <f>'ADJ DETAIL-INPUT'!AX33</f>
        <v>0</v>
      </c>
      <c r="AX34" s="186">
        <f>'ADJ DETAIL-INPUT'!AY33</f>
        <v>0</v>
      </c>
      <c r="AY34" s="186">
        <f>'ADJ DETAIL-INPUT'!AZ33</f>
        <v>0</v>
      </c>
      <c r="AZ34" s="186">
        <f>'ADJ DETAIL-INPUT'!BA33</f>
        <v>0</v>
      </c>
      <c r="BA34" s="186">
        <f>'ADJ DETAIL-INPUT'!BB33</f>
        <v>0</v>
      </c>
      <c r="BB34" s="186">
        <f>'ADJ DETAIL-INPUT'!BC33</f>
        <v>0</v>
      </c>
      <c r="BC34" s="186">
        <f>'ADJ DETAIL-INPUT'!BD33</f>
        <v>0</v>
      </c>
      <c r="BD34" s="186">
        <f>'ADJ DETAIL-INPUT'!BE33</f>
        <v>0</v>
      </c>
      <c r="BE34" s="186">
        <f>'ADJ DETAIL-INPUT'!BF33</f>
        <v>0</v>
      </c>
      <c r="BF34" s="186">
        <f>'ADJ DETAIL-INPUT'!BG33</f>
        <v>0</v>
      </c>
      <c r="BG34" s="186">
        <f>'ADJ DETAIL-INPUT'!BH33</f>
        <v>0</v>
      </c>
      <c r="BH34" s="186">
        <f>'ADJ DETAIL-INPUT'!BI33</f>
        <v>0</v>
      </c>
      <c r="BI34" s="186">
        <f>'ADJ DETAIL-INPUT'!BJ33</f>
        <v>0</v>
      </c>
      <c r="BJ34" s="186">
        <f>'ADJ DETAIL-INPUT'!BK33</f>
        <v>0</v>
      </c>
      <c r="BK34" s="186">
        <f>'ADJ DETAIL-INPUT'!BN33</f>
        <v>0</v>
      </c>
      <c r="BL34" s="186">
        <f>'ADJ DETAIL-INPUT'!BO33</f>
        <v>0</v>
      </c>
      <c r="BM34" s="186">
        <f>'ADJ DETAIL-INPUT'!BP33</f>
        <v>0</v>
      </c>
      <c r="BN34" s="186">
        <f>'ADJ DETAIL-INPUT'!BQ33</f>
        <v>0</v>
      </c>
      <c r="BO34" s="186">
        <f>'ADJ DETAIL-INPUT'!BR33</f>
        <v>0</v>
      </c>
      <c r="BP34" s="186">
        <f>'ADJ DETAIL-INPUT'!BS33</f>
        <v>557</v>
      </c>
      <c r="BQ34" s="186">
        <f>'ADJ DETAIL-INPUT'!BT33</f>
        <v>0</v>
      </c>
      <c r="BR34" s="186">
        <f>'ADJ DETAIL-INPUT'!BU33</f>
        <v>0</v>
      </c>
      <c r="BS34" s="186">
        <f>'ADJ DETAIL-INPUT'!BV33</f>
        <v>0</v>
      </c>
      <c r="BT34" s="186">
        <f>'ADJ DETAIL-INPUT'!BW33</f>
        <v>0</v>
      </c>
      <c r="BU34" s="186">
        <f>'ADJ DETAIL-INPUT'!BX33</f>
        <v>0</v>
      </c>
      <c r="BV34" s="186">
        <f>'ADJ DETAIL-INPUT'!BY33</f>
        <v>0</v>
      </c>
      <c r="BW34" s="186">
        <f>'ADJ DETAIL-INPUT'!BZ33</f>
        <v>0</v>
      </c>
      <c r="BX34" s="186">
        <f>'ADJ DETAIL-INPUT'!CA33</f>
        <v>0</v>
      </c>
      <c r="BY34" s="186">
        <f>'ADJ DETAIL-INPUT'!CB33</f>
        <v>0</v>
      </c>
    </row>
    <row r="35" spans="1:77" s="178" customFormat="1">
      <c r="A35" s="176">
        <f>'ADJ DETAIL-INPUT'!A34</f>
        <v>16</v>
      </c>
      <c r="B35" s="178" t="str">
        <f>'ADJ DETAIL-INPUT'!B34</f>
        <v xml:space="preserve">Total Distribution  </v>
      </c>
      <c r="E35" s="178">
        <f>'ADJ DETAIL-INPUT'!E34</f>
        <v>124526.5</v>
      </c>
      <c r="F35" s="183">
        <f>'ADJ DETAIL-INPUT'!F34</f>
        <v>0</v>
      </c>
      <c r="G35" s="183">
        <f>'ADJ DETAIL-INPUT'!G34</f>
        <v>0</v>
      </c>
      <c r="H35" s="183">
        <f>'ADJ DETAIL-INPUT'!H34</f>
        <v>0</v>
      </c>
      <c r="I35" s="183">
        <f>'ADJ DETAIL-INPUT'!I34</f>
        <v>-886</v>
      </c>
      <c r="J35" s="183">
        <f>'ADJ DETAIL-INPUT'!J34</f>
        <v>-20759</v>
      </c>
      <c r="K35" s="183">
        <f>'ADJ DETAIL-INPUT'!K34</f>
        <v>651</v>
      </c>
      <c r="L35" s="183">
        <f>'ADJ DETAIL-INPUT'!L34</f>
        <v>0</v>
      </c>
      <c r="M35" s="183">
        <f>'ADJ DETAIL-INPUT'!M34</f>
        <v>0</v>
      </c>
      <c r="N35" s="183">
        <f>'ADJ DETAIL-INPUT'!N34</f>
        <v>0</v>
      </c>
      <c r="O35" s="183">
        <f>'ADJ DETAIL-INPUT'!O34</f>
        <v>0</v>
      </c>
      <c r="P35" s="183">
        <f>'ADJ DETAIL-INPUT'!P34</f>
        <v>0</v>
      </c>
      <c r="Q35" s="183">
        <f>'ADJ DETAIL-INPUT'!Q34</f>
        <v>-58</v>
      </c>
      <c r="R35" s="183">
        <f>'ADJ DETAIL-INPUT'!R34</f>
        <v>-68</v>
      </c>
      <c r="S35" s="183">
        <f>'ADJ DETAIL-INPUT'!S34</f>
        <v>-397</v>
      </c>
      <c r="T35" s="183">
        <f>'ADJ DETAIL-INPUT'!T34</f>
        <v>346</v>
      </c>
      <c r="U35" s="183">
        <f>'ADJ DETAIL-INPUT'!U34</f>
        <v>-4</v>
      </c>
      <c r="V35" s="183">
        <f>'ADJ DETAIL-INPUT'!V34</f>
        <v>0</v>
      </c>
      <c r="W35" s="183">
        <f>'ADJ DETAIL-INPUT'!W34</f>
        <v>0</v>
      </c>
      <c r="X35" s="183">
        <f>'ADJ DETAIL-INPUT'!X34</f>
        <v>0</v>
      </c>
      <c r="Y35" s="183">
        <f>'ADJ DETAIL-INPUT'!Y34</f>
        <v>139</v>
      </c>
      <c r="Z35" s="183">
        <f>'ADJ DETAIL-INPUT'!Z34</f>
        <v>0</v>
      </c>
      <c r="AA35" s="183">
        <f>'ADJ DETAIL-INPUT'!AA34</f>
        <v>0</v>
      </c>
      <c r="AB35" s="183">
        <f>'ADJ DETAIL-INPUT'!AB34</f>
        <v>0</v>
      </c>
      <c r="AC35" s="183">
        <f>'ADJ DETAIL-INPUT'!AC34</f>
        <v>0</v>
      </c>
      <c r="AD35" s="183">
        <f>'ADJ DETAIL-INPUT'!AE34</f>
        <v>0</v>
      </c>
      <c r="AE35" s="183">
        <f>'ADJ DETAIL-INPUT'!AF34</f>
        <v>0</v>
      </c>
      <c r="AF35" s="183">
        <f>'ADJ DETAIL-INPUT'!AG34</f>
        <v>1175</v>
      </c>
      <c r="AG35" s="183">
        <f>'ADJ DETAIL-INPUT'!AH34</f>
        <v>0</v>
      </c>
      <c r="AH35" s="183">
        <f>'ADJ DETAIL-INPUT'!AI34</f>
        <v>0</v>
      </c>
      <c r="AI35" s="183">
        <f>'ADJ DETAIL-INPUT'!AJ34</f>
        <v>0</v>
      </c>
      <c r="AJ35" s="183">
        <f>'ADJ DETAIL-INPUT'!AK34</f>
        <v>1506.5</v>
      </c>
      <c r="AK35" s="183">
        <f>'ADJ DETAIL-INPUT'!AL34</f>
        <v>0</v>
      </c>
      <c r="AL35" s="183">
        <f>'ADJ DETAIL-INPUT'!AM34</f>
        <v>30.3</v>
      </c>
      <c r="AM35" s="183">
        <f>'ADJ DETAIL-INPUT'!AN34</f>
        <v>0</v>
      </c>
      <c r="AN35" s="183">
        <f>'ADJ DETAIL-INPUT'!AO34</f>
        <v>0</v>
      </c>
      <c r="AO35" s="183">
        <f>'ADJ DETAIL-INPUT'!AP34</f>
        <v>0</v>
      </c>
      <c r="AP35" s="183">
        <f>'ADJ DETAIL-INPUT'!AQ34</f>
        <v>599</v>
      </c>
      <c r="AQ35" s="183">
        <f>'ADJ DETAIL-INPUT'!AR34</f>
        <v>0</v>
      </c>
      <c r="AR35" s="183">
        <f>'ADJ DETAIL-INPUT'!AS34</f>
        <v>0</v>
      </c>
      <c r="AS35" s="183">
        <f>'ADJ DETAIL-INPUT'!AT34</f>
        <v>1828.077</v>
      </c>
      <c r="AT35" s="183">
        <f>'ADJ DETAIL-INPUT'!AU34</f>
        <v>1582.6</v>
      </c>
      <c r="AU35" s="183">
        <f>'ADJ DETAIL-INPUT'!AV34</f>
        <v>-634.9</v>
      </c>
      <c r="AV35" s="183">
        <f>'ADJ DETAIL-INPUT'!AW34</f>
        <v>3131</v>
      </c>
      <c r="AW35" s="183">
        <f>'ADJ DETAIL-INPUT'!AX34</f>
        <v>0</v>
      </c>
      <c r="AX35" s="183">
        <f>'ADJ DETAIL-INPUT'!AY34</f>
        <v>0</v>
      </c>
      <c r="AY35" s="183">
        <f>'ADJ DETAIL-INPUT'!AZ34</f>
        <v>0</v>
      </c>
      <c r="AZ35" s="183">
        <f>'ADJ DETAIL-INPUT'!BA34</f>
        <v>132</v>
      </c>
      <c r="BA35" s="183">
        <f>'ADJ DETAIL-INPUT'!BB34</f>
        <v>0</v>
      </c>
      <c r="BB35" s="183">
        <f>'ADJ DETAIL-INPUT'!BC34</f>
        <v>0</v>
      </c>
      <c r="BC35" s="183">
        <f>'ADJ DETAIL-INPUT'!BD34</f>
        <v>-2678</v>
      </c>
      <c r="BD35" s="183">
        <f>'ADJ DETAIL-INPUT'!BE34</f>
        <v>2488</v>
      </c>
      <c r="BE35" s="183">
        <f>'ADJ DETAIL-INPUT'!BF34</f>
        <v>-496.21</v>
      </c>
      <c r="BF35" s="183">
        <f>'ADJ DETAIL-INPUT'!BG34</f>
        <v>0</v>
      </c>
      <c r="BG35" s="183">
        <f>'ADJ DETAIL-INPUT'!BH34</f>
        <v>0</v>
      </c>
      <c r="BH35" s="183">
        <f>'ADJ DETAIL-INPUT'!BI34</f>
        <v>0</v>
      </c>
      <c r="BI35" s="183">
        <f>'ADJ DETAIL-INPUT'!BJ34</f>
        <v>0</v>
      </c>
      <c r="BJ35" s="183">
        <f>'ADJ DETAIL-INPUT'!BK34</f>
        <v>0</v>
      </c>
      <c r="BK35" s="183">
        <f>'ADJ DETAIL-INPUT'!BN34</f>
        <v>0</v>
      </c>
      <c r="BL35" s="183">
        <f>'ADJ DETAIL-INPUT'!BO34</f>
        <v>0</v>
      </c>
      <c r="BM35" s="183">
        <f>'ADJ DETAIL-INPUT'!BP34</f>
        <v>0</v>
      </c>
      <c r="BN35" s="183">
        <f>'ADJ DETAIL-INPUT'!BQ34</f>
        <v>631</v>
      </c>
      <c r="BO35" s="183">
        <f>'ADJ DETAIL-INPUT'!BR34</f>
        <v>106.7</v>
      </c>
      <c r="BP35" s="183">
        <f>'ADJ DETAIL-INPUT'!BS34</f>
        <v>557</v>
      </c>
      <c r="BQ35" s="183">
        <f>'ADJ DETAIL-INPUT'!BT34</f>
        <v>0</v>
      </c>
      <c r="BR35" s="183">
        <f>'ADJ DETAIL-INPUT'!BU34</f>
        <v>731.23099999999999</v>
      </c>
      <c r="BS35" s="183">
        <f>'ADJ DETAIL-INPUT'!BV34</f>
        <v>2519</v>
      </c>
      <c r="BT35" s="183">
        <f>'ADJ DETAIL-INPUT'!BW34</f>
        <v>-241.239</v>
      </c>
      <c r="BU35" s="183">
        <f>'ADJ DETAIL-INPUT'!BX34</f>
        <v>0</v>
      </c>
      <c r="BV35" s="183">
        <f>'ADJ DETAIL-INPUT'!BY34</f>
        <v>36</v>
      </c>
      <c r="BW35" s="183">
        <f>'ADJ DETAIL-INPUT'!BZ34</f>
        <v>0</v>
      </c>
      <c r="BX35" s="183">
        <f>'ADJ DETAIL-INPUT'!CA34</f>
        <v>0</v>
      </c>
      <c r="BY35" s="183">
        <f>'ADJ DETAIL-INPUT'!CB34</f>
        <v>0</v>
      </c>
    </row>
    <row r="36" spans="1:77" s="178" customFormat="1" ht="6" customHeight="1">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c r="BG36" s="183"/>
      <c r="BH36" s="183"/>
      <c r="BI36" s="183"/>
      <c r="BJ36" s="183"/>
      <c r="BK36" s="183"/>
      <c r="BL36" s="183"/>
      <c r="BM36" s="183"/>
      <c r="BN36" s="183"/>
      <c r="BO36" s="183"/>
      <c r="BP36" s="183"/>
      <c r="BQ36" s="183"/>
      <c r="BR36" s="183"/>
      <c r="BS36" s="183"/>
      <c r="BT36" s="183"/>
      <c r="BU36" s="183"/>
      <c r="BV36" s="183"/>
      <c r="BW36" s="183"/>
      <c r="BX36" s="183"/>
      <c r="BY36" s="183"/>
    </row>
    <row r="37" spans="1:77" s="178" customFormat="1">
      <c r="A37" s="176">
        <f>'ADJ DETAIL-INPUT'!A36</f>
        <v>17</v>
      </c>
      <c r="B37" s="178" t="str">
        <f>'ADJ DETAIL-INPUT'!B36</f>
        <v xml:space="preserve">Customer Accounting  </v>
      </c>
      <c r="E37" s="178">
        <f>'ADJ DETAIL-INPUT'!E36</f>
        <v>5749</v>
      </c>
      <c r="F37" s="183">
        <f>'ADJ DETAIL-INPUT'!F36</f>
        <v>0</v>
      </c>
      <c r="G37" s="183">
        <f>'ADJ DETAIL-INPUT'!G36</f>
        <v>0</v>
      </c>
      <c r="H37" s="183">
        <f>'ADJ DETAIL-INPUT'!H36</f>
        <v>0</v>
      </c>
      <c r="I37" s="183">
        <f>'ADJ DETAIL-INPUT'!I36</f>
        <v>-114</v>
      </c>
      <c r="J37" s="183">
        <f>'ADJ DETAIL-INPUT'!J36</f>
        <v>0</v>
      </c>
      <c r="K37" s="183">
        <f>'ADJ DETAIL-INPUT'!K36</f>
        <v>0</v>
      </c>
      <c r="L37" s="183">
        <f>'ADJ DETAIL-INPUT'!L36</f>
        <v>912</v>
      </c>
      <c r="M37" s="183">
        <f>'ADJ DETAIL-INPUT'!M36</f>
        <v>0</v>
      </c>
      <c r="N37" s="183">
        <f>'ADJ DETAIL-INPUT'!N36</f>
        <v>0</v>
      </c>
      <c r="O37" s="183">
        <f>'ADJ DETAIL-INPUT'!O36</f>
        <v>0</v>
      </c>
      <c r="P37" s="183">
        <f>'ADJ DETAIL-INPUT'!P36</f>
        <v>0</v>
      </c>
      <c r="Q37" s="183">
        <f>'ADJ DETAIL-INPUT'!Q36</f>
        <v>0</v>
      </c>
      <c r="R37" s="183">
        <f>'ADJ DETAIL-INPUT'!R36</f>
        <v>0</v>
      </c>
      <c r="S37" s="183">
        <f>'ADJ DETAIL-INPUT'!S36</f>
        <v>-51</v>
      </c>
      <c r="T37" s="183">
        <f>'ADJ DETAIL-INPUT'!T36</f>
        <v>44</v>
      </c>
      <c r="U37" s="183">
        <f>'ADJ DETAIL-INPUT'!U36</f>
        <v>0</v>
      </c>
      <c r="V37" s="183">
        <f>'ADJ DETAIL-INPUT'!V36</f>
        <v>0</v>
      </c>
      <c r="W37" s="183">
        <f>'ADJ DETAIL-INPUT'!W36</f>
        <v>0</v>
      </c>
      <c r="X37" s="183">
        <f>'ADJ DETAIL-INPUT'!X36</f>
        <v>0</v>
      </c>
      <c r="Y37" s="183">
        <f>'ADJ DETAIL-INPUT'!Y36</f>
        <v>18</v>
      </c>
      <c r="Z37" s="183">
        <f>'ADJ DETAIL-INPUT'!Z36</f>
        <v>0</v>
      </c>
      <c r="AA37" s="183">
        <f>'ADJ DETAIL-INPUT'!AA36</f>
        <v>0</v>
      </c>
      <c r="AB37" s="183">
        <f>'ADJ DETAIL-INPUT'!AB36</f>
        <v>0</v>
      </c>
      <c r="AC37" s="183">
        <f>'ADJ DETAIL-INPUT'!AC36</f>
        <v>0</v>
      </c>
      <c r="AD37" s="183">
        <f>'ADJ DETAIL-INPUT'!AE36</f>
        <v>0</v>
      </c>
      <c r="AE37" s="183">
        <f>'ADJ DETAIL-INPUT'!AF36</f>
        <v>0</v>
      </c>
      <c r="AF37" s="183">
        <f>'ADJ DETAIL-INPUT'!AG36</f>
        <v>151</v>
      </c>
      <c r="AG37" s="183">
        <f>'ADJ DETAIL-INPUT'!AH36</f>
        <v>0</v>
      </c>
      <c r="AH37" s="183">
        <f>'ADJ DETAIL-INPUT'!AI36</f>
        <v>0</v>
      </c>
      <c r="AI37" s="183">
        <f>'ADJ DETAIL-INPUT'!AJ36</f>
        <v>-1682</v>
      </c>
      <c r="AJ37" s="183">
        <f>'ADJ DETAIL-INPUT'!AK36</f>
        <v>412.9</v>
      </c>
      <c r="AK37" s="183">
        <f>'ADJ DETAIL-INPUT'!AL36</f>
        <v>0</v>
      </c>
      <c r="AL37" s="183">
        <f>'ADJ DETAIL-INPUT'!AM36</f>
        <v>7.9</v>
      </c>
      <c r="AM37" s="183">
        <f>'ADJ DETAIL-INPUT'!AN36</f>
        <v>0</v>
      </c>
      <c r="AN37" s="183">
        <f>'ADJ DETAIL-INPUT'!AO36</f>
        <v>0</v>
      </c>
      <c r="AO37" s="183">
        <f>'ADJ DETAIL-INPUT'!AP36</f>
        <v>0</v>
      </c>
      <c r="AP37" s="183">
        <f>'ADJ DETAIL-INPUT'!AQ36</f>
        <v>0</v>
      </c>
      <c r="AQ37" s="183">
        <f>'ADJ DETAIL-INPUT'!AR36</f>
        <v>0</v>
      </c>
      <c r="AR37" s="183">
        <f>'ADJ DETAIL-INPUT'!AS36</f>
        <v>0</v>
      </c>
      <c r="AS37" s="183">
        <f>'ADJ DETAIL-INPUT'!AT36</f>
        <v>383.82299999999998</v>
      </c>
      <c r="AT37" s="183">
        <f>'ADJ DETAIL-INPUT'!AU36</f>
        <v>0</v>
      </c>
      <c r="AU37" s="183">
        <f>'ADJ DETAIL-INPUT'!AV36</f>
        <v>0</v>
      </c>
      <c r="AV37" s="183">
        <f>'ADJ DETAIL-INPUT'!AW36</f>
        <v>0</v>
      </c>
      <c r="AW37" s="183">
        <f>'ADJ DETAIL-INPUT'!AX36</f>
        <v>0</v>
      </c>
      <c r="AX37" s="183">
        <f>'ADJ DETAIL-INPUT'!AY36</f>
        <v>0</v>
      </c>
      <c r="AY37" s="183">
        <f>'ADJ DETAIL-INPUT'!AZ36</f>
        <v>0</v>
      </c>
      <c r="AZ37" s="183">
        <f>'ADJ DETAIL-INPUT'!BA36</f>
        <v>0</v>
      </c>
      <c r="BA37" s="183">
        <f>'ADJ DETAIL-INPUT'!BB36</f>
        <v>0</v>
      </c>
      <c r="BB37" s="183">
        <f>'ADJ DETAIL-INPUT'!BC36</f>
        <v>0</v>
      </c>
      <c r="BC37" s="183">
        <f>'ADJ DETAIL-INPUT'!BD36</f>
        <v>0</v>
      </c>
      <c r="BD37" s="183">
        <f>'ADJ DETAIL-INPUT'!BE36</f>
        <v>0</v>
      </c>
      <c r="BE37" s="183">
        <f>'ADJ DETAIL-INPUT'!BF36</f>
        <v>0</v>
      </c>
      <c r="BF37" s="183">
        <f>'ADJ DETAIL-INPUT'!BG36</f>
        <v>0</v>
      </c>
      <c r="BG37" s="183">
        <f>'ADJ DETAIL-INPUT'!BH36</f>
        <v>0</v>
      </c>
      <c r="BH37" s="183">
        <f>'ADJ DETAIL-INPUT'!BI36</f>
        <v>0</v>
      </c>
      <c r="BI37" s="183">
        <f>'ADJ DETAIL-INPUT'!BJ36</f>
        <v>0</v>
      </c>
      <c r="BJ37" s="183">
        <f>'ADJ DETAIL-INPUT'!BK36</f>
        <v>0</v>
      </c>
      <c r="BK37" s="183">
        <f>'ADJ DETAIL-INPUT'!BN36</f>
        <v>0</v>
      </c>
      <c r="BL37" s="183">
        <f>'ADJ DETAIL-INPUT'!BO36</f>
        <v>0</v>
      </c>
      <c r="BM37" s="183">
        <f>'ADJ DETAIL-INPUT'!BP36</f>
        <v>0</v>
      </c>
      <c r="BN37" s="183">
        <f>'ADJ DETAIL-INPUT'!BQ36</f>
        <v>160</v>
      </c>
      <c r="BO37" s="183">
        <f>'ADJ DETAIL-INPUT'!BR36</f>
        <v>27.8</v>
      </c>
      <c r="BP37" s="183">
        <f>'ADJ DETAIL-INPUT'!BS36</f>
        <v>0</v>
      </c>
      <c r="BQ37" s="183">
        <f>'ADJ DETAIL-INPUT'!BT36</f>
        <v>0</v>
      </c>
      <c r="BR37" s="183">
        <f>'ADJ DETAIL-INPUT'!BU36</f>
        <v>153.529</v>
      </c>
      <c r="BS37" s="183">
        <f>'ADJ DETAIL-INPUT'!BV36</f>
        <v>0</v>
      </c>
      <c r="BT37" s="183">
        <f>'ADJ DETAIL-INPUT'!BW36</f>
        <v>0</v>
      </c>
      <c r="BU37" s="183">
        <f>'ADJ DETAIL-INPUT'!BX36</f>
        <v>0</v>
      </c>
      <c r="BV37" s="183">
        <f>'ADJ DETAIL-INPUT'!BY36</f>
        <v>0</v>
      </c>
      <c r="BW37" s="183">
        <f>'ADJ DETAIL-INPUT'!BZ36</f>
        <v>0</v>
      </c>
      <c r="BX37" s="183">
        <f>'ADJ DETAIL-INPUT'!CA36</f>
        <v>0</v>
      </c>
      <c r="BY37" s="183">
        <f>'ADJ DETAIL-INPUT'!CB36</f>
        <v>0</v>
      </c>
    </row>
    <row r="38" spans="1:77" s="178" customFormat="1">
      <c r="A38" s="176">
        <f>'ADJ DETAIL-INPUT'!A37</f>
        <v>18</v>
      </c>
      <c r="B38" s="178" t="str">
        <f>'ADJ DETAIL-INPUT'!B37</f>
        <v xml:space="preserve">Customer Service &amp; Information  </v>
      </c>
      <c r="E38" s="178">
        <f>'ADJ DETAIL-INPUT'!E37</f>
        <v>24545</v>
      </c>
      <c r="F38" s="183">
        <f>'ADJ DETAIL-INPUT'!F37</f>
        <v>0</v>
      </c>
      <c r="G38" s="183">
        <f>'ADJ DETAIL-INPUT'!G37</f>
        <v>0</v>
      </c>
      <c r="H38" s="183">
        <f>'ADJ DETAIL-INPUT'!H37</f>
        <v>0</v>
      </c>
      <c r="I38" s="183">
        <f>'ADJ DETAIL-INPUT'!I37</f>
        <v>0</v>
      </c>
      <c r="J38" s="183">
        <f>'ADJ DETAIL-INPUT'!J37</f>
        <v>0</v>
      </c>
      <c r="K38" s="183">
        <f>'ADJ DETAIL-INPUT'!K37</f>
        <v>0</v>
      </c>
      <c r="L38" s="183">
        <f>'ADJ DETAIL-INPUT'!L37</f>
        <v>0</v>
      </c>
      <c r="M38" s="183">
        <f>'ADJ DETAIL-INPUT'!M37</f>
        <v>0</v>
      </c>
      <c r="N38" s="183">
        <f>'ADJ DETAIL-INPUT'!N37</f>
        <v>0</v>
      </c>
      <c r="O38" s="183">
        <f>'ADJ DETAIL-INPUT'!O37</f>
        <v>0</v>
      </c>
      <c r="P38" s="183">
        <f>'ADJ DETAIL-INPUT'!P37</f>
        <v>0</v>
      </c>
      <c r="Q38" s="183">
        <f>'ADJ DETAIL-INPUT'!Q37</f>
        <v>0</v>
      </c>
      <c r="R38" s="183">
        <f>'ADJ DETAIL-INPUT'!R37</f>
        <v>0</v>
      </c>
      <c r="S38" s="183">
        <f>'ADJ DETAIL-INPUT'!S37</f>
        <v>0</v>
      </c>
      <c r="T38" s="183">
        <f>'ADJ DETAIL-INPUT'!T37</f>
        <v>-23128</v>
      </c>
      <c r="U38" s="183">
        <f>'ADJ DETAIL-INPUT'!U37</f>
        <v>1</v>
      </c>
      <c r="V38" s="183">
        <f>'ADJ DETAIL-INPUT'!V37</f>
        <v>0</v>
      </c>
      <c r="W38" s="183">
        <f>'ADJ DETAIL-INPUT'!W37</f>
        <v>0</v>
      </c>
      <c r="X38" s="183">
        <f>'ADJ DETAIL-INPUT'!X37</f>
        <v>0</v>
      </c>
      <c r="Y38" s="183">
        <f>'ADJ DETAIL-INPUT'!Y37</f>
        <v>0</v>
      </c>
      <c r="Z38" s="183">
        <f>'ADJ DETAIL-INPUT'!Z37</f>
        <v>0</v>
      </c>
      <c r="AA38" s="183">
        <f>'ADJ DETAIL-INPUT'!AA37</f>
        <v>0</v>
      </c>
      <c r="AB38" s="183">
        <f>'ADJ DETAIL-INPUT'!AB37</f>
        <v>0</v>
      </c>
      <c r="AC38" s="183">
        <f>'ADJ DETAIL-INPUT'!AC37</f>
        <v>0</v>
      </c>
      <c r="AD38" s="183">
        <f>'ADJ DETAIL-INPUT'!AE37</f>
        <v>0</v>
      </c>
      <c r="AE38" s="183">
        <f>'ADJ DETAIL-INPUT'!AF37</f>
        <v>0</v>
      </c>
      <c r="AF38" s="183">
        <f>'ADJ DETAIL-INPUT'!AG37</f>
        <v>0</v>
      </c>
      <c r="AG38" s="183">
        <f>'ADJ DETAIL-INPUT'!AH37</f>
        <v>0</v>
      </c>
      <c r="AH38" s="183">
        <f>'ADJ DETAIL-INPUT'!AI37</f>
        <v>0</v>
      </c>
      <c r="AI38" s="183">
        <f>'ADJ DETAIL-INPUT'!AJ37</f>
        <v>0</v>
      </c>
      <c r="AJ38" s="183">
        <f>'ADJ DETAIL-INPUT'!AK37</f>
        <v>29</v>
      </c>
      <c r="AK38" s="183">
        <f>'ADJ DETAIL-INPUT'!AL37</f>
        <v>0</v>
      </c>
      <c r="AL38" s="183">
        <f>'ADJ DETAIL-INPUT'!AM37</f>
        <v>1.3</v>
      </c>
      <c r="AM38" s="183">
        <f>'ADJ DETAIL-INPUT'!AN37</f>
        <v>0</v>
      </c>
      <c r="AN38" s="183">
        <f>'ADJ DETAIL-INPUT'!AO37</f>
        <v>262</v>
      </c>
      <c r="AO38" s="183">
        <f>'ADJ DETAIL-INPUT'!AP37</f>
        <v>0</v>
      </c>
      <c r="AP38" s="183">
        <f>'ADJ DETAIL-INPUT'!AQ37</f>
        <v>0</v>
      </c>
      <c r="AQ38" s="183">
        <f>'ADJ DETAIL-INPUT'!AR37</f>
        <v>0</v>
      </c>
      <c r="AR38" s="183">
        <f>'ADJ DETAIL-INPUT'!AS37</f>
        <v>0</v>
      </c>
      <c r="AS38" s="183">
        <f>'ADJ DETAIL-INPUT'!AT37</f>
        <v>184.65299999999999</v>
      </c>
      <c r="AT38" s="183">
        <f>'ADJ DETAIL-INPUT'!AU37</f>
        <v>0</v>
      </c>
      <c r="AU38" s="183">
        <f>'ADJ DETAIL-INPUT'!AV37</f>
        <v>0</v>
      </c>
      <c r="AV38" s="183">
        <f>'ADJ DETAIL-INPUT'!AW37</f>
        <v>0</v>
      </c>
      <c r="AW38" s="183">
        <f>'ADJ DETAIL-INPUT'!AX37</f>
        <v>0</v>
      </c>
      <c r="AX38" s="183">
        <f>'ADJ DETAIL-INPUT'!AY37</f>
        <v>0</v>
      </c>
      <c r="AY38" s="183">
        <f>'ADJ DETAIL-INPUT'!AZ37</f>
        <v>0</v>
      </c>
      <c r="AZ38" s="183">
        <f>'ADJ DETAIL-INPUT'!BA37</f>
        <v>0</v>
      </c>
      <c r="BA38" s="183">
        <f>'ADJ DETAIL-INPUT'!BB37</f>
        <v>0</v>
      </c>
      <c r="BB38" s="183">
        <f>'ADJ DETAIL-INPUT'!BC37</f>
        <v>0</v>
      </c>
      <c r="BC38" s="183">
        <f>'ADJ DETAIL-INPUT'!BD37</f>
        <v>0</v>
      </c>
      <c r="BD38" s="183">
        <f>'ADJ DETAIL-INPUT'!BE37</f>
        <v>0</v>
      </c>
      <c r="BE38" s="183">
        <f>'ADJ DETAIL-INPUT'!BF37</f>
        <v>0</v>
      </c>
      <c r="BF38" s="183">
        <f>'ADJ DETAIL-INPUT'!BG37</f>
        <v>0</v>
      </c>
      <c r="BG38" s="183">
        <f>'ADJ DETAIL-INPUT'!BH37</f>
        <v>0</v>
      </c>
      <c r="BH38" s="183">
        <f>'ADJ DETAIL-INPUT'!BI37</f>
        <v>0</v>
      </c>
      <c r="BI38" s="183">
        <f>'ADJ DETAIL-INPUT'!BJ37</f>
        <v>0</v>
      </c>
      <c r="BJ38" s="183">
        <f>'ADJ DETAIL-INPUT'!BK37</f>
        <v>0</v>
      </c>
      <c r="BK38" s="183">
        <f>'ADJ DETAIL-INPUT'!BN37</f>
        <v>0</v>
      </c>
      <c r="BL38" s="183">
        <f>'ADJ DETAIL-INPUT'!BO37</f>
        <v>0</v>
      </c>
      <c r="BM38" s="183">
        <f>'ADJ DETAIL-INPUT'!BP37</f>
        <v>0</v>
      </c>
      <c r="BN38" s="183">
        <f>'ADJ DETAIL-INPUT'!BQ37</f>
        <v>11</v>
      </c>
      <c r="BO38" s="183">
        <f>'ADJ DETAIL-INPUT'!BR37</f>
        <v>4.5999999999999996</v>
      </c>
      <c r="BP38" s="183">
        <f>'ADJ DETAIL-INPUT'!BS37</f>
        <v>0</v>
      </c>
      <c r="BQ38" s="183">
        <f>'ADJ DETAIL-INPUT'!BT37</f>
        <v>0</v>
      </c>
      <c r="BR38" s="183">
        <f>'ADJ DETAIL-INPUT'!BU37</f>
        <v>73.861000000000004</v>
      </c>
      <c r="BS38" s="183">
        <f>'ADJ DETAIL-INPUT'!BV37</f>
        <v>0</v>
      </c>
      <c r="BT38" s="183">
        <f>'ADJ DETAIL-INPUT'!BW37</f>
        <v>0</v>
      </c>
      <c r="BU38" s="183">
        <f>'ADJ DETAIL-INPUT'!BX37</f>
        <v>0</v>
      </c>
      <c r="BV38" s="183">
        <f>'ADJ DETAIL-INPUT'!BY37</f>
        <v>0</v>
      </c>
      <c r="BW38" s="183">
        <f>'ADJ DETAIL-INPUT'!BZ37</f>
        <v>0</v>
      </c>
      <c r="BX38" s="183">
        <f>'ADJ DETAIL-INPUT'!CA37</f>
        <v>0</v>
      </c>
      <c r="BY38" s="183">
        <f>'ADJ DETAIL-INPUT'!CB37</f>
        <v>0</v>
      </c>
    </row>
    <row r="39" spans="1:77" s="178" customFormat="1">
      <c r="A39" s="176">
        <f>'ADJ DETAIL-INPUT'!A38</f>
        <v>19</v>
      </c>
      <c r="B39" s="178" t="str">
        <f>'ADJ DETAIL-INPUT'!B38</f>
        <v xml:space="preserve">Sales Expenses  </v>
      </c>
      <c r="E39" s="178">
        <f>'ADJ DETAIL-INPUT'!E38</f>
        <v>73</v>
      </c>
      <c r="F39" s="183">
        <f>'ADJ DETAIL-INPUT'!F38</f>
        <v>0</v>
      </c>
      <c r="G39" s="183">
        <f>'ADJ DETAIL-INPUT'!G38</f>
        <v>0</v>
      </c>
      <c r="H39" s="183">
        <f>'ADJ DETAIL-INPUT'!H38</f>
        <v>0</v>
      </c>
      <c r="I39" s="183">
        <f>'ADJ DETAIL-INPUT'!I38</f>
        <v>0</v>
      </c>
      <c r="J39" s="183">
        <f>'ADJ DETAIL-INPUT'!J38</f>
        <v>0</v>
      </c>
      <c r="K39" s="183">
        <f>'ADJ DETAIL-INPUT'!K38</f>
        <v>0</v>
      </c>
      <c r="L39" s="183">
        <f>'ADJ DETAIL-INPUT'!L38</f>
        <v>0</v>
      </c>
      <c r="M39" s="183">
        <f>'ADJ DETAIL-INPUT'!M38</f>
        <v>0</v>
      </c>
      <c r="N39" s="183">
        <f>'ADJ DETAIL-INPUT'!N38</f>
        <v>0</v>
      </c>
      <c r="O39" s="183">
        <f>'ADJ DETAIL-INPUT'!O38</f>
        <v>0</v>
      </c>
      <c r="P39" s="183">
        <f>'ADJ DETAIL-INPUT'!P38</f>
        <v>0</v>
      </c>
      <c r="Q39" s="183">
        <f>'ADJ DETAIL-INPUT'!Q38</f>
        <v>0</v>
      </c>
      <c r="R39" s="183">
        <f>'ADJ DETAIL-INPUT'!R38</f>
        <v>0</v>
      </c>
      <c r="S39" s="183">
        <f>'ADJ DETAIL-INPUT'!S38</f>
        <v>0</v>
      </c>
      <c r="T39" s="183">
        <f>'ADJ DETAIL-INPUT'!T38</f>
        <v>0</v>
      </c>
      <c r="U39" s="183">
        <f>'ADJ DETAIL-INPUT'!U38</f>
        <v>0</v>
      </c>
      <c r="V39" s="183">
        <f>'ADJ DETAIL-INPUT'!V38</f>
        <v>0</v>
      </c>
      <c r="W39" s="183">
        <f>'ADJ DETAIL-INPUT'!W38</f>
        <v>0</v>
      </c>
      <c r="X39" s="183">
        <f>'ADJ DETAIL-INPUT'!X38</f>
        <v>0</v>
      </c>
      <c r="Y39" s="183">
        <f>'ADJ DETAIL-INPUT'!Y38</f>
        <v>0</v>
      </c>
      <c r="Z39" s="183">
        <f>'ADJ DETAIL-INPUT'!Z38</f>
        <v>0</v>
      </c>
      <c r="AA39" s="183">
        <f>'ADJ DETAIL-INPUT'!AA38</f>
        <v>0</v>
      </c>
      <c r="AB39" s="183">
        <f>'ADJ DETAIL-INPUT'!AB38</f>
        <v>0</v>
      </c>
      <c r="AC39" s="183">
        <f>'ADJ DETAIL-INPUT'!AC38</f>
        <v>0</v>
      </c>
      <c r="AD39" s="183">
        <f>'ADJ DETAIL-INPUT'!AE38</f>
        <v>0</v>
      </c>
      <c r="AE39" s="183">
        <f>'ADJ DETAIL-INPUT'!AF38</f>
        <v>0</v>
      </c>
      <c r="AF39" s="183">
        <f>'ADJ DETAIL-INPUT'!AG38</f>
        <v>0</v>
      </c>
      <c r="AG39" s="183">
        <f>'ADJ DETAIL-INPUT'!AH38</f>
        <v>0</v>
      </c>
      <c r="AH39" s="183">
        <f>'ADJ DETAIL-INPUT'!AI38</f>
        <v>0</v>
      </c>
      <c r="AI39" s="183">
        <f>'ADJ DETAIL-INPUT'!AJ38</f>
        <v>0</v>
      </c>
      <c r="AJ39" s="183">
        <f>'ADJ DETAIL-INPUT'!AK38</f>
        <v>0</v>
      </c>
      <c r="AK39" s="183">
        <f>'ADJ DETAIL-INPUT'!AL38</f>
        <v>0</v>
      </c>
      <c r="AL39" s="183">
        <f>'ADJ DETAIL-INPUT'!AM38</f>
        <v>0</v>
      </c>
      <c r="AM39" s="183">
        <f>'ADJ DETAIL-INPUT'!AN38</f>
        <v>0</v>
      </c>
      <c r="AN39" s="183">
        <f>'ADJ DETAIL-INPUT'!AO38</f>
        <v>0</v>
      </c>
      <c r="AO39" s="183">
        <f>'ADJ DETAIL-INPUT'!AP38</f>
        <v>0</v>
      </c>
      <c r="AP39" s="183">
        <f>'ADJ DETAIL-INPUT'!AQ38</f>
        <v>0</v>
      </c>
      <c r="AQ39" s="183">
        <f>'ADJ DETAIL-INPUT'!AR38</f>
        <v>0</v>
      </c>
      <c r="AR39" s="183">
        <f>'ADJ DETAIL-INPUT'!AS38</f>
        <v>0</v>
      </c>
      <c r="AS39" s="183">
        <f>'ADJ DETAIL-INPUT'!AT38</f>
        <v>11.579000000000001</v>
      </c>
      <c r="AT39" s="183">
        <f>'ADJ DETAIL-INPUT'!AU38</f>
        <v>0</v>
      </c>
      <c r="AU39" s="183">
        <f>'ADJ DETAIL-INPUT'!AV38</f>
        <v>0</v>
      </c>
      <c r="AV39" s="183">
        <f>'ADJ DETAIL-INPUT'!AW38</f>
        <v>0</v>
      </c>
      <c r="AW39" s="183">
        <f>'ADJ DETAIL-INPUT'!AX38</f>
        <v>0</v>
      </c>
      <c r="AX39" s="183">
        <f>'ADJ DETAIL-INPUT'!AY38</f>
        <v>0</v>
      </c>
      <c r="AY39" s="183">
        <f>'ADJ DETAIL-INPUT'!AZ38</f>
        <v>0</v>
      </c>
      <c r="AZ39" s="183">
        <f>'ADJ DETAIL-INPUT'!BA38</f>
        <v>0</v>
      </c>
      <c r="BA39" s="183">
        <f>'ADJ DETAIL-INPUT'!BB38</f>
        <v>0</v>
      </c>
      <c r="BB39" s="183">
        <f>'ADJ DETAIL-INPUT'!BC38</f>
        <v>0</v>
      </c>
      <c r="BC39" s="183">
        <f>'ADJ DETAIL-INPUT'!BD38</f>
        <v>0</v>
      </c>
      <c r="BD39" s="183">
        <f>'ADJ DETAIL-INPUT'!BE38</f>
        <v>0</v>
      </c>
      <c r="BE39" s="183">
        <f>'ADJ DETAIL-INPUT'!BF38</f>
        <v>0</v>
      </c>
      <c r="BF39" s="183">
        <f>'ADJ DETAIL-INPUT'!BG38</f>
        <v>0</v>
      </c>
      <c r="BG39" s="183">
        <f>'ADJ DETAIL-INPUT'!BH38</f>
        <v>0</v>
      </c>
      <c r="BH39" s="183">
        <f>'ADJ DETAIL-INPUT'!BI38</f>
        <v>0</v>
      </c>
      <c r="BI39" s="183">
        <f>'ADJ DETAIL-INPUT'!BJ38</f>
        <v>0</v>
      </c>
      <c r="BJ39" s="183">
        <f>'ADJ DETAIL-INPUT'!BK38</f>
        <v>0</v>
      </c>
      <c r="BK39" s="183">
        <f>'ADJ DETAIL-INPUT'!BN38</f>
        <v>0</v>
      </c>
      <c r="BL39" s="183">
        <f>'ADJ DETAIL-INPUT'!BO38</f>
        <v>0</v>
      </c>
      <c r="BM39" s="183">
        <f>'ADJ DETAIL-INPUT'!BP38</f>
        <v>0</v>
      </c>
      <c r="BN39" s="183">
        <f>'ADJ DETAIL-INPUT'!BQ38</f>
        <v>0</v>
      </c>
      <c r="BO39" s="183">
        <f>'ADJ DETAIL-INPUT'!BR38</f>
        <v>0</v>
      </c>
      <c r="BP39" s="183">
        <f>'ADJ DETAIL-INPUT'!BS38</f>
        <v>0</v>
      </c>
      <c r="BQ39" s="183">
        <f>'ADJ DETAIL-INPUT'!BT38</f>
        <v>0</v>
      </c>
      <c r="BR39" s="183">
        <f>'ADJ DETAIL-INPUT'!BU38</f>
        <v>4.6319999999999997</v>
      </c>
      <c r="BS39" s="183">
        <f>'ADJ DETAIL-INPUT'!BV38</f>
        <v>0</v>
      </c>
      <c r="BT39" s="183">
        <f>'ADJ DETAIL-INPUT'!BW38</f>
        <v>0</v>
      </c>
      <c r="BU39" s="183">
        <f>'ADJ DETAIL-INPUT'!BX38</f>
        <v>0</v>
      </c>
      <c r="BV39" s="183">
        <f>'ADJ DETAIL-INPUT'!BY38</f>
        <v>0</v>
      </c>
      <c r="BW39" s="183">
        <f>'ADJ DETAIL-INPUT'!BZ38</f>
        <v>0</v>
      </c>
      <c r="BX39" s="183">
        <f>'ADJ DETAIL-INPUT'!CA38</f>
        <v>0</v>
      </c>
      <c r="BY39" s="183">
        <f>'ADJ DETAIL-INPUT'!CB38</f>
        <v>0</v>
      </c>
    </row>
    <row r="40" spans="1:77" s="178" customFormat="1" ht="6" customHeight="1">
      <c r="A40" s="176"/>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c r="BB40" s="183"/>
      <c r="BC40" s="183"/>
      <c r="BD40" s="183"/>
      <c r="BE40" s="183"/>
      <c r="BF40" s="183"/>
      <c r="BG40" s="183"/>
      <c r="BH40" s="183"/>
      <c r="BI40" s="183"/>
      <c r="BJ40" s="183"/>
      <c r="BK40" s="183"/>
      <c r="BL40" s="183"/>
      <c r="BM40" s="183"/>
      <c r="BN40" s="183"/>
      <c r="BO40" s="183"/>
      <c r="BP40" s="183"/>
      <c r="BQ40" s="183"/>
      <c r="BR40" s="183"/>
      <c r="BS40" s="183"/>
      <c r="BT40" s="183"/>
      <c r="BU40" s="183"/>
      <c r="BV40" s="183"/>
      <c r="BW40" s="183"/>
      <c r="BX40" s="183"/>
      <c r="BY40" s="183"/>
    </row>
    <row r="41" spans="1:77" s="178" customFormat="1">
      <c r="B41" s="178" t="str">
        <f>'ADJ DETAIL-INPUT'!B40</f>
        <v xml:space="preserve">Administrative &amp; General  </v>
      </c>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83"/>
      <c r="AT41" s="183"/>
      <c r="AU41" s="183"/>
      <c r="AV41" s="183"/>
      <c r="AW41" s="183"/>
      <c r="AX41" s="183"/>
      <c r="AY41" s="183"/>
      <c r="AZ41" s="183"/>
      <c r="BA41" s="183"/>
      <c r="BB41" s="183"/>
      <c r="BC41" s="183"/>
      <c r="BD41" s="183"/>
      <c r="BE41" s="183"/>
      <c r="BF41" s="183"/>
      <c r="BG41" s="183"/>
      <c r="BH41" s="183"/>
      <c r="BI41" s="183"/>
      <c r="BJ41" s="183"/>
      <c r="BK41" s="183"/>
      <c r="BL41" s="183"/>
      <c r="BM41" s="183"/>
      <c r="BN41" s="183"/>
      <c r="BO41" s="183"/>
      <c r="BP41" s="183"/>
      <c r="BQ41" s="183"/>
      <c r="BR41" s="183"/>
      <c r="BS41" s="183"/>
      <c r="BT41" s="183"/>
      <c r="BU41" s="183"/>
      <c r="BV41" s="183"/>
      <c r="BW41" s="183"/>
      <c r="BX41" s="183"/>
      <c r="BY41" s="183"/>
    </row>
    <row r="42" spans="1:77" s="178" customFormat="1">
      <c r="A42" s="176">
        <f>'ADJ DETAIL-INPUT'!A41</f>
        <v>20</v>
      </c>
      <c r="C42" s="178" t="str">
        <f>'ADJ DETAIL-INPUT'!C41</f>
        <v xml:space="preserve">Operating Expenses  </v>
      </c>
      <c r="E42" s="178">
        <f>'ADJ DETAIL-INPUT'!E41</f>
        <v>87937</v>
      </c>
      <c r="F42" s="183">
        <f>'ADJ DETAIL-INPUT'!F41</f>
        <v>0</v>
      </c>
      <c r="G42" s="183">
        <f>'ADJ DETAIL-INPUT'!G41</f>
        <v>0</v>
      </c>
      <c r="H42" s="183">
        <f>'ADJ DETAIL-INPUT'!H41</f>
        <v>0</v>
      </c>
      <c r="I42" s="183">
        <f>'ADJ DETAIL-INPUT'!I41</f>
        <v>-92</v>
      </c>
      <c r="J42" s="183">
        <f>'ADJ DETAIL-INPUT'!J41</f>
        <v>0</v>
      </c>
      <c r="K42" s="183">
        <f>'ADJ DETAIL-INPUT'!K41</f>
        <v>0</v>
      </c>
      <c r="L42" s="183">
        <f>'ADJ DETAIL-INPUT'!L41</f>
        <v>0</v>
      </c>
      <c r="M42" s="183">
        <f>'ADJ DETAIL-INPUT'!M41</f>
        <v>834</v>
      </c>
      <c r="N42" s="183">
        <f>'ADJ DETAIL-INPUT'!N41</f>
        <v>-315</v>
      </c>
      <c r="O42" s="183">
        <f>'ADJ DETAIL-INPUT'!O41</f>
        <v>0</v>
      </c>
      <c r="P42" s="183">
        <f>'ADJ DETAIL-INPUT'!P41</f>
        <v>-33</v>
      </c>
      <c r="Q42" s="183">
        <f>'ADJ DETAIL-INPUT'!Q41</f>
        <v>0</v>
      </c>
      <c r="R42" s="183">
        <f>'ADJ DETAIL-INPUT'!R41</f>
        <v>0</v>
      </c>
      <c r="S42" s="183">
        <f>'ADJ DETAIL-INPUT'!S41</f>
        <v>-41</v>
      </c>
      <c r="T42" s="183">
        <f>'ADJ DETAIL-INPUT'!T41</f>
        <v>36</v>
      </c>
      <c r="U42" s="183">
        <f>'ADJ DETAIL-INPUT'!U41</f>
        <v>-1285</v>
      </c>
      <c r="V42" s="183">
        <f>'ADJ DETAIL-INPUT'!V41</f>
        <v>790.66499999999996</v>
      </c>
      <c r="W42" s="183">
        <f>'ADJ DETAIL-INPUT'!W41</f>
        <v>0</v>
      </c>
      <c r="X42" s="183">
        <f>'ADJ DETAIL-INPUT'!X41</f>
        <v>0</v>
      </c>
      <c r="Y42" s="183">
        <f>'ADJ DETAIL-INPUT'!Y41</f>
        <v>14</v>
      </c>
      <c r="Z42" s="183">
        <f>'ADJ DETAIL-INPUT'!Z41</f>
        <v>0</v>
      </c>
      <c r="AA42" s="183">
        <f>'ADJ DETAIL-INPUT'!AA41</f>
        <v>0</v>
      </c>
      <c r="AB42" s="183">
        <f>'ADJ DETAIL-INPUT'!AB41</f>
        <v>0</v>
      </c>
      <c r="AC42" s="183">
        <f>'ADJ DETAIL-INPUT'!AC41</f>
        <v>0</v>
      </c>
      <c r="AD42" s="183">
        <f>'ADJ DETAIL-INPUT'!AE41</f>
        <v>0</v>
      </c>
      <c r="AE42" s="183">
        <f>'ADJ DETAIL-INPUT'!AF41</f>
        <v>0</v>
      </c>
      <c r="AF42" s="183">
        <f>'ADJ DETAIL-INPUT'!AG41</f>
        <v>122</v>
      </c>
      <c r="AG42" s="183">
        <f>'ADJ DETAIL-INPUT'!AH41</f>
        <v>0</v>
      </c>
      <c r="AH42" s="183">
        <f>'ADJ DETAIL-INPUT'!AI41</f>
        <v>0</v>
      </c>
      <c r="AI42" s="183">
        <f>'ADJ DETAIL-INPUT'!AJ41</f>
        <v>-389</v>
      </c>
      <c r="AJ42" s="183">
        <f>'ADJ DETAIL-INPUT'!AK41</f>
        <v>2449.6999999999998</v>
      </c>
      <c r="AK42" s="183">
        <f>'ADJ DETAIL-INPUT'!AL41</f>
        <v>60.036999999999999</v>
      </c>
      <c r="AL42" s="183">
        <f>'ADJ DETAIL-INPUT'!AM41</f>
        <v>48.9</v>
      </c>
      <c r="AM42" s="183">
        <f>'ADJ DETAIL-INPUT'!AN41</f>
        <v>1163.7</v>
      </c>
      <c r="AN42" s="183">
        <f>'ADJ DETAIL-INPUT'!AO41</f>
        <v>0</v>
      </c>
      <c r="AO42" s="183">
        <f>'ADJ DETAIL-INPUT'!AP41</f>
        <v>381</v>
      </c>
      <c r="AP42" s="183">
        <f>'ADJ DETAIL-INPUT'!AQ41</f>
        <v>0</v>
      </c>
      <c r="AQ42" s="183">
        <f>'ADJ DETAIL-INPUT'!AR41</f>
        <v>5260</v>
      </c>
      <c r="AR42" s="183">
        <f>'ADJ DETAIL-INPUT'!AS41</f>
        <v>101.5</v>
      </c>
      <c r="AS42" s="183">
        <f>'ADJ DETAIL-INPUT'!AT41</f>
        <v>2684.0889999999999</v>
      </c>
      <c r="AT42" s="183">
        <f>'ADJ DETAIL-INPUT'!AU41</f>
        <v>0</v>
      </c>
      <c r="AU42" s="183">
        <f>'ADJ DETAIL-INPUT'!AV41</f>
        <v>0</v>
      </c>
      <c r="AV42" s="183">
        <f>'ADJ DETAIL-INPUT'!AW41</f>
        <v>0</v>
      </c>
      <c r="AW42" s="183">
        <f>'ADJ DETAIL-INPUT'!AX41</f>
        <v>0</v>
      </c>
      <c r="AX42" s="183">
        <f>'ADJ DETAIL-INPUT'!AY41</f>
        <v>563</v>
      </c>
      <c r="AY42" s="183">
        <f>'ADJ DETAIL-INPUT'!AZ41</f>
        <v>473.9</v>
      </c>
      <c r="AZ42" s="183">
        <f>'ADJ DETAIL-INPUT'!BA41</f>
        <v>0</v>
      </c>
      <c r="BA42" s="183">
        <f>'ADJ DETAIL-INPUT'!BB41</f>
        <v>0</v>
      </c>
      <c r="BB42" s="183">
        <f>'ADJ DETAIL-INPUT'!BC41</f>
        <v>0</v>
      </c>
      <c r="BC42" s="183">
        <f>'ADJ DETAIL-INPUT'!BD41</f>
        <v>0</v>
      </c>
      <c r="BD42" s="183">
        <f>'ADJ DETAIL-INPUT'!BE41</f>
        <v>0</v>
      </c>
      <c r="BE42" s="183">
        <f>'ADJ DETAIL-INPUT'!BF41</f>
        <v>-279.28100000000001</v>
      </c>
      <c r="BF42" s="183">
        <f>'ADJ DETAIL-INPUT'!BG41</f>
        <v>0</v>
      </c>
      <c r="BG42" s="183">
        <f>'ADJ DETAIL-INPUT'!BH41</f>
        <v>0</v>
      </c>
      <c r="BH42" s="183">
        <f>'ADJ DETAIL-INPUT'!BI41</f>
        <v>0</v>
      </c>
      <c r="BI42" s="183">
        <f>'ADJ DETAIL-INPUT'!BJ41</f>
        <v>0</v>
      </c>
      <c r="BJ42" s="183">
        <f>'ADJ DETAIL-INPUT'!BK41</f>
        <v>0</v>
      </c>
      <c r="BK42" s="183">
        <f>'ADJ DETAIL-INPUT'!BN41</f>
        <v>0</v>
      </c>
      <c r="BL42" s="183">
        <f>'ADJ DETAIL-INPUT'!BO41</f>
        <v>0</v>
      </c>
      <c r="BM42" s="183">
        <f>'ADJ DETAIL-INPUT'!BP41</f>
        <v>-314</v>
      </c>
      <c r="BN42" s="183">
        <f>'ADJ DETAIL-INPUT'!BQ41</f>
        <v>942</v>
      </c>
      <c r="BO42" s="183">
        <f>'ADJ DETAIL-INPUT'!BR41</f>
        <v>171.6</v>
      </c>
      <c r="BP42" s="183">
        <f>'ADJ DETAIL-INPUT'!BS41</f>
        <v>0</v>
      </c>
      <c r="BQ42" s="183">
        <f>'ADJ DETAIL-INPUT'!BT41</f>
        <v>-207</v>
      </c>
      <c r="BR42" s="183">
        <f>'ADJ DETAIL-INPUT'!BU41</f>
        <v>1073.636</v>
      </c>
      <c r="BS42" s="183">
        <f>'ADJ DETAIL-INPUT'!BV41</f>
        <v>0</v>
      </c>
      <c r="BT42" s="183">
        <f>'ADJ DETAIL-INPUT'!BW41</f>
        <v>-480.166</v>
      </c>
      <c r="BU42" s="183">
        <f>'ADJ DETAIL-INPUT'!BX41</f>
        <v>0</v>
      </c>
      <c r="BV42" s="183">
        <f>'ADJ DETAIL-INPUT'!BY41</f>
        <v>0</v>
      </c>
      <c r="BW42" s="183">
        <f>'ADJ DETAIL-INPUT'!BZ41</f>
        <v>0</v>
      </c>
      <c r="BX42" s="183">
        <f>'ADJ DETAIL-INPUT'!CA41</f>
        <v>0</v>
      </c>
      <c r="BY42" s="183">
        <f>'ADJ DETAIL-INPUT'!CB41</f>
        <v>0</v>
      </c>
    </row>
    <row r="43" spans="1:77" s="178" customFormat="1">
      <c r="A43" s="176">
        <f>'ADJ DETAIL-INPUT'!A42</f>
        <v>21</v>
      </c>
      <c r="C43" s="178" t="str">
        <f>'ADJ DETAIL-INPUT'!C42</f>
        <v>Depreciation/Amortization</v>
      </c>
      <c r="E43" s="178">
        <f>'ADJ DETAIL-INPUT'!E42</f>
        <v>45673</v>
      </c>
      <c r="F43" s="183">
        <f>'ADJ DETAIL-INPUT'!F42</f>
        <v>0</v>
      </c>
      <c r="G43" s="183">
        <f>'ADJ DETAIL-INPUT'!G42</f>
        <v>0</v>
      </c>
      <c r="H43" s="183">
        <f>'ADJ DETAIL-INPUT'!H42</f>
        <v>0</v>
      </c>
      <c r="I43" s="183">
        <f>'ADJ DETAIL-INPUT'!I42</f>
        <v>0</v>
      </c>
      <c r="J43" s="183">
        <f>'ADJ DETAIL-INPUT'!J42</f>
        <v>0</v>
      </c>
      <c r="K43" s="183">
        <f>'ADJ DETAIL-INPUT'!K42</f>
        <v>0</v>
      </c>
      <c r="L43" s="183">
        <f>'ADJ DETAIL-INPUT'!L42</f>
        <v>0</v>
      </c>
      <c r="M43" s="183">
        <f>'ADJ DETAIL-INPUT'!M42</f>
        <v>0</v>
      </c>
      <c r="N43" s="183">
        <f>'ADJ DETAIL-INPUT'!N42</f>
        <v>0</v>
      </c>
      <c r="O43" s="183">
        <f>'ADJ DETAIL-INPUT'!O42</f>
        <v>0</v>
      </c>
      <c r="P43" s="183">
        <f>'ADJ DETAIL-INPUT'!P42</f>
        <v>0</v>
      </c>
      <c r="Q43" s="183">
        <f>'ADJ DETAIL-INPUT'!Q42</f>
        <v>0</v>
      </c>
      <c r="R43" s="183">
        <f>'ADJ DETAIL-INPUT'!R42</f>
        <v>0</v>
      </c>
      <c r="S43" s="183">
        <f>'ADJ DETAIL-INPUT'!S42</f>
        <v>0</v>
      </c>
      <c r="T43" s="183">
        <f>'ADJ DETAIL-INPUT'!T42</f>
        <v>0</v>
      </c>
      <c r="U43" s="183">
        <f>'ADJ DETAIL-INPUT'!U42</f>
        <v>0</v>
      </c>
      <c r="V43" s="183">
        <f>'ADJ DETAIL-INPUT'!V42</f>
        <v>0</v>
      </c>
      <c r="W43" s="183">
        <f>'ADJ DETAIL-INPUT'!W42</f>
        <v>0</v>
      </c>
      <c r="X43" s="183">
        <f>'ADJ DETAIL-INPUT'!X42</f>
        <v>0</v>
      </c>
      <c r="Y43" s="183">
        <f>'ADJ DETAIL-INPUT'!Y42</f>
        <v>0</v>
      </c>
      <c r="Z43" s="183">
        <f>'ADJ DETAIL-INPUT'!Z42</f>
        <v>0</v>
      </c>
      <c r="AA43" s="183">
        <f>'ADJ DETAIL-INPUT'!AA42</f>
        <v>0</v>
      </c>
      <c r="AB43" s="183">
        <f>'ADJ DETAIL-INPUT'!AB42</f>
        <v>0</v>
      </c>
      <c r="AC43" s="183">
        <f>'ADJ DETAIL-INPUT'!AC42</f>
        <v>0</v>
      </c>
      <c r="AD43" s="183">
        <f>'ADJ DETAIL-INPUT'!AE42</f>
        <v>0</v>
      </c>
      <c r="AE43" s="183">
        <f>'ADJ DETAIL-INPUT'!AF42</f>
        <v>0</v>
      </c>
      <c r="AF43" s="183">
        <f>'ADJ DETAIL-INPUT'!AG42</f>
        <v>0</v>
      </c>
      <c r="AG43" s="183">
        <f>'ADJ DETAIL-INPUT'!AH42</f>
        <v>0</v>
      </c>
      <c r="AH43" s="183">
        <f>'ADJ DETAIL-INPUT'!AI42</f>
        <v>0</v>
      </c>
      <c r="AI43" s="183">
        <f>'ADJ DETAIL-INPUT'!AJ42</f>
        <v>0</v>
      </c>
      <c r="AJ43" s="183">
        <f>'ADJ DETAIL-INPUT'!AK42</f>
        <v>0</v>
      </c>
      <c r="AK43" s="183">
        <f>'ADJ DETAIL-INPUT'!AL42</f>
        <v>0</v>
      </c>
      <c r="AL43" s="183">
        <f>'ADJ DETAIL-INPUT'!AM42</f>
        <v>0</v>
      </c>
      <c r="AM43" s="183">
        <f>'ADJ DETAIL-INPUT'!AN42</f>
        <v>0</v>
      </c>
      <c r="AN43" s="183">
        <f>'ADJ DETAIL-INPUT'!AO42</f>
        <v>0</v>
      </c>
      <c r="AO43" s="183">
        <f>'ADJ DETAIL-INPUT'!AP42</f>
        <v>0</v>
      </c>
      <c r="AP43" s="183">
        <f>'ADJ DETAIL-INPUT'!AQ42</f>
        <v>0</v>
      </c>
      <c r="AQ43" s="183">
        <f>'ADJ DETAIL-INPUT'!AR42</f>
        <v>0</v>
      </c>
      <c r="AR43" s="183">
        <f>'ADJ DETAIL-INPUT'!AS42</f>
        <v>0</v>
      </c>
      <c r="AS43" s="183">
        <f>'ADJ DETAIL-INPUT'!AT42</f>
        <v>0</v>
      </c>
      <c r="AT43" s="183">
        <f>'ADJ DETAIL-INPUT'!AU42</f>
        <v>1944.3999999999999</v>
      </c>
      <c r="AU43" s="183">
        <f>'ADJ DETAIL-INPUT'!AV42</f>
        <v>-884.7</v>
      </c>
      <c r="AV43" s="183">
        <f>'ADJ DETAIL-INPUT'!AW42</f>
        <v>393</v>
      </c>
      <c r="AW43" s="183">
        <f>'ADJ DETAIL-INPUT'!AX42</f>
        <v>0</v>
      </c>
      <c r="AX43" s="183">
        <f>'ADJ DETAIL-INPUT'!AY42</f>
        <v>0</v>
      </c>
      <c r="AY43" s="183">
        <f>'ADJ DETAIL-INPUT'!AZ42</f>
        <v>0</v>
      </c>
      <c r="AZ43" s="183">
        <f>'ADJ DETAIL-INPUT'!BA42</f>
        <v>0</v>
      </c>
      <c r="BA43" s="183">
        <f>'ADJ DETAIL-INPUT'!BB42</f>
        <v>0</v>
      </c>
      <c r="BB43" s="183">
        <f>'ADJ DETAIL-INPUT'!BC42</f>
        <v>0</v>
      </c>
      <c r="BC43" s="183">
        <f>'ADJ DETAIL-INPUT'!BD42</f>
        <v>0</v>
      </c>
      <c r="BD43" s="183">
        <f>'ADJ DETAIL-INPUT'!BE42</f>
        <v>1653</v>
      </c>
      <c r="BE43" s="183">
        <f>'ADJ DETAIL-INPUT'!BF42</f>
        <v>0</v>
      </c>
      <c r="BF43" s="183">
        <f>'ADJ DETAIL-INPUT'!BG42</f>
        <v>0</v>
      </c>
      <c r="BG43" s="183">
        <f>'ADJ DETAIL-INPUT'!BH42</f>
        <v>0</v>
      </c>
      <c r="BH43" s="183">
        <f>'ADJ DETAIL-INPUT'!BI42</f>
        <v>0</v>
      </c>
      <c r="BI43" s="183">
        <f>'ADJ DETAIL-INPUT'!BJ42</f>
        <v>0</v>
      </c>
      <c r="BJ43" s="183">
        <f>'ADJ DETAIL-INPUT'!BK42</f>
        <v>0</v>
      </c>
      <c r="BK43" s="183">
        <f>'ADJ DETAIL-INPUT'!BN42</f>
        <v>0</v>
      </c>
      <c r="BL43" s="183">
        <f>'ADJ DETAIL-INPUT'!BO42</f>
        <v>0</v>
      </c>
      <c r="BM43" s="183">
        <f>'ADJ DETAIL-INPUT'!BP42</f>
        <v>0</v>
      </c>
      <c r="BN43" s="183">
        <f>'ADJ DETAIL-INPUT'!BQ42</f>
        <v>0</v>
      </c>
      <c r="BO43" s="183">
        <f>'ADJ DETAIL-INPUT'!BR42</f>
        <v>0</v>
      </c>
      <c r="BP43" s="183">
        <f>'ADJ DETAIL-INPUT'!BS42</f>
        <v>0</v>
      </c>
      <c r="BQ43" s="183">
        <f>'ADJ DETAIL-INPUT'!BT42</f>
        <v>0</v>
      </c>
      <c r="BR43" s="183">
        <f>'ADJ DETAIL-INPUT'!BU42</f>
        <v>0</v>
      </c>
      <c r="BS43" s="183">
        <f>'ADJ DETAIL-INPUT'!BV42</f>
        <v>-223</v>
      </c>
      <c r="BT43" s="183">
        <f>'ADJ DETAIL-INPUT'!BW42</f>
        <v>0</v>
      </c>
      <c r="BU43" s="183">
        <f>'ADJ DETAIL-INPUT'!BX42</f>
        <v>0</v>
      </c>
      <c r="BV43" s="183">
        <f>'ADJ DETAIL-INPUT'!BY42</f>
        <v>0</v>
      </c>
      <c r="BW43" s="183">
        <f>'ADJ DETAIL-INPUT'!BZ42</f>
        <v>0</v>
      </c>
      <c r="BX43" s="183">
        <f>'ADJ DETAIL-INPUT'!CA42</f>
        <v>0</v>
      </c>
      <c r="BY43" s="183">
        <f>'ADJ DETAIL-INPUT'!CB42</f>
        <v>0</v>
      </c>
    </row>
    <row r="44" spans="1:77" s="178" customFormat="1">
      <c r="A44" s="176">
        <f>'ADJ DETAIL-INPUT'!A43</f>
        <v>22</v>
      </c>
      <c r="C44" s="178" t="str">
        <f>'ADJ DETAIL-INPUT'!C43</f>
        <v>Regulatory Deferrals/Amortization</v>
      </c>
      <c r="E44" s="178">
        <f>'ADJ DETAIL-INPUT'!E43</f>
        <v>-2229</v>
      </c>
      <c r="F44" s="183">
        <f>'ADJ DETAIL-INPUT'!F43</f>
        <v>0</v>
      </c>
      <c r="G44" s="183">
        <f>'ADJ DETAIL-INPUT'!G43</f>
        <v>0</v>
      </c>
      <c r="H44" s="183">
        <f>'ADJ DETAIL-INPUT'!H43</f>
        <v>0</v>
      </c>
      <c r="I44" s="183">
        <f>'ADJ DETAIL-INPUT'!I43</f>
        <v>0</v>
      </c>
      <c r="J44" s="183">
        <f>'ADJ DETAIL-INPUT'!J43</f>
        <v>0</v>
      </c>
      <c r="K44" s="183">
        <f>'ADJ DETAIL-INPUT'!K43</f>
        <v>0</v>
      </c>
      <c r="L44" s="183">
        <f>'ADJ DETAIL-INPUT'!L43</f>
        <v>0</v>
      </c>
      <c r="M44" s="183">
        <f>'ADJ DETAIL-INPUT'!M43</f>
        <v>0</v>
      </c>
      <c r="N44" s="183">
        <f>'ADJ DETAIL-INPUT'!N43</f>
        <v>0</v>
      </c>
      <c r="O44" s="183">
        <f>'ADJ DETAIL-INPUT'!O43</f>
        <v>0</v>
      </c>
      <c r="P44" s="183">
        <f>'ADJ DETAIL-INPUT'!P43</f>
        <v>0</v>
      </c>
      <c r="Q44" s="183">
        <f>'ADJ DETAIL-INPUT'!Q43</f>
        <v>0</v>
      </c>
      <c r="R44" s="183">
        <f>'ADJ DETAIL-INPUT'!R43</f>
        <v>0</v>
      </c>
      <c r="S44" s="183">
        <f>'ADJ DETAIL-INPUT'!S43</f>
        <v>0</v>
      </c>
      <c r="T44" s="183">
        <f>'ADJ DETAIL-INPUT'!T43</f>
        <v>591</v>
      </c>
      <c r="U44" s="183">
        <f>'ADJ DETAIL-INPUT'!U43</f>
        <v>0</v>
      </c>
      <c r="V44" s="183">
        <f>'ADJ DETAIL-INPUT'!V43</f>
        <v>0</v>
      </c>
      <c r="W44" s="183">
        <f>'ADJ DETAIL-INPUT'!W43</f>
        <v>0</v>
      </c>
      <c r="X44" s="183">
        <f>'ADJ DETAIL-INPUT'!X43</f>
        <v>0</v>
      </c>
      <c r="Y44" s="183">
        <f>'ADJ DETAIL-INPUT'!Y43</f>
        <v>0</v>
      </c>
      <c r="Z44" s="183">
        <f>'ADJ DETAIL-INPUT'!Z43</f>
        <v>0</v>
      </c>
      <c r="AA44" s="183">
        <f>'ADJ DETAIL-INPUT'!AA43</f>
        <v>0</v>
      </c>
      <c r="AB44" s="183">
        <f>'ADJ DETAIL-INPUT'!AB43</f>
        <v>0</v>
      </c>
      <c r="AC44" s="183">
        <f>'ADJ DETAIL-INPUT'!AC43</f>
        <v>0</v>
      </c>
      <c r="AD44" s="183">
        <f>'ADJ DETAIL-INPUT'!AE43</f>
        <v>0</v>
      </c>
      <c r="AE44" s="183">
        <f>'ADJ DETAIL-INPUT'!AF43</f>
        <v>0</v>
      </c>
      <c r="AF44" s="183">
        <f>'ADJ DETAIL-INPUT'!AG43</f>
        <v>0</v>
      </c>
      <c r="AG44" s="183">
        <f>'ADJ DETAIL-INPUT'!AH43</f>
        <v>5863</v>
      </c>
      <c r="AH44" s="183">
        <f>'ADJ DETAIL-INPUT'!AI43</f>
        <v>0</v>
      </c>
      <c r="AI44" s="183">
        <f>'ADJ DETAIL-INPUT'!AJ43</f>
        <v>-250</v>
      </c>
      <c r="AJ44" s="183">
        <f>'ADJ DETAIL-INPUT'!AK43</f>
        <v>0</v>
      </c>
      <c r="AK44" s="183">
        <f>'ADJ DETAIL-INPUT'!AL43</f>
        <v>0</v>
      </c>
      <c r="AL44" s="183">
        <f>'ADJ DETAIL-INPUT'!AM43</f>
        <v>-5560.5</v>
      </c>
      <c r="AM44" s="183">
        <f>'ADJ DETAIL-INPUT'!AN43</f>
        <v>0</v>
      </c>
      <c r="AN44" s="183">
        <f>'ADJ DETAIL-INPUT'!AO43</f>
        <v>0</v>
      </c>
      <c r="AO44" s="183">
        <f>'ADJ DETAIL-INPUT'!AP43</f>
        <v>0</v>
      </c>
      <c r="AP44" s="183">
        <f>'ADJ DETAIL-INPUT'!AQ43</f>
        <v>0</v>
      </c>
      <c r="AQ44" s="183">
        <f>'ADJ DETAIL-INPUT'!AR43</f>
        <v>0</v>
      </c>
      <c r="AR44" s="183">
        <f>'ADJ DETAIL-INPUT'!AS43</f>
        <v>0</v>
      </c>
      <c r="AS44" s="183">
        <f>'ADJ DETAIL-INPUT'!AT43</f>
        <v>0</v>
      </c>
      <c r="AT44" s="183">
        <f>'ADJ DETAIL-INPUT'!AU43</f>
        <v>0</v>
      </c>
      <c r="AU44" s="183">
        <f>'ADJ DETAIL-INPUT'!AV43</f>
        <v>0</v>
      </c>
      <c r="AV44" s="183">
        <f>'ADJ DETAIL-INPUT'!AW43</f>
        <v>0</v>
      </c>
      <c r="AW44" s="183">
        <f>'ADJ DETAIL-INPUT'!AX43</f>
        <v>4742.3999999999996</v>
      </c>
      <c r="AX44" s="183">
        <f>'ADJ DETAIL-INPUT'!AY43</f>
        <v>0</v>
      </c>
      <c r="AY44" s="183">
        <f>'ADJ DETAIL-INPUT'!AZ43</f>
        <v>0</v>
      </c>
      <c r="AZ44" s="183">
        <f>'ADJ DETAIL-INPUT'!BA43</f>
        <v>0</v>
      </c>
      <c r="BA44" s="183">
        <f>'ADJ DETAIL-INPUT'!BB43</f>
        <v>0</v>
      </c>
      <c r="BB44" s="183">
        <f>'ADJ DETAIL-INPUT'!BC43</f>
        <v>0</v>
      </c>
      <c r="BC44" s="183">
        <f>'ADJ DETAIL-INPUT'!BD43</f>
        <v>6425</v>
      </c>
      <c r="BD44" s="183">
        <f>'ADJ DETAIL-INPUT'!BE43</f>
        <v>0</v>
      </c>
      <c r="BE44" s="183">
        <f>'ADJ DETAIL-INPUT'!BF43</f>
        <v>0</v>
      </c>
      <c r="BF44" s="183">
        <f>'ADJ DETAIL-INPUT'!BG43</f>
        <v>0</v>
      </c>
      <c r="BG44" s="183">
        <f>'ADJ DETAIL-INPUT'!BH43</f>
        <v>0</v>
      </c>
      <c r="BH44" s="183">
        <f>'ADJ DETAIL-INPUT'!BI43</f>
        <v>0</v>
      </c>
      <c r="BI44" s="183">
        <f>'ADJ DETAIL-INPUT'!BJ43</f>
        <v>0</v>
      </c>
      <c r="BJ44" s="183">
        <f>'ADJ DETAIL-INPUT'!BK43</f>
        <v>0</v>
      </c>
      <c r="BK44" s="183">
        <f>'ADJ DETAIL-INPUT'!BN43</f>
        <v>0</v>
      </c>
      <c r="BL44" s="183">
        <f>'ADJ DETAIL-INPUT'!BO43</f>
        <v>0</v>
      </c>
      <c r="BM44" s="183">
        <f>'ADJ DETAIL-INPUT'!BP43</f>
        <v>0</v>
      </c>
      <c r="BN44" s="183">
        <f>'ADJ DETAIL-INPUT'!BQ43</f>
        <v>0</v>
      </c>
      <c r="BO44" s="183">
        <f>'ADJ DETAIL-INPUT'!BR43</f>
        <v>0</v>
      </c>
      <c r="BP44" s="183">
        <f>'ADJ DETAIL-INPUT'!BS43</f>
        <v>0</v>
      </c>
      <c r="BQ44" s="183">
        <f>'ADJ DETAIL-INPUT'!BT43</f>
        <v>0</v>
      </c>
      <c r="BR44" s="183">
        <f>'ADJ DETAIL-INPUT'!BU43</f>
        <v>0</v>
      </c>
      <c r="BS44" s="183">
        <f>'ADJ DETAIL-INPUT'!BV43</f>
        <v>0</v>
      </c>
      <c r="BT44" s="183">
        <f>'ADJ DETAIL-INPUT'!BW43</f>
        <v>0</v>
      </c>
      <c r="BU44" s="183">
        <f>'ADJ DETAIL-INPUT'!BX43</f>
        <v>0</v>
      </c>
      <c r="BV44" s="183">
        <f>'ADJ DETAIL-INPUT'!BY43</f>
        <v>0</v>
      </c>
      <c r="BW44" s="183">
        <f>'ADJ DETAIL-INPUT'!BZ43</f>
        <v>0</v>
      </c>
      <c r="BX44" s="183">
        <f>'ADJ DETAIL-INPUT'!CA43</f>
        <v>0</v>
      </c>
      <c r="BY44" s="183">
        <f>'ADJ DETAIL-INPUT'!CB43</f>
        <v>0</v>
      </c>
    </row>
    <row r="45" spans="1:77" s="178" customFormat="1">
      <c r="A45" s="176">
        <f>'ADJ DETAIL-INPUT'!A44</f>
        <v>23</v>
      </c>
      <c r="C45" s="178" t="str">
        <f>'ADJ DETAIL-INPUT'!C44</f>
        <v xml:space="preserve">Taxes  </v>
      </c>
      <c r="E45" s="307">
        <f>'ADJ DETAIL-INPUT'!E44</f>
        <v>4307</v>
      </c>
      <c r="F45" s="186">
        <f>'ADJ DETAIL-INPUT'!F44</f>
        <v>0</v>
      </c>
      <c r="G45" s="186">
        <f>'ADJ DETAIL-INPUT'!G44</f>
        <v>0</v>
      </c>
      <c r="H45" s="186">
        <f>'ADJ DETAIL-INPUT'!H44</f>
        <v>0</v>
      </c>
      <c r="I45" s="186">
        <f>'ADJ DETAIL-INPUT'!I44</f>
        <v>0</v>
      </c>
      <c r="J45" s="186">
        <f>'ADJ DETAIL-INPUT'!J44</f>
        <v>0</v>
      </c>
      <c r="K45" s="186">
        <f>'ADJ DETAIL-INPUT'!K44</f>
        <v>0</v>
      </c>
      <c r="L45" s="186">
        <f>'ADJ DETAIL-INPUT'!L44</f>
        <v>0</v>
      </c>
      <c r="M45" s="186">
        <f>'ADJ DETAIL-INPUT'!M44</f>
        <v>0</v>
      </c>
      <c r="N45" s="186">
        <f>'ADJ DETAIL-INPUT'!N44</f>
        <v>0</v>
      </c>
      <c r="O45" s="186">
        <f>'ADJ DETAIL-INPUT'!O44</f>
        <v>0</v>
      </c>
      <c r="P45" s="186">
        <f>'ADJ DETAIL-INPUT'!P44</f>
        <v>0</v>
      </c>
      <c r="Q45" s="186">
        <f>'ADJ DETAIL-INPUT'!Q44</f>
        <v>0</v>
      </c>
      <c r="R45" s="186">
        <f>'ADJ DETAIL-INPUT'!R44</f>
        <v>0</v>
      </c>
      <c r="S45" s="186">
        <f>'ADJ DETAIL-INPUT'!S44</f>
        <v>0</v>
      </c>
      <c r="T45" s="186">
        <f>'ADJ DETAIL-INPUT'!T44</f>
        <v>0</v>
      </c>
      <c r="U45" s="186">
        <f>'ADJ DETAIL-INPUT'!U44</f>
        <v>0</v>
      </c>
      <c r="V45" s="186">
        <f>'ADJ DETAIL-INPUT'!V44</f>
        <v>0</v>
      </c>
      <c r="W45" s="186">
        <f>'ADJ DETAIL-INPUT'!W44</f>
        <v>0</v>
      </c>
      <c r="X45" s="186">
        <f>'ADJ DETAIL-INPUT'!X44</f>
        <v>0</v>
      </c>
      <c r="Y45" s="186">
        <f>'ADJ DETAIL-INPUT'!Y44</f>
        <v>0</v>
      </c>
      <c r="Z45" s="186">
        <f>'ADJ DETAIL-INPUT'!Z44</f>
        <v>0</v>
      </c>
      <c r="AA45" s="186">
        <f>'ADJ DETAIL-INPUT'!AA44</f>
        <v>0</v>
      </c>
      <c r="AB45" s="186">
        <f>'ADJ DETAIL-INPUT'!AB44</f>
        <v>0</v>
      </c>
      <c r="AC45" s="186">
        <f>'ADJ DETAIL-INPUT'!AC44</f>
        <v>0</v>
      </c>
      <c r="AD45" s="186">
        <f>'ADJ DETAIL-INPUT'!AE44</f>
        <v>0</v>
      </c>
      <c r="AE45" s="186">
        <f>'ADJ DETAIL-INPUT'!AF44</f>
        <v>0</v>
      </c>
      <c r="AF45" s="186">
        <f>'ADJ DETAIL-INPUT'!AG44</f>
        <v>0</v>
      </c>
      <c r="AG45" s="186">
        <f>'ADJ DETAIL-INPUT'!AH44</f>
        <v>0</v>
      </c>
      <c r="AH45" s="186">
        <f>'ADJ DETAIL-INPUT'!AI44</f>
        <v>0</v>
      </c>
      <c r="AI45" s="186">
        <f>'ADJ DETAIL-INPUT'!AJ44</f>
        <v>0</v>
      </c>
      <c r="AJ45" s="186">
        <f>'ADJ DETAIL-INPUT'!AK44</f>
        <v>0</v>
      </c>
      <c r="AK45" s="186">
        <f>'ADJ DETAIL-INPUT'!AL44</f>
        <v>0</v>
      </c>
      <c r="AL45" s="186">
        <f>'ADJ DETAIL-INPUT'!AM44</f>
        <v>0</v>
      </c>
      <c r="AM45" s="186">
        <f>'ADJ DETAIL-INPUT'!AN44</f>
        <v>0</v>
      </c>
      <c r="AN45" s="186">
        <f>'ADJ DETAIL-INPUT'!AO44</f>
        <v>0</v>
      </c>
      <c r="AO45" s="186">
        <f>'ADJ DETAIL-INPUT'!AP44</f>
        <v>0</v>
      </c>
      <c r="AP45" s="186">
        <f>'ADJ DETAIL-INPUT'!AQ44</f>
        <v>0</v>
      </c>
      <c r="AQ45" s="186">
        <f>'ADJ DETAIL-INPUT'!AR44</f>
        <v>0</v>
      </c>
      <c r="AR45" s="186">
        <f>'ADJ DETAIL-INPUT'!AS44</f>
        <v>0</v>
      </c>
      <c r="AS45" s="186">
        <f>'ADJ DETAIL-INPUT'!AT44</f>
        <v>0</v>
      </c>
      <c r="AT45" s="186">
        <f>'ADJ DETAIL-INPUT'!AU44</f>
        <v>0</v>
      </c>
      <c r="AU45" s="186">
        <f>'ADJ DETAIL-INPUT'!AV44</f>
        <v>0</v>
      </c>
      <c r="AV45" s="186">
        <f>'ADJ DETAIL-INPUT'!AW44</f>
        <v>0</v>
      </c>
      <c r="AW45" s="186">
        <f>'ADJ DETAIL-INPUT'!AX44</f>
        <v>0</v>
      </c>
      <c r="AX45" s="186">
        <f>'ADJ DETAIL-INPUT'!AY44</f>
        <v>0</v>
      </c>
      <c r="AY45" s="186">
        <f>'ADJ DETAIL-INPUT'!AZ44</f>
        <v>0</v>
      </c>
      <c r="AZ45" s="186">
        <f>'ADJ DETAIL-INPUT'!BA44</f>
        <v>0</v>
      </c>
      <c r="BA45" s="186">
        <f>'ADJ DETAIL-INPUT'!BB44</f>
        <v>0</v>
      </c>
      <c r="BB45" s="186">
        <f>'ADJ DETAIL-INPUT'!BC44</f>
        <v>0</v>
      </c>
      <c r="BC45" s="186">
        <f>'ADJ DETAIL-INPUT'!BD44</f>
        <v>0</v>
      </c>
      <c r="BD45" s="186">
        <f>'ADJ DETAIL-INPUT'!BE44</f>
        <v>0</v>
      </c>
      <c r="BE45" s="186">
        <f>'ADJ DETAIL-INPUT'!BF44</f>
        <v>0</v>
      </c>
      <c r="BF45" s="186">
        <f>'ADJ DETAIL-INPUT'!BG44</f>
        <v>0</v>
      </c>
      <c r="BG45" s="186">
        <f>'ADJ DETAIL-INPUT'!BH44</f>
        <v>0</v>
      </c>
      <c r="BH45" s="186">
        <f>'ADJ DETAIL-INPUT'!BI44</f>
        <v>0</v>
      </c>
      <c r="BI45" s="186">
        <f>'ADJ DETAIL-INPUT'!BJ44</f>
        <v>0</v>
      </c>
      <c r="BJ45" s="186">
        <f>'ADJ DETAIL-INPUT'!BK44</f>
        <v>0</v>
      </c>
      <c r="BK45" s="186">
        <f>'ADJ DETAIL-INPUT'!BN44</f>
        <v>0</v>
      </c>
      <c r="BL45" s="186">
        <f>'ADJ DETAIL-INPUT'!BO44</f>
        <v>0</v>
      </c>
      <c r="BM45" s="186">
        <f>'ADJ DETAIL-INPUT'!BP44</f>
        <v>0</v>
      </c>
      <c r="BN45" s="186">
        <f>'ADJ DETAIL-INPUT'!BQ44</f>
        <v>0</v>
      </c>
      <c r="BO45" s="186">
        <f>'ADJ DETAIL-INPUT'!BR44</f>
        <v>0</v>
      </c>
      <c r="BP45" s="186">
        <f>'ADJ DETAIL-INPUT'!BS44</f>
        <v>0</v>
      </c>
      <c r="BQ45" s="186">
        <f>'ADJ DETAIL-INPUT'!BT44</f>
        <v>0</v>
      </c>
      <c r="BR45" s="186">
        <f>'ADJ DETAIL-INPUT'!BU44</f>
        <v>0</v>
      </c>
      <c r="BS45" s="186">
        <f>'ADJ DETAIL-INPUT'!BV44</f>
        <v>0</v>
      </c>
      <c r="BT45" s="186">
        <f>'ADJ DETAIL-INPUT'!BW44</f>
        <v>0</v>
      </c>
      <c r="BU45" s="186">
        <f>'ADJ DETAIL-INPUT'!BX44</f>
        <v>0</v>
      </c>
      <c r="BV45" s="186">
        <f>'ADJ DETAIL-INPUT'!BY44</f>
        <v>0</v>
      </c>
      <c r="BW45" s="186">
        <f>'ADJ DETAIL-INPUT'!BZ44</f>
        <v>0</v>
      </c>
      <c r="BX45" s="186">
        <f>'ADJ DETAIL-INPUT'!CA44</f>
        <v>0</v>
      </c>
      <c r="BY45" s="186">
        <f>'ADJ DETAIL-INPUT'!CB44</f>
        <v>0</v>
      </c>
    </row>
    <row r="46" spans="1:77" s="178" customFormat="1">
      <c r="A46" s="176">
        <f>'ADJ DETAIL-INPUT'!A45</f>
        <v>24</v>
      </c>
      <c r="B46" s="178" t="str">
        <f>'ADJ DETAIL-INPUT'!B45</f>
        <v xml:space="preserve">Total Admin. &amp; General  </v>
      </c>
      <c r="E46" s="307">
        <f>'ADJ DETAIL-INPUT'!E45</f>
        <v>135688</v>
      </c>
      <c r="F46" s="186">
        <f>'ADJ DETAIL-INPUT'!F45</f>
        <v>0</v>
      </c>
      <c r="G46" s="186">
        <f>'ADJ DETAIL-INPUT'!G45</f>
        <v>0</v>
      </c>
      <c r="H46" s="186">
        <f>'ADJ DETAIL-INPUT'!H45</f>
        <v>0</v>
      </c>
      <c r="I46" s="186">
        <f>'ADJ DETAIL-INPUT'!I45</f>
        <v>-92</v>
      </c>
      <c r="J46" s="186">
        <f>'ADJ DETAIL-INPUT'!J45</f>
        <v>0</v>
      </c>
      <c r="K46" s="186">
        <f>'ADJ DETAIL-INPUT'!K45</f>
        <v>0</v>
      </c>
      <c r="L46" s="186">
        <f>'ADJ DETAIL-INPUT'!L45</f>
        <v>0</v>
      </c>
      <c r="M46" s="186">
        <f>'ADJ DETAIL-INPUT'!M45</f>
        <v>834</v>
      </c>
      <c r="N46" s="186">
        <f>'ADJ DETAIL-INPUT'!N45</f>
        <v>-315</v>
      </c>
      <c r="O46" s="186">
        <f>'ADJ DETAIL-INPUT'!O45</f>
        <v>0</v>
      </c>
      <c r="P46" s="186">
        <f>'ADJ DETAIL-INPUT'!P45</f>
        <v>-33</v>
      </c>
      <c r="Q46" s="186">
        <f>'ADJ DETAIL-INPUT'!Q45</f>
        <v>0</v>
      </c>
      <c r="R46" s="186">
        <f>'ADJ DETAIL-INPUT'!R45</f>
        <v>0</v>
      </c>
      <c r="S46" s="186">
        <f>'ADJ DETAIL-INPUT'!S45</f>
        <v>-41</v>
      </c>
      <c r="T46" s="186">
        <f>'ADJ DETAIL-INPUT'!T45</f>
        <v>627</v>
      </c>
      <c r="U46" s="186">
        <f>'ADJ DETAIL-INPUT'!U45</f>
        <v>-1285</v>
      </c>
      <c r="V46" s="186">
        <f>'ADJ DETAIL-INPUT'!V45</f>
        <v>790.66499999999996</v>
      </c>
      <c r="W46" s="186">
        <f>'ADJ DETAIL-INPUT'!W45</f>
        <v>0</v>
      </c>
      <c r="X46" s="186">
        <f>'ADJ DETAIL-INPUT'!X45</f>
        <v>0</v>
      </c>
      <c r="Y46" s="186">
        <f>'ADJ DETAIL-INPUT'!Y45</f>
        <v>14</v>
      </c>
      <c r="Z46" s="186">
        <f>'ADJ DETAIL-INPUT'!Z45</f>
        <v>0</v>
      </c>
      <c r="AA46" s="186">
        <f>'ADJ DETAIL-INPUT'!AA45</f>
        <v>0</v>
      </c>
      <c r="AB46" s="186">
        <f>'ADJ DETAIL-INPUT'!AB45</f>
        <v>0</v>
      </c>
      <c r="AC46" s="186">
        <f>'ADJ DETAIL-INPUT'!AC45</f>
        <v>0</v>
      </c>
      <c r="AD46" s="186">
        <f>'ADJ DETAIL-INPUT'!AE45</f>
        <v>0</v>
      </c>
      <c r="AE46" s="186">
        <f>'ADJ DETAIL-INPUT'!AF45</f>
        <v>0</v>
      </c>
      <c r="AF46" s="186">
        <f>'ADJ DETAIL-INPUT'!AG45</f>
        <v>122</v>
      </c>
      <c r="AG46" s="186">
        <f>'ADJ DETAIL-INPUT'!AH45</f>
        <v>5863</v>
      </c>
      <c r="AH46" s="186">
        <f>'ADJ DETAIL-INPUT'!AI45</f>
        <v>0</v>
      </c>
      <c r="AI46" s="186">
        <f>'ADJ DETAIL-INPUT'!AJ45</f>
        <v>-639</v>
      </c>
      <c r="AJ46" s="186">
        <f>'ADJ DETAIL-INPUT'!AK45</f>
        <v>2449.6999999999998</v>
      </c>
      <c r="AK46" s="186">
        <f>'ADJ DETAIL-INPUT'!AL45</f>
        <v>60.036999999999999</v>
      </c>
      <c r="AL46" s="186">
        <f>'ADJ DETAIL-INPUT'!AM45</f>
        <v>-5511.6</v>
      </c>
      <c r="AM46" s="186">
        <f>'ADJ DETAIL-INPUT'!AN45</f>
        <v>1163.7</v>
      </c>
      <c r="AN46" s="186">
        <f>'ADJ DETAIL-INPUT'!AO45</f>
        <v>0</v>
      </c>
      <c r="AO46" s="186">
        <f>'ADJ DETAIL-INPUT'!AP45</f>
        <v>381</v>
      </c>
      <c r="AP46" s="186">
        <f>'ADJ DETAIL-INPUT'!AQ45</f>
        <v>0</v>
      </c>
      <c r="AQ46" s="186">
        <f>'ADJ DETAIL-INPUT'!AR45</f>
        <v>5260</v>
      </c>
      <c r="AR46" s="186">
        <f>'ADJ DETAIL-INPUT'!AS45</f>
        <v>101.5</v>
      </c>
      <c r="AS46" s="186">
        <f>'ADJ DETAIL-INPUT'!AT45</f>
        <v>2684.0889999999999</v>
      </c>
      <c r="AT46" s="186">
        <f>'ADJ DETAIL-INPUT'!AU45</f>
        <v>1944.3999999999999</v>
      </c>
      <c r="AU46" s="186">
        <f>'ADJ DETAIL-INPUT'!AV45</f>
        <v>-884.7</v>
      </c>
      <c r="AV46" s="186">
        <f>'ADJ DETAIL-INPUT'!AW45</f>
        <v>393</v>
      </c>
      <c r="AW46" s="186">
        <f>'ADJ DETAIL-INPUT'!AX45</f>
        <v>4742.3999999999996</v>
      </c>
      <c r="AX46" s="186">
        <f>'ADJ DETAIL-INPUT'!AY45</f>
        <v>563</v>
      </c>
      <c r="AY46" s="186">
        <f>'ADJ DETAIL-INPUT'!AZ45</f>
        <v>473.9</v>
      </c>
      <c r="AZ46" s="186">
        <f>'ADJ DETAIL-INPUT'!BA45</f>
        <v>0</v>
      </c>
      <c r="BA46" s="186">
        <f>'ADJ DETAIL-INPUT'!BB45</f>
        <v>0</v>
      </c>
      <c r="BB46" s="186">
        <f>'ADJ DETAIL-INPUT'!BC45</f>
        <v>0</v>
      </c>
      <c r="BC46" s="186">
        <f>'ADJ DETAIL-INPUT'!BD45</f>
        <v>6425</v>
      </c>
      <c r="BD46" s="186">
        <f>'ADJ DETAIL-INPUT'!BE45</f>
        <v>1653</v>
      </c>
      <c r="BE46" s="186">
        <f>'ADJ DETAIL-INPUT'!BF45</f>
        <v>-279.28100000000001</v>
      </c>
      <c r="BF46" s="186">
        <f>'ADJ DETAIL-INPUT'!BG45</f>
        <v>0</v>
      </c>
      <c r="BG46" s="186">
        <f>'ADJ DETAIL-INPUT'!BH45</f>
        <v>0</v>
      </c>
      <c r="BH46" s="186">
        <f>'ADJ DETAIL-INPUT'!BI45</f>
        <v>0</v>
      </c>
      <c r="BI46" s="186">
        <f>'ADJ DETAIL-INPUT'!BJ45</f>
        <v>0</v>
      </c>
      <c r="BJ46" s="186">
        <f>'ADJ DETAIL-INPUT'!BK45</f>
        <v>0</v>
      </c>
      <c r="BK46" s="186">
        <f>'ADJ DETAIL-INPUT'!BN45</f>
        <v>0</v>
      </c>
      <c r="BL46" s="186">
        <f>'ADJ DETAIL-INPUT'!BO45</f>
        <v>0</v>
      </c>
      <c r="BM46" s="186">
        <f>'ADJ DETAIL-INPUT'!BP45</f>
        <v>-314</v>
      </c>
      <c r="BN46" s="186">
        <f>'ADJ DETAIL-INPUT'!BQ45</f>
        <v>942</v>
      </c>
      <c r="BO46" s="186">
        <f>'ADJ DETAIL-INPUT'!BR45</f>
        <v>171.6</v>
      </c>
      <c r="BP46" s="186">
        <f>'ADJ DETAIL-INPUT'!BS45</f>
        <v>0</v>
      </c>
      <c r="BQ46" s="186">
        <f>'ADJ DETAIL-INPUT'!BT45</f>
        <v>-207</v>
      </c>
      <c r="BR46" s="186">
        <f>'ADJ DETAIL-INPUT'!BU45</f>
        <v>1073.636</v>
      </c>
      <c r="BS46" s="186">
        <f>'ADJ DETAIL-INPUT'!BV45</f>
        <v>-223</v>
      </c>
      <c r="BT46" s="186">
        <f>'ADJ DETAIL-INPUT'!BW45</f>
        <v>-480.166</v>
      </c>
      <c r="BU46" s="186">
        <f>'ADJ DETAIL-INPUT'!BX45</f>
        <v>0</v>
      </c>
      <c r="BV46" s="186">
        <f>'ADJ DETAIL-INPUT'!BY45</f>
        <v>0</v>
      </c>
      <c r="BW46" s="186">
        <f>'ADJ DETAIL-INPUT'!BZ45</f>
        <v>0</v>
      </c>
      <c r="BX46" s="186">
        <f>'ADJ DETAIL-INPUT'!CA45</f>
        <v>0</v>
      </c>
      <c r="BY46" s="186">
        <f>'ADJ DETAIL-INPUT'!CB45</f>
        <v>0</v>
      </c>
    </row>
    <row r="47" spans="1:77" s="178" customFormat="1">
      <c r="A47" s="176">
        <f>'ADJ DETAIL-INPUT'!A46</f>
        <v>25</v>
      </c>
      <c r="B47" s="178" t="str">
        <f>'ADJ DETAIL-INPUT'!B46</f>
        <v xml:space="preserve">Total Electric Expenses  </v>
      </c>
      <c r="E47" s="307">
        <f>'ADJ DETAIL-INPUT'!E46</f>
        <v>663617.69999999995</v>
      </c>
      <c r="F47" s="186">
        <f>'ADJ DETAIL-INPUT'!F46</f>
        <v>0</v>
      </c>
      <c r="G47" s="186">
        <f>'ADJ DETAIL-INPUT'!G46</f>
        <v>0</v>
      </c>
      <c r="H47" s="186">
        <f>'ADJ DETAIL-INPUT'!H46</f>
        <v>0</v>
      </c>
      <c r="I47" s="186">
        <f>'ADJ DETAIL-INPUT'!I46</f>
        <v>-21027</v>
      </c>
      <c r="J47" s="186">
        <f>'ADJ DETAIL-INPUT'!J46</f>
        <v>-20759</v>
      </c>
      <c r="K47" s="186">
        <f>'ADJ DETAIL-INPUT'!K46</f>
        <v>1358</v>
      </c>
      <c r="L47" s="186">
        <f>'ADJ DETAIL-INPUT'!L46</f>
        <v>912</v>
      </c>
      <c r="M47" s="186">
        <f>'ADJ DETAIL-INPUT'!M46</f>
        <v>834</v>
      </c>
      <c r="N47" s="186">
        <f>'ADJ DETAIL-INPUT'!N46</f>
        <v>-315</v>
      </c>
      <c r="O47" s="186">
        <f>'ADJ DETAIL-INPUT'!O46</f>
        <v>0</v>
      </c>
      <c r="P47" s="186">
        <f>'ADJ DETAIL-INPUT'!P46</f>
        <v>-33</v>
      </c>
      <c r="Q47" s="186">
        <f>'ADJ DETAIL-INPUT'!Q46</f>
        <v>-58</v>
      </c>
      <c r="R47" s="186">
        <f>'ADJ DETAIL-INPUT'!R46</f>
        <v>-68</v>
      </c>
      <c r="S47" s="186">
        <f>'ADJ DETAIL-INPUT'!S46</f>
        <v>-489</v>
      </c>
      <c r="T47" s="186">
        <f>'ADJ DETAIL-INPUT'!T46</f>
        <v>-14241</v>
      </c>
      <c r="U47" s="186">
        <f>'ADJ DETAIL-INPUT'!U46</f>
        <v>-1297</v>
      </c>
      <c r="V47" s="186">
        <f>'ADJ DETAIL-INPUT'!V46</f>
        <v>790.66499999999996</v>
      </c>
      <c r="W47" s="186">
        <f>'ADJ DETAIL-INPUT'!W46</f>
        <v>0</v>
      </c>
      <c r="X47" s="186">
        <f>'ADJ DETAIL-INPUT'!X46</f>
        <v>0</v>
      </c>
      <c r="Y47" s="186">
        <f>'ADJ DETAIL-INPUT'!Y46</f>
        <v>43014</v>
      </c>
      <c r="Z47" s="186">
        <f>'ADJ DETAIL-INPUT'!Z46</f>
        <v>-15</v>
      </c>
      <c r="AA47" s="186">
        <f>'ADJ DETAIL-INPUT'!AA46</f>
        <v>334</v>
      </c>
      <c r="AB47" s="186">
        <f>'ADJ DETAIL-INPUT'!AB46</f>
        <v>-129513</v>
      </c>
      <c r="AC47" s="186">
        <f>'ADJ DETAIL-INPUT'!AC46</f>
        <v>0</v>
      </c>
      <c r="AD47" s="186">
        <f>'ADJ DETAIL-INPUT'!AE46</f>
        <v>75852</v>
      </c>
      <c r="AE47" s="186">
        <f>'ADJ DETAIL-INPUT'!AF46</f>
        <v>0</v>
      </c>
      <c r="AF47" s="186">
        <f>'ADJ DETAIL-INPUT'!AG46</f>
        <v>1448</v>
      </c>
      <c r="AG47" s="186">
        <f>'ADJ DETAIL-INPUT'!AH46</f>
        <v>6218.5</v>
      </c>
      <c r="AH47" s="186">
        <f>'ADJ DETAIL-INPUT'!AI46</f>
        <v>0</v>
      </c>
      <c r="AI47" s="186">
        <f>'ADJ DETAIL-INPUT'!AJ46</f>
        <v>-2321</v>
      </c>
      <c r="AJ47" s="186">
        <f>'ADJ DETAIL-INPUT'!AK46</f>
        <v>6594.7000000000007</v>
      </c>
      <c r="AK47" s="186">
        <f>'ADJ DETAIL-INPUT'!AL46</f>
        <v>60.036999999999999</v>
      </c>
      <c r="AL47" s="186">
        <f>'ADJ DETAIL-INPUT'!AM46</f>
        <v>-5428.6</v>
      </c>
      <c r="AM47" s="186">
        <f>'ADJ DETAIL-INPUT'!AN46</f>
        <v>1163.7</v>
      </c>
      <c r="AN47" s="186">
        <f>'ADJ DETAIL-INPUT'!AO46</f>
        <v>262</v>
      </c>
      <c r="AO47" s="186">
        <f>'ADJ DETAIL-INPUT'!AP46</f>
        <v>381</v>
      </c>
      <c r="AP47" s="186">
        <f>'ADJ DETAIL-INPUT'!AQ46</f>
        <v>-185</v>
      </c>
      <c r="AQ47" s="186">
        <f>'ADJ DETAIL-INPUT'!AR46</f>
        <v>5260</v>
      </c>
      <c r="AR47" s="186">
        <f>'ADJ DETAIL-INPUT'!AS46</f>
        <v>101.5</v>
      </c>
      <c r="AS47" s="186">
        <f>'ADJ DETAIL-INPUT'!AT46</f>
        <v>8875.9499999999989</v>
      </c>
      <c r="AT47" s="186">
        <f>'ADJ DETAIL-INPUT'!AU46</f>
        <v>4191.2</v>
      </c>
      <c r="AU47" s="186">
        <f>'ADJ DETAIL-INPUT'!AV46</f>
        <v>-750.3</v>
      </c>
      <c r="AV47" s="186">
        <f>'ADJ DETAIL-INPUT'!AW46</f>
        <v>4647</v>
      </c>
      <c r="AW47" s="186">
        <f>'ADJ DETAIL-INPUT'!AX46</f>
        <v>4577.7999999999993</v>
      </c>
      <c r="AX47" s="186">
        <f>'ADJ DETAIL-INPUT'!AY46</f>
        <v>563</v>
      </c>
      <c r="AY47" s="186">
        <f>'ADJ DETAIL-INPUT'!AZ46</f>
        <v>473.9</v>
      </c>
      <c r="AZ47" s="186">
        <f>'ADJ DETAIL-INPUT'!BA46</f>
        <v>132</v>
      </c>
      <c r="BA47" s="186">
        <f>'ADJ DETAIL-INPUT'!BB46</f>
        <v>-334</v>
      </c>
      <c r="BB47" s="186">
        <f>'ADJ DETAIL-INPUT'!BC46</f>
        <v>2159</v>
      </c>
      <c r="BC47" s="186">
        <f>'ADJ DETAIL-INPUT'!BD46</f>
        <v>4056</v>
      </c>
      <c r="BD47" s="186">
        <f>'ADJ DETAIL-INPUT'!BE46</f>
        <v>5258</v>
      </c>
      <c r="BE47" s="186">
        <f>'ADJ DETAIL-INPUT'!BF46</f>
        <v>-916.81</v>
      </c>
      <c r="BF47" s="186">
        <f>'ADJ DETAIL-INPUT'!BG46</f>
        <v>0</v>
      </c>
      <c r="BG47" s="186">
        <f>'ADJ DETAIL-INPUT'!BH46</f>
        <v>0</v>
      </c>
      <c r="BH47" s="186">
        <f>'ADJ DETAIL-INPUT'!BI46</f>
        <v>0</v>
      </c>
      <c r="BI47" s="186">
        <f>'ADJ DETAIL-INPUT'!BJ46</f>
        <v>0</v>
      </c>
      <c r="BJ47" s="186">
        <f>'ADJ DETAIL-INPUT'!BK46</f>
        <v>0</v>
      </c>
      <c r="BK47" s="186">
        <f>'ADJ DETAIL-INPUT'!BN46</f>
        <v>-20941</v>
      </c>
      <c r="BL47" s="186">
        <f>'ADJ DETAIL-INPUT'!BO46</f>
        <v>0</v>
      </c>
      <c r="BM47" s="186">
        <f>'ADJ DETAIL-INPUT'!BP46</f>
        <v>-314</v>
      </c>
      <c r="BN47" s="186">
        <f>'ADJ DETAIL-INPUT'!BQ46</f>
        <v>2642</v>
      </c>
      <c r="BO47" s="186">
        <f>'ADJ DETAIL-INPUT'!BR46</f>
        <v>463.7</v>
      </c>
      <c r="BP47" s="186">
        <f>'ADJ DETAIL-INPUT'!BS46</f>
        <v>747</v>
      </c>
      <c r="BQ47" s="186">
        <f>'ADJ DETAIL-INPUT'!BT46</f>
        <v>-207</v>
      </c>
      <c r="BR47" s="186">
        <f>'ADJ DETAIL-INPUT'!BU46</f>
        <v>3550.38</v>
      </c>
      <c r="BS47" s="186">
        <f>'ADJ DETAIL-INPUT'!BV46</f>
        <v>3775</v>
      </c>
      <c r="BT47" s="186">
        <f>'ADJ DETAIL-INPUT'!BW46</f>
        <v>-830.33299999999997</v>
      </c>
      <c r="BU47" s="186">
        <f>'ADJ DETAIL-INPUT'!BX46</f>
        <v>0</v>
      </c>
      <c r="BV47" s="186">
        <f>'ADJ DETAIL-INPUT'!BY46</f>
        <v>36</v>
      </c>
      <c r="BW47" s="186">
        <f>'ADJ DETAIL-INPUT'!BZ46</f>
        <v>1661</v>
      </c>
      <c r="BX47" s="186">
        <f>'ADJ DETAIL-INPUT'!CA46</f>
        <v>176</v>
      </c>
      <c r="BY47" s="186">
        <f>'ADJ DETAIL-INPUT'!CB46</f>
        <v>0</v>
      </c>
    </row>
    <row r="48" spans="1:77" s="178" customFormat="1" ht="6.75" customHeight="1">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row>
    <row r="49" spans="1:77" s="178" customFormat="1">
      <c r="A49" s="176">
        <f>'ADJ DETAIL-INPUT'!A48</f>
        <v>26</v>
      </c>
      <c r="B49" s="178" t="str">
        <f>'ADJ DETAIL-INPUT'!B48</f>
        <v xml:space="preserve">OPERATING INCOME BEFORE FIT  </v>
      </c>
      <c r="E49" s="178">
        <f>'ADJ DETAIL-INPUT'!E48</f>
        <v>111650.70000000007</v>
      </c>
      <c r="F49" s="183">
        <f>'ADJ DETAIL-INPUT'!F48</f>
        <v>0</v>
      </c>
      <c r="G49" s="183">
        <f>'ADJ DETAIL-INPUT'!G48</f>
        <v>0</v>
      </c>
      <c r="H49" s="183">
        <f>'ADJ DETAIL-INPUT'!H48</f>
        <v>0</v>
      </c>
      <c r="I49" s="183">
        <f>'ADJ DETAIL-INPUT'!I48</f>
        <v>-1961</v>
      </c>
      <c r="J49" s="183">
        <f>'ADJ DETAIL-INPUT'!J48</f>
        <v>64</v>
      </c>
      <c r="K49" s="183">
        <f>'ADJ DETAIL-INPUT'!K48</f>
        <v>-1358</v>
      </c>
      <c r="L49" s="183">
        <f>'ADJ DETAIL-INPUT'!L48</f>
        <v>-912</v>
      </c>
      <c r="M49" s="183">
        <f>'ADJ DETAIL-INPUT'!M48</f>
        <v>-834</v>
      </c>
      <c r="N49" s="183">
        <f>'ADJ DETAIL-INPUT'!N48</f>
        <v>315</v>
      </c>
      <c r="O49" s="183">
        <f>'ADJ DETAIL-INPUT'!O48</f>
        <v>0</v>
      </c>
      <c r="P49" s="183">
        <f>'ADJ DETAIL-INPUT'!P48</f>
        <v>33</v>
      </c>
      <c r="Q49" s="183">
        <f>'ADJ DETAIL-INPUT'!Q48</f>
        <v>58</v>
      </c>
      <c r="R49" s="183">
        <f>'ADJ DETAIL-INPUT'!R48</f>
        <v>68</v>
      </c>
      <c r="S49" s="183">
        <f>'ADJ DETAIL-INPUT'!S48</f>
        <v>-1394</v>
      </c>
      <c r="T49" s="183">
        <f>'ADJ DETAIL-INPUT'!T48</f>
        <v>24303</v>
      </c>
      <c r="U49" s="183">
        <f>'ADJ DETAIL-INPUT'!U48</f>
        <v>1297</v>
      </c>
      <c r="V49" s="183">
        <f>'ADJ DETAIL-INPUT'!V48</f>
        <v>-790.66499999999996</v>
      </c>
      <c r="W49" s="183">
        <f>'ADJ DETAIL-INPUT'!W48</f>
        <v>0</v>
      </c>
      <c r="X49" s="183">
        <f>'ADJ DETAIL-INPUT'!X48</f>
        <v>0</v>
      </c>
      <c r="Y49" s="183">
        <f>'ADJ DETAIL-INPUT'!Y48</f>
        <v>-39418</v>
      </c>
      <c r="Z49" s="183">
        <f>'ADJ DETAIL-INPUT'!Z48</f>
        <v>15</v>
      </c>
      <c r="AA49" s="183">
        <f>'ADJ DETAIL-INPUT'!AA48</f>
        <v>-334</v>
      </c>
      <c r="AB49" s="183">
        <f>'ADJ DETAIL-INPUT'!AB48</f>
        <v>58964</v>
      </c>
      <c r="AC49" s="183">
        <f>'ADJ DETAIL-INPUT'!AC48</f>
        <v>0</v>
      </c>
      <c r="AD49" s="183">
        <f>'ADJ DETAIL-INPUT'!AE48</f>
        <v>-20872</v>
      </c>
      <c r="AE49" s="183">
        <f>'ADJ DETAIL-INPUT'!AF48</f>
        <v>3245</v>
      </c>
      <c r="AF49" s="183">
        <f>'ADJ DETAIL-INPUT'!AG48</f>
        <v>31843</v>
      </c>
      <c r="AG49" s="183">
        <f>'ADJ DETAIL-INPUT'!AH48</f>
        <v>-6218.5</v>
      </c>
      <c r="AH49" s="183">
        <f>'ADJ DETAIL-INPUT'!AI48</f>
        <v>0</v>
      </c>
      <c r="AI49" s="183">
        <f>'ADJ DETAIL-INPUT'!AJ48</f>
        <v>2321</v>
      </c>
      <c r="AJ49" s="183">
        <f>'ADJ DETAIL-INPUT'!AK48</f>
        <v>-6594.7000000000007</v>
      </c>
      <c r="AK49" s="183">
        <f>'ADJ DETAIL-INPUT'!AL48</f>
        <v>-60.036999999999999</v>
      </c>
      <c r="AL49" s="183">
        <f>'ADJ DETAIL-INPUT'!AM48</f>
        <v>5428.6</v>
      </c>
      <c r="AM49" s="183">
        <f>'ADJ DETAIL-INPUT'!AN48</f>
        <v>-1163.7</v>
      </c>
      <c r="AN49" s="183">
        <f>'ADJ DETAIL-INPUT'!AO48</f>
        <v>-262</v>
      </c>
      <c r="AO49" s="183">
        <f>'ADJ DETAIL-INPUT'!AP48</f>
        <v>-381</v>
      </c>
      <c r="AP49" s="183">
        <f>'ADJ DETAIL-INPUT'!AQ48</f>
        <v>185</v>
      </c>
      <c r="AQ49" s="183">
        <f>'ADJ DETAIL-INPUT'!AR48</f>
        <v>-5260</v>
      </c>
      <c r="AR49" s="183">
        <f>'ADJ DETAIL-INPUT'!AS48</f>
        <v>-101.5</v>
      </c>
      <c r="AS49" s="183">
        <f>'ADJ DETAIL-INPUT'!AT48</f>
        <v>-8875.9499999999989</v>
      </c>
      <c r="AT49" s="183">
        <f>'ADJ DETAIL-INPUT'!AU48</f>
        <v>-4191.2</v>
      </c>
      <c r="AU49" s="183">
        <f>'ADJ DETAIL-INPUT'!AV48</f>
        <v>750.3</v>
      </c>
      <c r="AV49" s="183">
        <f>'ADJ DETAIL-INPUT'!AW48</f>
        <v>-4647</v>
      </c>
      <c r="AW49" s="183">
        <f>'ADJ DETAIL-INPUT'!AX48</f>
        <v>-4577.7999999999993</v>
      </c>
      <c r="AX49" s="183">
        <f>'ADJ DETAIL-INPUT'!AY48</f>
        <v>-563</v>
      </c>
      <c r="AY49" s="183">
        <f>'ADJ DETAIL-INPUT'!AZ48</f>
        <v>-473.9</v>
      </c>
      <c r="AZ49" s="183">
        <f>'ADJ DETAIL-INPUT'!BA48</f>
        <v>-132</v>
      </c>
      <c r="BA49" s="183">
        <f>'ADJ DETAIL-INPUT'!BB48</f>
        <v>334</v>
      </c>
      <c r="BB49" s="183">
        <f>'ADJ DETAIL-INPUT'!BC48</f>
        <v>-2159</v>
      </c>
      <c r="BC49" s="183">
        <f>'ADJ DETAIL-INPUT'!BD48</f>
        <v>-4056</v>
      </c>
      <c r="BD49" s="183">
        <f>'ADJ DETAIL-INPUT'!BE48</f>
        <v>-5258</v>
      </c>
      <c r="BE49" s="183">
        <f>'ADJ DETAIL-INPUT'!BF48</f>
        <v>7298.8099999999995</v>
      </c>
      <c r="BF49" s="183">
        <f>'ADJ DETAIL-INPUT'!BG48</f>
        <v>0</v>
      </c>
      <c r="BG49" s="183">
        <f>'ADJ DETAIL-INPUT'!BH48</f>
        <v>0</v>
      </c>
      <c r="BH49" s="183">
        <f>'ADJ DETAIL-INPUT'!BI48</f>
        <v>0</v>
      </c>
      <c r="BI49" s="183">
        <f>'ADJ DETAIL-INPUT'!BJ48</f>
        <v>0</v>
      </c>
      <c r="BJ49" s="183">
        <f>'ADJ DETAIL-INPUT'!BK48</f>
        <v>0</v>
      </c>
      <c r="BK49" s="183">
        <f>'ADJ DETAIL-INPUT'!BN48</f>
        <v>-56685</v>
      </c>
      <c r="BL49" s="183">
        <f>'ADJ DETAIL-INPUT'!BO48</f>
        <v>0</v>
      </c>
      <c r="BM49" s="183">
        <f>'ADJ DETAIL-INPUT'!BP48</f>
        <v>314</v>
      </c>
      <c r="BN49" s="183">
        <f>'ADJ DETAIL-INPUT'!BQ48</f>
        <v>-2642</v>
      </c>
      <c r="BO49" s="183">
        <f>'ADJ DETAIL-INPUT'!BR48</f>
        <v>-463.7</v>
      </c>
      <c r="BP49" s="183">
        <f>'ADJ DETAIL-INPUT'!BS48</f>
        <v>-747</v>
      </c>
      <c r="BQ49" s="183">
        <f>'ADJ DETAIL-INPUT'!BT48</f>
        <v>207</v>
      </c>
      <c r="BR49" s="183">
        <f>'ADJ DETAIL-INPUT'!BU48</f>
        <v>-3550.38</v>
      </c>
      <c r="BS49" s="183">
        <f>'ADJ DETAIL-INPUT'!BV48</f>
        <v>-3775</v>
      </c>
      <c r="BT49" s="183">
        <f>'ADJ DETAIL-INPUT'!BW48</f>
        <v>3844.3330000000001</v>
      </c>
      <c r="BU49" s="183">
        <f>'ADJ DETAIL-INPUT'!BX48</f>
        <v>0</v>
      </c>
      <c r="BV49" s="183">
        <f>'ADJ DETAIL-INPUT'!BY48</f>
        <v>-36</v>
      </c>
      <c r="BW49" s="183">
        <f>'ADJ DETAIL-INPUT'!BZ48</f>
        <v>-1661</v>
      </c>
      <c r="BX49" s="183">
        <f>'ADJ DETAIL-INPUT'!CA48</f>
        <v>-176</v>
      </c>
      <c r="BY49" s="183">
        <f>'ADJ DETAIL-INPUT'!CB48</f>
        <v>0</v>
      </c>
    </row>
    <row r="50" spans="1:77" s="178" customFormat="1" ht="6.75" customHeight="1">
      <c r="A50" s="176"/>
      <c r="F50" s="183"/>
      <c r="G50" s="183"/>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183"/>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3"/>
      <c r="BQ50" s="183"/>
      <c r="BR50" s="183"/>
      <c r="BS50" s="183"/>
      <c r="BT50" s="183"/>
      <c r="BU50" s="183"/>
      <c r="BV50" s="183"/>
      <c r="BW50" s="183"/>
      <c r="BX50" s="183"/>
      <c r="BY50" s="183"/>
    </row>
    <row r="51" spans="1:77" s="178" customFormat="1">
      <c r="A51" s="180"/>
      <c r="B51" s="178" t="str">
        <f>'ADJ DETAIL-INPUT'!B50</f>
        <v xml:space="preserve">FEDERAL INCOME TAX  </v>
      </c>
      <c r="E51" s="178">
        <f>'ADJ DETAIL-INPUT'!E50</f>
        <v>0</v>
      </c>
      <c r="F51" s="183">
        <f>'ADJ DETAIL-INPUT'!F50</f>
        <v>0</v>
      </c>
      <c r="G51" s="183">
        <f>'ADJ DETAIL-INPUT'!G50</f>
        <v>0</v>
      </c>
      <c r="H51" s="183">
        <f>'ADJ DETAIL-INPUT'!H50</f>
        <v>0</v>
      </c>
      <c r="I51" s="183">
        <f>'ADJ DETAIL-INPUT'!I50</f>
        <v>0</v>
      </c>
      <c r="J51" s="183">
        <f>'ADJ DETAIL-INPUT'!J50</f>
        <v>0</v>
      </c>
      <c r="K51" s="183">
        <f>'ADJ DETAIL-INPUT'!K50</f>
        <v>0</v>
      </c>
      <c r="L51" s="183">
        <f>'ADJ DETAIL-INPUT'!L50</f>
        <v>0</v>
      </c>
      <c r="M51" s="183">
        <f>'ADJ DETAIL-INPUT'!M50</f>
        <v>0</v>
      </c>
      <c r="N51" s="183">
        <f>'ADJ DETAIL-INPUT'!N50</f>
        <v>0</v>
      </c>
      <c r="O51" s="183">
        <f>'ADJ DETAIL-INPUT'!O50</f>
        <v>0</v>
      </c>
      <c r="P51" s="183">
        <f>'ADJ DETAIL-INPUT'!P50</f>
        <v>0</v>
      </c>
      <c r="Q51" s="183">
        <f>'ADJ DETAIL-INPUT'!Q50</f>
        <v>0</v>
      </c>
      <c r="R51" s="183">
        <f>'ADJ DETAIL-INPUT'!R50</f>
        <v>0</v>
      </c>
      <c r="S51" s="183">
        <f>'ADJ DETAIL-INPUT'!S50</f>
        <v>0</v>
      </c>
      <c r="T51" s="183">
        <f>'ADJ DETAIL-INPUT'!T50</f>
        <v>0</v>
      </c>
      <c r="U51" s="183">
        <f>'ADJ DETAIL-INPUT'!U50</f>
        <v>0</v>
      </c>
      <c r="V51" s="183">
        <f>'ADJ DETAIL-INPUT'!V50</f>
        <v>0</v>
      </c>
      <c r="W51" s="183">
        <f>'ADJ DETAIL-INPUT'!W50</f>
        <v>0</v>
      </c>
      <c r="X51" s="183">
        <f>'ADJ DETAIL-INPUT'!X50</f>
        <v>0</v>
      </c>
      <c r="Y51" s="183">
        <f>'ADJ DETAIL-INPUT'!Y50</f>
        <v>0</v>
      </c>
      <c r="Z51" s="183">
        <f>'ADJ DETAIL-INPUT'!Z50</f>
        <v>0</v>
      </c>
      <c r="AA51" s="183">
        <f>'ADJ DETAIL-INPUT'!AA50</f>
        <v>0</v>
      </c>
      <c r="AB51" s="183">
        <f>'ADJ DETAIL-INPUT'!AB50</f>
        <v>0</v>
      </c>
      <c r="AC51" s="183">
        <f>'ADJ DETAIL-INPUT'!AC50</f>
        <v>0</v>
      </c>
      <c r="AD51" s="183">
        <f>'ADJ DETAIL-INPUT'!AE50</f>
        <v>0</v>
      </c>
      <c r="AE51" s="183">
        <f>'ADJ DETAIL-INPUT'!AF50</f>
        <v>0</v>
      </c>
      <c r="AF51" s="183">
        <f>'ADJ DETAIL-INPUT'!AG50</f>
        <v>0</v>
      </c>
      <c r="AG51" s="183">
        <f>'ADJ DETAIL-INPUT'!AH50</f>
        <v>0</v>
      </c>
      <c r="AH51" s="183">
        <f>'ADJ DETAIL-INPUT'!AI50</f>
        <v>0</v>
      </c>
      <c r="AI51" s="183">
        <f>'ADJ DETAIL-INPUT'!AJ50</f>
        <v>0</v>
      </c>
      <c r="AJ51" s="183">
        <f>'ADJ DETAIL-INPUT'!AK50</f>
        <v>0</v>
      </c>
      <c r="AK51" s="183">
        <f>'ADJ DETAIL-INPUT'!AL50</f>
        <v>0</v>
      </c>
      <c r="AL51" s="183">
        <f>'ADJ DETAIL-INPUT'!AM50</f>
        <v>0</v>
      </c>
      <c r="AM51" s="183">
        <f>'ADJ DETAIL-INPUT'!AN50</f>
        <v>0</v>
      </c>
      <c r="AN51" s="183">
        <f>'ADJ DETAIL-INPUT'!AO50</f>
        <v>0</v>
      </c>
      <c r="AO51" s="183">
        <f>'ADJ DETAIL-INPUT'!AP50</f>
        <v>0</v>
      </c>
      <c r="AP51" s="183">
        <f>'ADJ DETAIL-INPUT'!AQ50</f>
        <v>0</v>
      </c>
      <c r="AQ51" s="183">
        <f>'ADJ DETAIL-INPUT'!AR50</f>
        <v>0</v>
      </c>
      <c r="AR51" s="183">
        <f>'ADJ DETAIL-INPUT'!AS50</f>
        <v>0</v>
      </c>
      <c r="AS51" s="183">
        <f>'ADJ DETAIL-INPUT'!AT50</f>
        <v>0</v>
      </c>
      <c r="AT51" s="183">
        <f>'ADJ DETAIL-INPUT'!AU50</f>
        <v>0</v>
      </c>
      <c r="AU51" s="183">
        <f>'ADJ DETAIL-INPUT'!AV50</f>
        <v>0</v>
      </c>
      <c r="AV51" s="183">
        <f>'ADJ DETAIL-INPUT'!AW50</f>
        <v>0</v>
      </c>
      <c r="AW51" s="183">
        <f>'ADJ DETAIL-INPUT'!AX50</f>
        <v>0</v>
      </c>
      <c r="AX51" s="183">
        <f>'ADJ DETAIL-INPUT'!AY50</f>
        <v>0</v>
      </c>
      <c r="AY51" s="183">
        <f>'ADJ DETAIL-INPUT'!AZ50</f>
        <v>0</v>
      </c>
      <c r="AZ51" s="183">
        <f>'ADJ DETAIL-INPUT'!BA50</f>
        <v>0</v>
      </c>
      <c r="BA51" s="183">
        <f>'ADJ DETAIL-INPUT'!BB50</f>
        <v>0</v>
      </c>
      <c r="BB51" s="183">
        <f>'ADJ DETAIL-INPUT'!BC50</f>
        <v>0</v>
      </c>
      <c r="BC51" s="183">
        <f>'ADJ DETAIL-INPUT'!BD50</f>
        <v>0</v>
      </c>
      <c r="BD51" s="183">
        <f>'ADJ DETAIL-INPUT'!BE50</f>
        <v>0</v>
      </c>
      <c r="BE51" s="183">
        <f>'ADJ DETAIL-INPUT'!BF50</f>
        <v>0</v>
      </c>
      <c r="BF51" s="183">
        <f>'ADJ DETAIL-INPUT'!BG50</f>
        <v>0</v>
      </c>
      <c r="BG51" s="183">
        <f>'ADJ DETAIL-INPUT'!BH50</f>
        <v>0</v>
      </c>
      <c r="BH51" s="183">
        <f>'ADJ DETAIL-INPUT'!BI50</f>
        <v>0</v>
      </c>
      <c r="BI51" s="183">
        <f>'ADJ DETAIL-INPUT'!BJ50</f>
        <v>0</v>
      </c>
      <c r="BJ51" s="183">
        <f>'ADJ DETAIL-INPUT'!BK50</f>
        <v>0</v>
      </c>
      <c r="BK51" s="183">
        <f>'ADJ DETAIL-INPUT'!BN50</f>
        <v>0</v>
      </c>
      <c r="BL51" s="183">
        <f>'ADJ DETAIL-INPUT'!BO50</f>
        <v>0</v>
      </c>
      <c r="BM51" s="183">
        <f>'ADJ DETAIL-INPUT'!BP50</f>
        <v>0</v>
      </c>
      <c r="BN51" s="183">
        <f>'ADJ DETAIL-INPUT'!BQ50</f>
        <v>0</v>
      </c>
      <c r="BO51" s="183">
        <f>'ADJ DETAIL-INPUT'!BR50</f>
        <v>0</v>
      </c>
      <c r="BP51" s="183">
        <f>'ADJ DETAIL-INPUT'!BS50</f>
        <v>0</v>
      </c>
      <c r="BQ51" s="183">
        <f>'ADJ DETAIL-INPUT'!BT50</f>
        <v>0</v>
      </c>
      <c r="BR51" s="183">
        <f>'ADJ DETAIL-INPUT'!BU50</f>
        <v>0</v>
      </c>
      <c r="BS51" s="183">
        <f>'ADJ DETAIL-INPUT'!BV50</f>
        <v>0</v>
      </c>
      <c r="BT51" s="183">
        <f>'ADJ DETAIL-INPUT'!BW50</f>
        <v>0</v>
      </c>
      <c r="BU51" s="183">
        <f>'ADJ DETAIL-INPUT'!BX50</f>
        <v>0</v>
      </c>
      <c r="BV51" s="183">
        <f>'ADJ DETAIL-INPUT'!BY50</f>
        <v>0</v>
      </c>
      <c r="BW51" s="183">
        <f>'ADJ DETAIL-INPUT'!BZ50</f>
        <v>0</v>
      </c>
      <c r="BX51" s="183">
        <f>'ADJ DETAIL-INPUT'!CA50</f>
        <v>0</v>
      </c>
      <c r="BY51" s="183">
        <f>'ADJ DETAIL-INPUT'!CB50</f>
        <v>0</v>
      </c>
    </row>
    <row r="52" spans="1:77" s="178" customFormat="1">
      <c r="A52" s="176">
        <f>'ADJ DETAIL-INPUT'!A51</f>
        <v>27</v>
      </c>
      <c r="B52" s="178" t="str">
        <f>'ADJ DETAIL-INPUT'!B51</f>
        <v xml:space="preserve">Current Accrual </v>
      </c>
      <c r="E52" s="178">
        <f>'ADJ DETAIL-INPUT'!E51</f>
        <v>-6746</v>
      </c>
      <c r="F52" s="183">
        <f>'ADJ DETAIL-INPUT'!F51</f>
        <v>0</v>
      </c>
      <c r="G52" s="183">
        <f>'ADJ DETAIL-INPUT'!G51</f>
        <v>0</v>
      </c>
      <c r="H52" s="183">
        <f>'ADJ DETAIL-INPUT'!H51</f>
        <v>0</v>
      </c>
      <c r="I52" s="183">
        <f>'ADJ DETAIL-INPUT'!I51</f>
        <v>-411.81</v>
      </c>
      <c r="J52" s="183">
        <f>'ADJ DETAIL-INPUT'!J51</f>
        <v>13.44</v>
      </c>
      <c r="K52" s="183">
        <f>'ADJ DETAIL-INPUT'!K51</f>
        <v>-285.18</v>
      </c>
      <c r="L52" s="183">
        <f>'ADJ DETAIL-INPUT'!L51</f>
        <v>-191.51999999999998</v>
      </c>
      <c r="M52" s="183">
        <f>'ADJ DETAIL-INPUT'!M51</f>
        <v>-175.14</v>
      </c>
      <c r="N52" s="183">
        <f>'ADJ DETAIL-INPUT'!N51</f>
        <v>66.149999999999991</v>
      </c>
      <c r="O52" s="183">
        <f>'ADJ DETAIL-INPUT'!O51</f>
        <v>0</v>
      </c>
      <c r="P52" s="183">
        <f>'ADJ DETAIL-INPUT'!P51</f>
        <v>6.93</v>
      </c>
      <c r="Q52" s="183">
        <f>'ADJ DETAIL-INPUT'!Q51</f>
        <v>12.18</v>
      </c>
      <c r="R52" s="183">
        <f>'ADJ DETAIL-INPUT'!R51</f>
        <v>14.28</v>
      </c>
      <c r="S52" s="183">
        <f>'ADJ DETAIL-INPUT'!S51</f>
        <v>-292.74</v>
      </c>
      <c r="T52" s="183">
        <f>'ADJ DETAIL-INPUT'!T51</f>
        <v>5103.63</v>
      </c>
      <c r="U52" s="183">
        <f>'ADJ DETAIL-INPUT'!U51</f>
        <v>272.37</v>
      </c>
      <c r="V52" s="183">
        <f>'ADJ DETAIL-INPUT'!V51</f>
        <v>-166.03964999999999</v>
      </c>
      <c r="W52" s="183">
        <f>'ADJ DETAIL-INPUT'!W51</f>
        <v>226</v>
      </c>
      <c r="X52" s="183">
        <f>'ADJ DETAIL-INPUT'!X51</f>
        <v>0</v>
      </c>
      <c r="Y52" s="183">
        <f>'ADJ DETAIL-INPUT'!Y51</f>
        <v>719</v>
      </c>
      <c r="Z52" s="183">
        <f>'ADJ DETAIL-INPUT'!Z51</f>
        <v>3.15</v>
      </c>
      <c r="AA52" s="183">
        <f>'ADJ DETAIL-INPUT'!AA51</f>
        <v>-70.14</v>
      </c>
      <c r="AB52" s="183">
        <f>'ADJ DETAIL-INPUT'!AB51</f>
        <v>12382.439999999999</v>
      </c>
      <c r="AC52" s="183">
        <f>'ADJ DETAIL-INPUT'!AC51</f>
        <v>0</v>
      </c>
      <c r="AD52" s="183">
        <f>'ADJ DETAIL-INPUT'!AE51</f>
        <v>-4383.12</v>
      </c>
      <c r="AE52" s="183">
        <f>'ADJ DETAIL-INPUT'!AF51</f>
        <v>681.44999999999993</v>
      </c>
      <c r="AF52" s="183">
        <f>'ADJ DETAIL-INPUT'!AG51</f>
        <v>6687.03</v>
      </c>
      <c r="AG52" s="183">
        <f>'ADJ DETAIL-INPUT'!AH51</f>
        <v>-1305.885</v>
      </c>
      <c r="AH52" s="183">
        <f>'ADJ DETAIL-INPUT'!AI51</f>
        <v>0</v>
      </c>
      <c r="AI52" s="183">
        <f>'ADJ DETAIL-INPUT'!AJ51</f>
        <v>487.60999999999996</v>
      </c>
      <c r="AJ52" s="183">
        <f>'ADJ DETAIL-INPUT'!AK51</f>
        <v>-1384.8870000000002</v>
      </c>
      <c r="AK52" s="183">
        <f>'ADJ DETAIL-INPUT'!AL51</f>
        <v>-12.607769999999999</v>
      </c>
      <c r="AL52" s="183">
        <f>'ADJ DETAIL-INPUT'!AM51</f>
        <v>1140.0060000000001</v>
      </c>
      <c r="AM52" s="183">
        <f>'ADJ DETAIL-INPUT'!AN51</f>
        <v>-244.37700000000001</v>
      </c>
      <c r="AN52" s="183">
        <f>'ADJ DETAIL-INPUT'!AO51</f>
        <v>-55.019999999999996</v>
      </c>
      <c r="AO52" s="183">
        <f>'ADJ DETAIL-INPUT'!AP51</f>
        <v>-80.009999999999991</v>
      </c>
      <c r="AP52" s="183">
        <f>'ADJ DETAIL-INPUT'!AQ51</f>
        <v>38.85</v>
      </c>
      <c r="AQ52" s="183">
        <f>'ADJ DETAIL-INPUT'!AR51</f>
        <v>-1104.5999999999999</v>
      </c>
      <c r="AR52" s="183">
        <f>'ADJ DETAIL-INPUT'!AS51</f>
        <v>-21.314999999999998</v>
      </c>
      <c r="AS52" s="183">
        <f>'ADJ DETAIL-INPUT'!AT51</f>
        <v>-1863.9494999999997</v>
      </c>
      <c r="AT52" s="183">
        <f>'ADJ DETAIL-INPUT'!AU51</f>
        <v>-880.15199999999993</v>
      </c>
      <c r="AU52" s="183">
        <f>'ADJ DETAIL-INPUT'!AV51</f>
        <v>157.56299999999999</v>
      </c>
      <c r="AV52" s="183">
        <f>'ADJ DETAIL-INPUT'!AW51</f>
        <v>-975.87</v>
      </c>
      <c r="AW52" s="183">
        <f>'ADJ DETAIL-INPUT'!AX51</f>
        <v>-961.33799999999985</v>
      </c>
      <c r="AX52" s="183">
        <f>'ADJ DETAIL-INPUT'!AY51</f>
        <v>-118.22999999999999</v>
      </c>
      <c r="AY52" s="183">
        <f>'ADJ DETAIL-INPUT'!AZ51</f>
        <v>-99.518999999999991</v>
      </c>
      <c r="AZ52" s="183">
        <f>'ADJ DETAIL-INPUT'!BA51</f>
        <v>-27.72</v>
      </c>
      <c r="BA52" s="183">
        <f>'ADJ DETAIL-INPUT'!BB51</f>
        <v>70.14</v>
      </c>
      <c r="BB52" s="183">
        <f>'ADJ DETAIL-INPUT'!BC51</f>
        <v>-453.39</v>
      </c>
      <c r="BC52" s="183">
        <f>'ADJ DETAIL-INPUT'!BD51</f>
        <v>-851.76</v>
      </c>
      <c r="BD52" s="183">
        <f>'ADJ DETAIL-INPUT'!BE51</f>
        <v>-1104.18</v>
      </c>
      <c r="BE52" s="183">
        <f>'ADJ DETAIL-INPUT'!BF51</f>
        <v>1532.7500999999997</v>
      </c>
      <c r="BF52" s="183">
        <f>'ADJ DETAIL-INPUT'!BG51</f>
        <v>0</v>
      </c>
      <c r="BG52" s="183">
        <f>'ADJ DETAIL-INPUT'!BH51</f>
        <v>0</v>
      </c>
      <c r="BH52" s="183">
        <f>'ADJ DETAIL-INPUT'!BI51</f>
        <v>0</v>
      </c>
      <c r="BI52" s="183">
        <f>'ADJ DETAIL-INPUT'!BJ51</f>
        <v>0</v>
      </c>
      <c r="BJ52" s="183">
        <f>'ADJ DETAIL-INPUT'!BK51</f>
        <v>0</v>
      </c>
      <c r="BK52" s="183">
        <f>'ADJ DETAIL-INPUT'!BN51</f>
        <v>-11903.65</v>
      </c>
      <c r="BL52" s="183">
        <f>'ADJ DETAIL-INPUT'!BO51</f>
        <v>0.2</v>
      </c>
      <c r="BM52" s="183">
        <f>'ADJ DETAIL-INPUT'!BP51</f>
        <v>66.14</v>
      </c>
      <c r="BN52" s="183">
        <f>'ADJ DETAIL-INPUT'!BQ51</f>
        <v>-554.81999999999994</v>
      </c>
      <c r="BO52" s="183">
        <f>'ADJ DETAIL-INPUT'!BR51</f>
        <v>-97.376999999999995</v>
      </c>
      <c r="BP52" s="183">
        <f>'ADJ DETAIL-INPUT'!BS51</f>
        <v>-156.87</v>
      </c>
      <c r="BQ52" s="183">
        <f>'ADJ DETAIL-INPUT'!BT51</f>
        <v>43.47</v>
      </c>
      <c r="BR52" s="183">
        <f>'ADJ DETAIL-INPUT'!BU51</f>
        <v>-745.57979999999998</v>
      </c>
      <c r="BS52" s="183">
        <f>'ADJ DETAIL-INPUT'!BV51</f>
        <v>-792.75</v>
      </c>
      <c r="BT52" s="183">
        <f>'ADJ DETAIL-INPUT'!BW51</f>
        <v>807.30993000000001</v>
      </c>
      <c r="BU52" s="183">
        <f>'ADJ DETAIL-INPUT'!BX51</f>
        <v>0</v>
      </c>
      <c r="BV52" s="183">
        <f>'ADJ DETAIL-INPUT'!BY51</f>
        <v>-7.56</v>
      </c>
      <c r="BW52" s="183">
        <f>'ADJ DETAIL-INPUT'!BZ51</f>
        <v>-348.81</v>
      </c>
      <c r="BX52" s="183">
        <f>'ADJ DETAIL-INPUT'!CA51</f>
        <v>-36.96</v>
      </c>
      <c r="BY52" s="183">
        <f>'ADJ DETAIL-INPUT'!CB51</f>
        <v>0</v>
      </c>
    </row>
    <row r="53" spans="1:77" s="178" customFormat="1">
      <c r="A53" s="176">
        <f>'ADJ DETAIL-INPUT'!A52</f>
        <v>28</v>
      </c>
      <c r="B53" s="178" t="str">
        <f>'ADJ DETAIL-INPUT'!B52</f>
        <v>Debt Interest</v>
      </c>
      <c r="E53" s="178">
        <f>'ADJ DETAIL-INPUT'!E52</f>
        <v>0</v>
      </c>
      <c r="F53" s="183">
        <f>'ADJ DETAIL-INPUT'!F52</f>
        <v>-15.877974000000002</v>
      </c>
      <c r="G53" s="183">
        <f>'ADJ DETAIL-INPUT'!G52</f>
        <v>0</v>
      </c>
      <c r="H53" s="183">
        <f>'ADJ DETAIL-INPUT'!H52</f>
        <v>17.480882999999999</v>
      </c>
      <c r="I53" s="183">
        <f>'ADJ DETAIL-INPUT'!I52</f>
        <v>134.26656599999998</v>
      </c>
      <c r="J53" s="183">
        <f>'ADJ DETAIL-INPUT'!J52</f>
        <v>0</v>
      </c>
      <c r="K53" s="183">
        <f>'ADJ DETAIL-INPUT'!K52</f>
        <v>0</v>
      </c>
      <c r="L53" s="183">
        <f>'ADJ DETAIL-INPUT'!L52</f>
        <v>0</v>
      </c>
      <c r="M53" s="183">
        <f>'ADJ DETAIL-INPUT'!M52</f>
        <v>0</v>
      </c>
      <c r="N53" s="183">
        <f>'ADJ DETAIL-INPUT'!N52</f>
        <v>0</v>
      </c>
      <c r="O53" s="183">
        <f>'ADJ DETAIL-INPUT'!O52</f>
        <v>0</v>
      </c>
      <c r="P53" s="183">
        <f>'ADJ DETAIL-INPUT'!P52</f>
        <v>0</v>
      </c>
      <c r="Q53" s="183">
        <f>'ADJ DETAIL-INPUT'!Q52</f>
        <v>0</v>
      </c>
      <c r="R53" s="183">
        <f>'ADJ DETAIL-INPUT'!R52</f>
        <v>0</v>
      </c>
      <c r="S53" s="183">
        <f>'ADJ DETAIL-INPUT'!S52</f>
        <v>0</v>
      </c>
      <c r="T53" s="183">
        <f>'ADJ DETAIL-INPUT'!T52</f>
        <v>0</v>
      </c>
      <c r="U53" s="183">
        <f>'ADJ DETAIL-INPUT'!U52</f>
        <v>0</v>
      </c>
      <c r="V53" s="183">
        <f>'ADJ DETAIL-INPUT'!V52</f>
        <v>0</v>
      </c>
      <c r="W53" s="183">
        <f>'ADJ DETAIL-INPUT'!W52</f>
        <v>0</v>
      </c>
      <c r="X53" s="183">
        <f>'ADJ DETAIL-INPUT'!X52</f>
        <v>-291.05805119999997</v>
      </c>
      <c r="Y53" s="183">
        <f>'ADJ DETAIL-INPUT'!Y52</f>
        <v>0</v>
      </c>
      <c r="Z53" s="183">
        <f>'ADJ DETAIL-INPUT'!Z52</f>
        <v>0</v>
      </c>
      <c r="AA53" s="183">
        <f>'ADJ DETAIL-INPUT'!AA52</f>
        <v>0</v>
      </c>
      <c r="AB53" s="183">
        <f>'ADJ DETAIL-INPUT'!AB52</f>
        <v>0</v>
      </c>
      <c r="AC53" s="183">
        <f>'ADJ DETAIL-INPUT'!AC52</f>
        <v>0</v>
      </c>
      <c r="AD53" s="183">
        <f>'ADJ DETAIL-INPUT'!AE52</f>
        <v>0</v>
      </c>
      <c r="AE53" s="183">
        <f>'ADJ DETAIL-INPUT'!AF52</f>
        <v>0</v>
      </c>
      <c r="AF53" s="183">
        <f>'ADJ DETAIL-INPUT'!AG52</f>
        <v>0</v>
      </c>
      <c r="AG53" s="183">
        <f>'ADJ DETAIL-INPUT'!AH52</f>
        <v>0</v>
      </c>
      <c r="AH53" s="183">
        <f>'ADJ DETAIL-INPUT'!AI52</f>
        <v>0</v>
      </c>
      <c r="AI53" s="183">
        <f>'ADJ DETAIL-INPUT'!AJ52</f>
        <v>40.634013000000003</v>
      </c>
      <c r="AJ53" s="183">
        <f>'ADJ DETAIL-INPUT'!AK52</f>
        <v>0</v>
      </c>
      <c r="AK53" s="183">
        <f>'ADJ DETAIL-INPUT'!AL52</f>
        <v>0</v>
      </c>
      <c r="AL53" s="183">
        <f>'ADJ DETAIL-INPUT'!AM52</f>
        <v>0</v>
      </c>
      <c r="AM53" s="183">
        <f>'ADJ DETAIL-INPUT'!AN52</f>
        <v>0</v>
      </c>
      <c r="AN53" s="183">
        <f>'ADJ DETAIL-INPUT'!AO52</f>
        <v>0</v>
      </c>
      <c r="AO53" s="183">
        <f>'ADJ DETAIL-INPUT'!AP52</f>
        <v>0</v>
      </c>
      <c r="AP53" s="183">
        <f>'ADJ DETAIL-INPUT'!AQ52</f>
        <v>0</v>
      </c>
      <c r="AQ53" s="183">
        <f>'ADJ DETAIL-INPUT'!AR52</f>
        <v>0</v>
      </c>
      <c r="AR53" s="183">
        <f>'ADJ DETAIL-INPUT'!AS52</f>
        <v>0</v>
      </c>
      <c r="AS53" s="183">
        <f>'ADJ DETAIL-INPUT'!AT52</f>
        <v>0</v>
      </c>
      <c r="AT53" s="183">
        <f>'ADJ DETAIL-INPUT'!AU52</f>
        <v>-450.22481308703777</v>
      </c>
      <c r="AU53" s="183">
        <f>'ADJ DETAIL-INPUT'!AV52</f>
        <v>0</v>
      </c>
      <c r="AV53" s="183">
        <f>'ADJ DETAIL-INPUT'!AW52</f>
        <v>-379.00000740000007</v>
      </c>
      <c r="AW53" s="183">
        <f>'ADJ DETAIL-INPUT'!AX52</f>
        <v>0</v>
      </c>
      <c r="AX53" s="183">
        <f>'ADJ DETAIL-INPUT'!AY52</f>
        <v>0</v>
      </c>
      <c r="AY53" s="183">
        <f>'ADJ DETAIL-INPUT'!AZ52</f>
        <v>0</v>
      </c>
      <c r="AZ53" s="183">
        <f>'ADJ DETAIL-INPUT'!BA52</f>
        <v>0</v>
      </c>
      <c r="BA53" s="183">
        <f>'ADJ DETAIL-INPUT'!BB52</f>
        <v>0</v>
      </c>
      <c r="BB53" s="183">
        <f>'ADJ DETAIL-INPUT'!BC52</f>
        <v>0</v>
      </c>
      <c r="BC53" s="183">
        <f>'ADJ DETAIL-INPUT'!BD52</f>
        <v>0</v>
      </c>
      <c r="BD53" s="183">
        <f>'ADJ DETAIL-INPUT'!BE52</f>
        <v>-139.03141633425642</v>
      </c>
      <c r="BE53" s="183">
        <f>'ADJ DETAIL-INPUT'!BF52</f>
        <v>0</v>
      </c>
      <c r="BF53" s="183">
        <f>'ADJ DETAIL-INPUT'!BG52</f>
        <v>0</v>
      </c>
      <c r="BG53" s="183">
        <f>'ADJ DETAIL-INPUT'!BH52</f>
        <v>0</v>
      </c>
      <c r="BH53" s="183">
        <f>'ADJ DETAIL-INPUT'!BI52</f>
        <v>0</v>
      </c>
      <c r="BI53" s="183">
        <f>'ADJ DETAIL-INPUT'!BJ52</f>
        <v>0</v>
      </c>
      <c r="BJ53" s="183">
        <f>'ADJ DETAIL-INPUT'!BK52</f>
        <v>0</v>
      </c>
      <c r="BK53" s="183">
        <f>'ADJ DETAIL-INPUT'!BN52</f>
        <v>0</v>
      </c>
      <c r="BL53" s="183">
        <f>'ADJ DETAIL-INPUT'!BO52</f>
        <v>0</v>
      </c>
      <c r="BM53" s="183">
        <f>'ADJ DETAIL-INPUT'!BP52</f>
        <v>16.147824</v>
      </c>
      <c r="BN53" s="183">
        <f>'ADJ DETAIL-INPUT'!BQ52</f>
        <v>0</v>
      </c>
      <c r="BO53" s="183">
        <f>'ADJ DETAIL-INPUT'!BR52</f>
        <v>0</v>
      </c>
      <c r="BP53" s="183">
        <f>'ADJ DETAIL-INPUT'!BS52</f>
        <v>0</v>
      </c>
      <c r="BQ53" s="183">
        <f>'ADJ DETAIL-INPUT'!BT52</f>
        <v>0</v>
      </c>
      <c r="BR53" s="183">
        <f>'ADJ DETAIL-INPUT'!BU52</f>
        <v>0</v>
      </c>
      <c r="BS53" s="183">
        <f>'ADJ DETAIL-INPUT'!BV52</f>
        <v>-503.19523169999997</v>
      </c>
      <c r="BT53" s="183">
        <f>'ADJ DETAIL-INPUT'!BW52</f>
        <v>0</v>
      </c>
      <c r="BU53" s="183">
        <f>'ADJ DETAIL-INPUT'!BX52</f>
        <v>0</v>
      </c>
      <c r="BV53" s="183">
        <f>'ADJ DETAIL-INPUT'!BY52</f>
        <v>0</v>
      </c>
      <c r="BW53" s="183">
        <f>'ADJ DETAIL-INPUT'!BZ52</f>
        <v>0</v>
      </c>
      <c r="BX53" s="183">
        <f>'ADJ DETAIL-INPUT'!CA52</f>
        <v>0</v>
      </c>
      <c r="BY53" s="183">
        <f>'ADJ DETAIL-INPUT'!CB52</f>
        <v>0</v>
      </c>
    </row>
    <row r="54" spans="1:77" s="178" customFormat="1">
      <c r="A54" s="176">
        <f>'ADJ DETAIL-INPUT'!A53</f>
        <v>29</v>
      </c>
      <c r="B54" s="178" t="str">
        <f>'ADJ DETAIL-INPUT'!B53</f>
        <v xml:space="preserve">Deferred Income Taxes  </v>
      </c>
      <c r="E54" s="178">
        <f>'ADJ DETAIL-INPUT'!E53</f>
        <v>-6498</v>
      </c>
      <c r="F54" s="183">
        <f>'ADJ DETAIL-INPUT'!F53</f>
        <v>0</v>
      </c>
      <c r="G54" s="183">
        <f>'ADJ DETAIL-INPUT'!G53</f>
        <v>0</v>
      </c>
      <c r="H54" s="183">
        <f>'ADJ DETAIL-INPUT'!H53</f>
        <v>0</v>
      </c>
      <c r="I54" s="183">
        <f>'ADJ DETAIL-INPUT'!I53</f>
        <v>0</v>
      </c>
      <c r="J54" s="183">
        <f>'ADJ DETAIL-INPUT'!J53</f>
        <v>0</v>
      </c>
      <c r="K54" s="183">
        <f>'ADJ DETAIL-INPUT'!K53</f>
        <v>0</v>
      </c>
      <c r="L54" s="183">
        <f>'ADJ DETAIL-INPUT'!L53</f>
        <v>0</v>
      </c>
      <c r="M54" s="183">
        <f>'ADJ DETAIL-INPUT'!M53</f>
        <v>0</v>
      </c>
      <c r="N54" s="183">
        <f>'ADJ DETAIL-INPUT'!N53</f>
        <v>0</v>
      </c>
      <c r="O54" s="183">
        <f>'ADJ DETAIL-INPUT'!O53</f>
        <v>-209</v>
      </c>
      <c r="P54" s="183">
        <f>'ADJ DETAIL-INPUT'!P53</f>
        <v>0</v>
      </c>
      <c r="Q54" s="183">
        <f>'ADJ DETAIL-INPUT'!Q53</f>
        <v>0</v>
      </c>
      <c r="R54" s="183">
        <f>'ADJ DETAIL-INPUT'!R53</f>
        <v>0</v>
      </c>
      <c r="S54" s="183">
        <f>'ADJ DETAIL-INPUT'!S53</f>
        <v>0</v>
      </c>
      <c r="T54" s="183">
        <f>'ADJ DETAIL-INPUT'!T53</f>
        <v>19197</v>
      </c>
      <c r="U54" s="183">
        <f>'ADJ DETAIL-INPUT'!U53</f>
        <v>0</v>
      </c>
      <c r="V54" s="183">
        <f>'ADJ DETAIL-INPUT'!V53</f>
        <v>0</v>
      </c>
      <c r="W54" s="183">
        <f>'ADJ DETAIL-INPUT'!W53</f>
        <v>0</v>
      </c>
      <c r="X54" s="183">
        <f>'ADJ DETAIL-INPUT'!X53</f>
        <v>0</v>
      </c>
      <c r="Y54" s="183">
        <f>'ADJ DETAIL-INPUT'!Y53</f>
        <v>-8997</v>
      </c>
      <c r="Z54" s="183">
        <f>'ADJ DETAIL-INPUT'!Z53</f>
        <v>0</v>
      </c>
      <c r="AA54" s="183">
        <f>'ADJ DETAIL-INPUT'!AA53</f>
        <v>0</v>
      </c>
      <c r="AB54" s="183">
        <f>'ADJ DETAIL-INPUT'!AB53</f>
        <v>0</v>
      </c>
      <c r="AC54" s="183">
        <f>'ADJ DETAIL-INPUT'!AC53</f>
        <v>0</v>
      </c>
      <c r="AD54" s="183">
        <f>'ADJ DETAIL-INPUT'!AE53</f>
        <v>0</v>
      </c>
      <c r="AE54" s="183">
        <f>'ADJ DETAIL-INPUT'!AF53</f>
        <v>0</v>
      </c>
      <c r="AF54" s="183">
        <f>'ADJ DETAIL-INPUT'!AG53</f>
        <v>0</v>
      </c>
      <c r="AG54" s="183">
        <f>'ADJ DETAIL-INPUT'!AH53</f>
        <v>0</v>
      </c>
      <c r="AH54" s="183">
        <f>'ADJ DETAIL-INPUT'!AI53</f>
        <v>92</v>
      </c>
      <c r="AI54" s="183">
        <f>'ADJ DETAIL-INPUT'!AJ53</f>
        <v>0</v>
      </c>
      <c r="AJ54" s="183">
        <f>'ADJ DETAIL-INPUT'!AK53</f>
        <v>0</v>
      </c>
      <c r="AK54" s="183">
        <f>'ADJ DETAIL-INPUT'!AL53</f>
        <v>0</v>
      </c>
      <c r="AL54" s="183">
        <f>'ADJ DETAIL-INPUT'!AM53</f>
        <v>0</v>
      </c>
      <c r="AM54" s="183">
        <f>'ADJ DETAIL-INPUT'!AN53</f>
        <v>0</v>
      </c>
      <c r="AN54" s="183">
        <f>'ADJ DETAIL-INPUT'!AO53</f>
        <v>0</v>
      </c>
      <c r="AO54" s="183">
        <f>'ADJ DETAIL-INPUT'!AP53</f>
        <v>0</v>
      </c>
      <c r="AP54" s="183">
        <f>'ADJ DETAIL-INPUT'!AQ53</f>
        <v>0</v>
      </c>
      <c r="AQ54" s="183">
        <f>'ADJ DETAIL-INPUT'!AR53</f>
        <v>0</v>
      </c>
      <c r="AR54" s="183">
        <f>'ADJ DETAIL-INPUT'!AS53</f>
        <v>0</v>
      </c>
      <c r="AS54" s="183">
        <f>'ADJ DETAIL-INPUT'!AT53</f>
        <v>0</v>
      </c>
      <c r="AT54" s="183">
        <f>'ADJ DETAIL-INPUT'!AU53</f>
        <v>0</v>
      </c>
      <c r="AU54" s="183">
        <f>'ADJ DETAIL-INPUT'!AV53</f>
        <v>0</v>
      </c>
      <c r="AV54" s="183">
        <f>'ADJ DETAIL-INPUT'!AW53</f>
        <v>0</v>
      </c>
      <c r="AW54" s="183">
        <f>'ADJ DETAIL-INPUT'!AX53</f>
        <v>0</v>
      </c>
      <c r="AX54" s="183">
        <f>'ADJ DETAIL-INPUT'!AY53</f>
        <v>0</v>
      </c>
      <c r="AY54" s="183">
        <f>'ADJ DETAIL-INPUT'!AZ53</f>
        <v>0</v>
      </c>
      <c r="AZ54" s="183">
        <f>'ADJ DETAIL-INPUT'!BA53</f>
        <v>0</v>
      </c>
      <c r="BA54" s="183">
        <f>'ADJ DETAIL-INPUT'!BB53</f>
        <v>0</v>
      </c>
      <c r="BB54" s="183">
        <f>'ADJ DETAIL-INPUT'!BC53</f>
        <v>0</v>
      </c>
      <c r="BC54" s="183">
        <f>'ADJ DETAIL-INPUT'!BD53</f>
        <v>0</v>
      </c>
      <c r="BD54" s="183">
        <f>'ADJ DETAIL-INPUT'!BE53</f>
        <v>0</v>
      </c>
      <c r="BE54" s="183">
        <f>'ADJ DETAIL-INPUT'!BF53</f>
        <v>0</v>
      </c>
      <c r="BF54" s="183">
        <f>'ADJ DETAIL-INPUT'!BG53</f>
        <v>0</v>
      </c>
      <c r="BG54" s="183">
        <f>'ADJ DETAIL-INPUT'!BH53</f>
        <v>0</v>
      </c>
      <c r="BH54" s="183">
        <f>'ADJ DETAIL-INPUT'!BI53</f>
        <v>0</v>
      </c>
      <c r="BI54" s="183">
        <f>'ADJ DETAIL-INPUT'!BJ53</f>
        <v>0</v>
      </c>
      <c r="BJ54" s="183">
        <f>'ADJ DETAIL-INPUT'!BK53</f>
        <v>0</v>
      </c>
      <c r="BK54" s="183">
        <f>'ADJ DETAIL-INPUT'!BN53</f>
        <v>0</v>
      </c>
      <c r="BL54" s="183">
        <f>'ADJ DETAIL-INPUT'!BO53</f>
        <v>0</v>
      </c>
      <c r="BM54" s="183">
        <f>'ADJ DETAIL-INPUT'!BP53</f>
        <v>0</v>
      </c>
      <c r="BN54" s="183">
        <f>'ADJ DETAIL-INPUT'!BQ53</f>
        <v>0</v>
      </c>
      <c r="BO54" s="183">
        <f>'ADJ DETAIL-INPUT'!BR53</f>
        <v>0</v>
      </c>
      <c r="BP54" s="183">
        <f>'ADJ DETAIL-INPUT'!BS53</f>
        <v>0</v>
      </c>
      <c r="BQ54" s="183">
        <f>'ADJ DETAIL-INPUT'!BT53</f>
        <v>0</v>
      </c>
      <c r="BR54" s="183">
        <f>'ADJ DETAIL-INPUT'!BU53</f>
        <v>0</v>
      </c>
      <c r="BS54" s="183">
        <f>'ADJ DETAIL-INPUT'!BV53</f>
        <v>0</v>
      </c>
      <c r="BT54" s="183">
        <f>'ADJ DETAIL-INPUT'!BW53</f>
        <v>0</v>
      </c>
      <c r="BU54" s="183">
        <f>'ADJ DETAIL-INPUT'!BX53</f>
        <v>767</v>
      </c>
      <c r="BV54" s="183">
        <f>'ADJ DETAIL-INPUT'!BY53</f>
        <v>0</v>
      </c>
      <c r="BW54" s="183">
        <f>'ADJ DETAIL-INPUT'!BZ53</f>
        <v>0</v>
      </c>
      <c r="BX54" s="183">
        <f>'ADJ DETAIL-INPUT'!CA53</f>
        <v>0</v>
      </c>
      <c r="BY54" s="183">
        <f>'ADJ DETAIL-INPUT'!CB53</f>
        <v>0</v>
      </c>
    </row>
    <row r="55" spans="1:77" s="178" customFormat="1">
      <c r="A55" s="180">
        <f>'ADJ DETAIL-INPUT'!A54</f>
        <v>30</v>
      </c>
      <c r="B55" s="178" t="str">
        <f>'ADJ DETAIL-INPUT'!B54</f>
        <v>Amortized ITC - Noxon</v>
      </c>
      <c r="E55" s="307">
        <f>'ADJ DETAIL-INPUT'!E54</f>
        <v>-312</v>
      </c>
      <c r="F55" s="186">
        <f>'ADJ DETAIL-INPUT'!F54</f>
        <v>0</v>
      </c>
      <c r="G55" s="186">
        <f>'ADJ DETAIL-INPUT'!G54</f>
        <v>0</v>
      </c>
      <c r="H55" s="186">
        <f>'ADJ DETAIL-INPUT'!H54</f>
        <v>0</v>
      </c>
      <c r="I55" s="186">
        <f>'ADJ DETAIL-INPUT'!I54</f>
        <v>0</v>
      </c>
      <c r="J55" s="186">
        <f>'ADJ DETAIL-INPUT'!J54</f>
        <v>0</v>
      </c>
      <c r="K55" s="186">
        <f>'ADJ DETAIL-INPUT'!K54</f>
        <v>0</v>
      </c>
      <c r="L55" s="186">
        <f>'ADJ DETAIL-INPUT'!L54</f>
        <v>0</v>
      </c>
      <c r="M55" s="186">
        <f>'ADJ DETAIL-INPUT'!M54</f>
        <v>0</v>
      </c>
      <c r="N55" s="186">
        <f>'ADJ DETAIL-INPUT'!N54</f>
        <v>0</v>
      </c>
      <c r="O55" s="186">
        <f>'ADJ DETAIL-INPUT'!O54</f>
        <v>0</v>
      </c>
      <c r="P55" s="186">
        <f>'ADJ DETAIL-INPUT'!P54</f>
        <v>0</v>
      </c>
      <c r="Q55" s="186">
        <f>'ADJ DETAIL-INPUT'!Q54</f>
        <v>0</v>
      </c>
      <c r="R55" s="186">
        <f>'ADJ DETAIL-INPUT'!R54</f>
        <v>0</v>
      </c>
      <c r="S55" s="186">
        <f>'ADJ DETAIL-INPUT'!S54</f>
        <v>0</v>
      </c>
      <c r="T55" s="186">
        <f>'ADJ DETAIL-INPUT'!T54</f>
        <v>0</v>
      </c>
      <c r="U55" s="186">
        <f>'ADJ DETAIL-INPUT'!U54</f>
        <v>0</v>
      </c>
      <c r="V55" s="186">
        <f>'ADJ DETAIL-INPUT'!V54</f>
        <v>0</v>
      </c>
      <c r="W55" s="186">
        <f>'ADJ DETAIL-INPUT'!W54</f>
        <v>0</v>
      </c>
      <c r="X55" s="186">
        <f>'ADJ DETAIL-INPUT'!X54</f>
        <v>0</v>
      </c>
      <c r="Y55" s="186">
        <f>'ADJ DETAIL-INPUT'!Y54</f>
        <v>0</v>
      </c>
      <c r="Z55" s="186">
        <f>'ADJ DETAIL-INPUT'!Z54</f>
        <v>0</v>
      </c>
      <c r="AA55" s="186">
        <f>'ADJ DETAIL-INPUT'!AA54</f>
        <v>0</v>
      </c>
      <c r="AB55" s="186">
        <f>'ADJ DETAIL-INPUT'!AB54</f>
        <v>0</v>
      </c>
      <c r="AC55" s="186">
        <f>'ADJ DETAIL-INPUT'!AC54</f>
        <v>0</v>
      </c>
      <c r="AD55" s="186">
        <f>'ADJ DETAIL-INPUT'!AE54</f>
        <v>0</v>
      </c>
      <c r="AE55" s="186">
        <f>'ADJ DETAIL-INPUT'!AF54</f>
        <v>0</v>
      </c>
      <c r="AF55" s="186">
        <f>'ADJ DETAIL-INPUT'!AG54</f>
        <v>0</v>
      </c>
      <c r="AG55" s="186">
        <f>'ADJ DETAIL-INPUT'!AH54</f>
        <v>0</v>
      </c>
      <c r="AH55" s="186">
        <f>'ADJ DETAIL-INPUT'!AI54</f>
        <v>0</v>
      </c>
      <c r="AI55" s="186">
        <f>'ADJ DETAIL-INPUT'!AJ54</f>
        <v>0</v>
      </c>
      <c r="AJ55" s="186">
        <f>'ADJ DETAIL-INPUT'!AK54</f>
        <v>0</v>
      </c>
      <c r="AK55" s="186">
        <f>'ADJ DETAIL-INPUT'!AL54</f>
        <v>0</v>
      </c>
      <c r="AL55" s="186">
        <f>'ADJ DETAIL-INPUT'!AM54</f>
        <v>0</v>
      </c>
      <c r="AM55" s="186">
        <f>'ADJ DETAIL-INPUT'!AN54</f>
        <v>0</v>
      </c>
      <c r="AN55" s="186">
        <f>'ADJ DETAIL-INPUT'!AO54</f>
        <v>0</v>
      </c>
      <c r="AO55" s="186">
        <f>'ADJ DETAIL-INPUT'!AP54</f>
        <v>0</v>
      </c>
      <c r="AP55" s="186">
        <f>'ADJ DETAIL-INPUT'!AQ54</f>
        <v>0</v>
      </c>
      <c r="AQ55" s="186">
        <f>'ADJ DETAIL-INPUT'!AR54</f>
        <v>0</v>
      </c>
      <c r="AR55" s="186">
        <f>'ADJ DETAIL-INPUT'!AS54</f>
        <v>0</v>
      </c>
      <c r="AS55" s="186">
        <f>'ADJ DETAIL-INPUT'!AT54</f>
        <v>0</v>
      </c>
      <c r="AT55" s="186">
        <f>'ADJ DETAIL-INPUT'!AU54</f>
        <v>0</v>
      </c>
      <c r="AU55" s="186">
        <f>'ADJ DETAIL-INPUT'!AV54</f>
        <v>0</v>
      </c>
      <c r="AV55" s="186">
        <f>'ADJ DETAIL-INPUT'!AW54</f>
        <v>0</v>
      </c>
      <c r="AW55" s="186">
        <f>'ADJ DETAIL-INPUT'!AX54</f>
        <v>0</v>
      </c>
      <c r="AX55" s="186">
        <f>'ADJ DETAIL-INPUT'!AY54</f>
        <v>0</v>
      </c>
      <c r="AY55" s="186">
        <f>'ADJ DETAIL-INPUT'!AZ54</f>
        <v>0</v>
      </c>
      <c r="AZ55" s="186">
        <f>'ADJ DETAIL-INPUT'!BA54</f>
        <v>0</v>
      </c>
      <c r="BA55" s="186">
        <f>'ADJ DETAIL-INPUT'!BB54</f>
        <v>0</v>
      </c>
      <c r="BB55" s="186">
        <f>'ADJ DETAIL-INPUT'!BC54</f>
        <v>0</v>
      </c>
      <c r="BC55" s="186">
        <f>'ADJ DETAIL-INPUT'!BD54</f>
        <v>0</v>
      </c>
      <c r="BD55" s="186">
        <f>'ADJ DETAIL-INPUT'!BE54</f>
        <v>0</v>
      </c>
      <c r="BE55" s="186">
        <f>'ADJ DETAIL-INPUT'!BF54</f>
        <v>0</v>
      </c>
      <c r="BF55" s="186">
        <f>'ADJ DETAIL-INPUT'!BG54</f>
        <v>0</v>
      </c>
      <c r="BG55" s="186">
        <f>'ADJ DETAIL-INPUT'!BH54</f>
        <v>0</v>
      </c>
      <c r="BH55" s="186">
        <f>'ADJ DETAIL-INPUT'!BI54</f>
        <v>0</v>
      </c>
      <c r="BI55" s="186">
        <f>'ADJ DETAIL-INPUT'!BJ54</f>
        <v>0</v>
      </c>
      <c r="BJ55" s="186">
        <f>'ADJ DETAIL-INPUT'!BK54</f>
        <v>0</v>
      </c>
      <c r="BK55" s="186">
        <f>'ADJ DETAIL-INPUT'!BN54</f>
        <v>0</v>
      </c>
      <c r="BL55" s="186">
        <f>'ADJ DETAIL-INPUT'!BO54</f>
        <v>0</v>
      </c>
      <c r="BM55" s="186">
        <f>'ADJ DETAIL-INPUT'!BP54</f>
        <v>0</v>
      </c>
      <c r="BN55" s="186">
        <f>'ADJ DETAIL-INPUT'!BQ54</f>
        <v>0</v>
      </c>
      <c r="BO55" s="186">
        <f>'ADJ DETAIL-INPUT'!BR54</f>
        <v>0</v>
      </c>
      <c r="BP55" s="186">
        <f>'ADJ DETAIL-INPUT'!BS54</f>
        <v>0</v>
      </c>
      <c r="BQ55" s="186">
        <f>'ADJ DETAIL-INPUT'!BT54</f>
        <v>0</v>
      </c>
      <c r="BR55" s="186">
        <f>'ADJ DETAIL-INPUT'!BU54</f>
        <v>0</v>
      </c>
      <c r="BS55" s="186">
        <f>'ADJ DETAIL-INPUT'!BV54</f>
        <v>0</v>
      </c>
      <c r="BT55" s="186">
        <f>'ADJ DETAIL-INPUT'!BW54</f>
        <v>0</v>
      </c>
      <c r="BU55" s="186">
        <f>'ADJ DETAIL-INPUT'!BX54</f>
        <v>0</v>
      </c>
      <c r="BV55" s="186">
        <f>'ADJ DETAIL-INPUT'!BY54</f>
        <v>0</v>
      </c>
      <c r="BW55" s="186">
        <f>'ADJ DETAIL-INPUT'!BZ54</f>
        <v>0</v>
      </c>
      <c r="BX55" s="186">
        <f>'ADJ DETAIL-INPUT'!CA54</f>
        <v>0</v>
      </c>
      <c r="BY55" s="186">
        <f>'ADJ DETAIL-INPUT'!CB54</f>
        <v>0</v>
      </c>
    </row>
    <row r="56" spans="1:77" s="178" customFormat="1">
      <c r="A56" s="180"/>
      <c r="E56" s="307"/>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6"/>
      <c r="AK56" s="186"/>
      <c r="AL56" s="186"/>
      <c r="AM56" s="186"/>
      <c r="AN56" s="186"/>
      <c r="AO56" s="186"/>
      <c r="AP56" s="186"/>
      <c r="AQ56" s="186"/>
      <c r="AR56" s="186"/>
      <c r="AS56" s="186"/>
      <c r="AT56" s="186"/>
      <c r="AU56" s="186"/>
      <c r="AV56" s="186"/>
      <c r="AW56" s="186"/>
      <c r="AX56" s="186"/>
      <c r="AY56" s="186"/>
      <c r="AZ56" s="186"/>
      <c r="BA56" s="186"/>
      <c r="BB56" s="186"/>
      <c r="BC56" s="186"/>
      <c r="BD56" s="186"/>
      <c r="BE56" s="186"/>
      <c r="BF56" s="186"/>
      <c r="BG56" s="186"/>
      <c r="BH56" s="186"/>
      <c r="BI56" s="186"/>
      <c r="BJ56" s="186"/>
      <c r="BK56" s="186"/>
      <c r="BL56" s="186"/>
      <c r="BM56" s="186"/>
      <c r="BN56" s="186"/>
      <c r="BO56" s="186"/>
      <c r="BP56" s="186"/>
      <c r="BQ56" s="186"/>
      <c r="BR56" s="186"/>
      <c r="BS56" s="186"/>
      <c r="BT56" s="186"/>
      <c r="BU56" s="186"/>
      <c r="BV56" s="186"/>
      <c r="BW56" s="186"/>
      <c r="BX56" s="186"/>
      <c r="BY56" s="186"/>
    </row>
    <row r="57" spans="1:77" s="177" customFormat="1" ht="12.75" thickBot="1">
      <c r="A57" s="179">
        <f>'ADJ DETAIL-INPUT'!A56</f>
        <v>31</v>
      </c>
      <c r="B57" s="177" t="str">
        <f>'ADJ DETAIL-INPUT'!B56</f>
        <v xml:space="preserve">NET OPERATING INCOME  </v>
      </c>
      <c r="E57" s="189">
        <f>'ADJ DETAIL-INPUT'!E56</f>
        <v>125206.70000000007</v>
      </c>
      <c r="F57" s="189">
        <f>'ADJ DETAIL-INPUT'!F56</f>
        <v>15.877974000000002</v>
      </c>
      <c r="G57" s="189">
        <f>'ADJ DETAIL-INPUT'!G56</f>
        <v>0</v>
      </c>
      <c r="H57" s="189">
        <f>'ADJ DETAIL-INPUT'!H56</f>
        <v>-17.480882999999999</v>
      </c>
      <c r="I57" s="189">
        <f>'ADJ DETAIL-INPUT'!I56</f>
        <v>-1683.4565659999998</v>
      </c>
      <c r="J57" s="189">
        <f>'ADJ DETAIL-INPUT'!J56</f>
        <v>50.56</v>
      </c>
      <c r="K57" s="189">
        <f>'ADJ DETAIL-INPUT'!K56</f>
        <v>-1072.82</v>
      </c>
      <c r="L57" s="189">
        <f>'ADJ DETAIL-INPUT'!L56</f>
        <v>-720.48</v>
      </c>
      <c r="M57" s="189">
        <f>'ADJ DETAIL-INPUT'!M56</f>
        <v>-658.86</v>
      </c>
      <c r="N57" s="189">
        <f>'ADJ DETAIL-INPUT'!N56</f>
        <v>248.85000000000002</v>
      </c>
      <c r="O57" s="189">
        <f>'ADJ DETAIL-INPUT'!O56</f>
        <v>209</v>
      </c>
      <c r="P57" s="189">
        <f>'ADJ DETAIL-INPUT'!P56</f>
        <v>26.07</v>
      </c>
      <c r="Q57" s="189">
        <f>'ADJ DETAIL-INPUT'!Q56</f>
        <v>45.82</v>
      </c>
      <c r="R57" s="189">
        <f>'ADJ DETAIL-INPUT'!R56</f>
        <v>53.72</v>
      </c>
      <c r="S57" s="189">
        <f>'ADJ DETAIL-INPUT'!S56</f>
        <v>-1101.26</v>
      </c>
      <c r="T57" s="189">
        <f>'ADJ DETAIL-INPUT'!T56</f>
        <v>2.3699999999989814</v>
      </c>
      <c r="U57" s="189">
        <f>'ADJ DETAIL-INPUT'!U56</f>
        <v>1024.6300000000001</v>
      </c>
      <c r="V57" s="189">
        <f>'ADJ DETAIL-INPUT'!V56</f>
        <v>-624.62535000000003</v>
      </c>
      <c r="W57" s="189">
        <f>'ADJ DETAIL-INPUT'!W56</f>
        <v>-226</v>
      </c>
      <c r="X57" s="189">
        <f>'ADJ DETAIL-INPUT'!X56</f>
        <v>291.05805119999997</v>
      </c>
      <c r="Y57" s="189">
        <f>'ADJ DETAIL-INPUT'!Y56</f>
        <v>-31140</v>
      </c>
      <c r="Z57" s="189">
        <f>'ADJ DETAIL-INPUT'!Z56</f>
        <v>11.85</v>
      </c>
      <c r="AA57" s="189">
        <f>'ADJ DETAIL-INPUT'!AA56</f>
        <v>-263.86</v>
      </c>
      <c r="AB57" s="189">
        <f>'ADJ DETAIL-INPUT'!AB56</f>
        <v>46581.56</v>
      </c>
      <c r="AC57" s="189">
        <f>'ADJ DETAIL-INPUT'!AC56</f>
        <v>0</v>
      </c>
      <c r="AD57" s="189">
        <f>'ADJ DETAIL-INPUT'!AE56</f>
        <v>-16488.88</v>
      </c>
      <c r="AE57" s="189">
        <f>'ADJ DETAIL-INPUT'!AF56</f>
        <v>2563.5500000000002</v>
      </c>
      <c r="AF57" s="189">
        <f>'ADJ DETAIL-INPUT'!AG56</f>
        <v>25155.97</v>
      </c>
      <c r="AG57" s="189">
        <f>'ADJ DETAIL-INPUT'!AH56</f>
        <v>-4912.6149999999998</v>
      </c>
      <c r="AH57" s="189">
        <f>'ADJ DETAIL-INPUT'!AI56</f>
        <v>-92</v>
      </c>
      <c r="AI57" s="189">
        <f>'ADJ DETAIL-INPUT'!AJ56</f>
        <v>1792.755987</v>
      </c>
      <c r="AJ57" s="189">
        <f>'ADJ DETAIL-INPUT'!AK56</f>
        <v>-5209.8130000000001</v>
      </c>
      <c r="AK57" s="189">
        <f>'ADJ DETAIL-INPUT'!AL56</f>
        <v>-47.429230000000004</v>
      </c>
      <c r="AL57" s="189">
        <f>'ADJ DETAIL-INPUT'!AM56</f>
        <v>4288.5940000000001</v>
      </c>
      <c r="AM57" s="189">
        <f>'ADJ DETAIL-INPUT'!AN56</f>
        <v>-919.32300000000009</v>
      </c>
      <c r="AN57" s="189">
        <f>'ADJ DETAIL-INPUT'!AO56</f>
        <v>-206.98000000000002</v>
      </c>
      <c r="AO57" s="189">
        <f>'ADJ DETAIL-INPUT'!AP56</f>
        <v>-300.99</v>
      </c>
      <c r="AP57" s="189">
        <f>'ADJ DETAIL-INPUT'!AQ56</f>
        <v>146.15</v>
      </c>
      <c r="AQ57" s="189">
        <f>'ADJ DETAIL-INPUT'!AR56</f>
        <v>-4155.3999999999996</v>
      </c>
      <c r="AR57" s="189">
        <f>'ADJ DETAIL-INPUT'!AS56</f>
        <v>-80.185000000000002</v>
      </c>
      <c r="AS57" s="189">
        <f>'ADJ DETAIL-INPUT'!AT56</f>
        <v>-7012.0004999999992</v>
      </c>
      <c r="AT57" s="189">
        <f>'ADJ DETAIL-INPUT'!AU56</f>
        <v>-2860.8231869129622</v>
      </c>
      <c r="AU57" s="189">
        <f>'ADJ DETAIL-INPUT'!AV56</f>
        <v>592.73699999999997</v>
      </c>
      <c r="AV57" s="189">
        <f>'ADJ DETAIL-INPUT'!AW56</f>
        <v>-3292.1299926000002</v>
      </c>
      <c r="AW57" s="189">
        <f>'ADJ DETAIL-INPUT'!AX56</f>
        <v>-3616.4619999999995</v>
      </c>
      <c r="AX57" s="189">
        <f>'ADJ DETAIL-INPUT'!AY56</f>
        <v>-444.77</v>
      </c>
      <c r="AY57" s="189">
        <f>'ADJ DETAIL-INPUT'!AZ56</f>
        <v>-374.38099999999997</v>
      </c>
      <c r="AZ57" s="189">
        <f>'ADJ DETAIL-INPUT'!BA56</f>
        <v>-104.28</v>
      </c>
      <c r="BA57" s="189">
        <f>'ADJ DETAIL-INPUT'!BB56</f>
        <v>263.86</v>
      </c>
      <c r="BB57" s="189">
        <f>'ADJ DETAIL-INPUT'!BC56</f>
        <v>-1705.6100000000001</v>
      </c>
      <c r="BC57" s="189">
        <f>'ADJ DETAIL-INPUT'!BD56</f>
        <v>-3204.24</v>
      </c>
      <c r="BD57" s="189">
        <f>'ADJ DETAIL-INPUT'!BE56</f>
        <v>-4014.7885836657433</v>
      </c>
      <c r="BE57" s="189">
        <f>'ADJ DETAIL-INPUT'!BF56</f>
        <v>5766.0599000000002</v>
      </c>
      <c r="BF57" s="189">
        <f>'ADJ DETAIL-INPUT'!BG56</f>
        <v>0</v>
      </c>
      <c r="BG57" s="189">
        <f>'ADJ DETAIL-INPUT'!BH56</f>
        <v>0</v>
      </c>
      <c r="BH57" s="189">
        <f>'ADJ DETAIL-INPUT'!BI56</f>
        <v>0</v>
      </c>
      <c r="BI57" s="189">
        <f>'ADJ DETAIL-INPUT'!BJ56</f>
        <v>0</v>
      </c>
      <c r="BJ57" s="189">
        <f>'ADJ DETAIL-INPUT'!BK56</f>
        <v>0</v>
      </c>
      <c r="BK57" s="189">
        <f>'ADJ DETAIL-INPUT'!BN56</f>
        <v>-44781.35</v>
      </c>
      <c r="BL57" s="189">
        <f>'ADJ DETAIL-INPUT'!BO56</f>
        <v>-0.2</v>
      </c>
      <c r="BM57" s="189">
        <f>'ADJ DETAIL-INPUT'!BP56</f>
        <v>231.712176</v>
      </c>
      <c r="BN57" s="189">
        <f>'ADJ DETAIL-INPUT'!BQ56</f>
        <v>-2087.1800000000003</v>
      </c>
      <c r="BO57" s="189">
        <f>'ADJ DETAIL-INPUT'!BR56</f>
        <v>-366.32299999999998</v>
      </c>
      <c r="BP57" s="189">
        <f>'ADJ DETAIL-INPUT'!BS56</f>
        <v>-590.13</v>
      </c>
      <c r="BQ57" s="189">
        <f>'ADJ DETAIL-INPUT'!BT56</f>
        <v>163.53</v>
      </c>
      <c r="BR57" s="189">
        <f>'ADJ DETAIL-INPUT'!BU56</f>
        <v>-2804.8002000000001</v>
      </c>
      <c r="BS57" s="189">
        <f>'ADJ DETAIL-INPUT'!BV56</f>
        <v>-2479.0547683</v>
      </c>
      <c r="BT57" s="189">
        <f>'ADJ DETAIL-INPUT'!BW56</f>
        <v>3037.0230700000002</v>
      </c>
      <c r="BU57" s="189">
        <f>'ADJ DETAIL-INPUT'!BX56</f>
        <v>-767</v>
      </c>
      <c r="BV57" s="189">
        <f>'ADJ DETAIL-INPUT'!BY56</f>
        <v>-28.44</v>
      </c>
      <c r="BW57" s="189">
        <f>'ADJ DETAIL-INPUT'!BZ56</f>
        <v>-1312.19</v>
      </c>
      <c r="BX57" s="189">
        <f>'ADJ DETAIL-INPUT'!CA56</f>
        <v>-139.04</v>
      </c>
      <c r="BY57" s="189">
        <f>'ADJ DETAIL-INPUT'!CB56</f>
        <v>0</v>
      </c>
    </row>
    <row r="58" spans="1:77" ht="8.25" customHeight="1" thickTop="1">
      <c r="A58" s="179"/>
    </row>
    <row r="59" spans="1:77">
      <c r="A59" s="179"/>
      <c r="B59" s="167" t="str">
        <f>'ADJ DETAIL-INPUT'!B58</f>
        <v xml:space="preserve">RATE BASE  </v>
      </c>
    </row>
    <row r="60" spans="1:77">
      <c r="B60" s="167" t="str">
        <f>'ADJ DETAIL-INPUT'!B59</f>
        <v xml:space="preserve">PLANT IN SERVICE  </v>
      </c>
    </row>
    <row r="61" spans="1:77" s="177" customFormat="1">
      <c r="A61" s="179">
        <f>'ADJ DETAIL-INPUT'!A60</f>
        <v>32</v>
      </c>
      <c r="C61" s="177" t="str">
        <f>'ADJ DETAIL-INPUT'!C60</f>
        <v xml:space="preserve">Intangible  </v>
      </c>
      <c r="E61" s="177">
        <f>'ADJ DETAIL-INPUT'!E60</f>
        <v>244562</v>
      </c>
      <c r="F61" s="177">
        <f>'ADJ DETAIL-INPUT'!F60</f>
        <v>0</v>
      </c>
      <c r="G61" s="177">
        <f>'ADJ DETAIL-INPUT'!G60</f>
        <v>0</v>
      </c>
      <c r="H61" s="177">
        <f>'ADJ DETAIL-INPUT'!H60</f>
        <v>0</v>
      </c>
      <c r="I61" s="177">
        <f>'ADJ DETAIL-INPUT'!I60</f>
        <v>0</v>
      </c>
      <c r="J61" s="177">
        <f>'ADJ DETAIL-INPUT'!J60</f>
        <v>0</v>
      </c>
      <c r="K61" s="177">
        <f>'ADJ DETAIL-INPUT'!K60</f>
        <v>0</v>
      </c>
      <c r="L61" s="177">
        <f>'ADJ DETAIL-INPUT'!L60</f>
        <v>0</v>
      </c>
      <c r="M61" s="177">
        <f>'ADJ DETAIL-INPUT'!M60</f>
        <v>0</v>
      </c>
      <c r="N61" s="177">
        <f>'ADJ DETAIL-INPUT'!N60</f>
        <v>0</v>
      </c>
      <c r="O61" s="177">
        <f>'ADJ DETAIL-INPUT'!O60</f>
        <v>0</v>
      </c>
      <c r="P61" s="177">
        <f>'ADJ DETAIL-INPUT'!P60</f>
        <v>0</v>
      </c>
      <c r="Q61" s="177">
        <f>'ADJ DETAIL-INPUT'!Q60</f>
        <v>0</v>
      </c>
      <c r="R61" s="177">
        <f>'ADJ DETAIL-INPUT'!R60</f>
        <v>0</v>
      </c>
      <c r="S61" s="177">
        <f>'ADJ DETAIL-INPUT'!S60</f>
        <v>0</v>
      </c>
      <c r="T61" s="177">
        <f>'ADJ DETAIL-INPUT'!T60</f>
        <v>0</v>
      </c>
      <c r="U61" s="177">
        <f>'ADJ DETAIL-INPUT'!U60</f>
        <v>0</v>
      </c>
      <c r="V61" s="177">
        <f>'ADJ DETAIL-INPUT'!V60</f>
        <v>0</v>
      </c>
      <c r="W61" s="177">
        <f>'ADJ DETAIL-INPUT'!W60</f>
        <v>0</v>
      </c>
      <c r="X61" s="177">
        <f>'ADJ DETAIL-INPUT'!X60</f>
        <v>4214</v>
      </c>
      <c r="Y61" s="177">
        <f>'ADJ DETAIL-INPUT'!Y60</f>
        <v>0</v>
      </c>
      <c r="Z61" s="177">
        <f>'ADJ DETAIL-INPUT'!Z60</f>
        <v>0</v>
      </c>
      <c r="AA61" s="177">
        <f>'ADJ DETAIL-INPUT'!AA60</f>
        <v>0</v>
      </c>
      <c r="AB61" s="177">
        <f>'ADJ DETAIL-INPUT'!AB60</f>
        <v>0</v>
      </c>
      <c r="AC61" s="177">
        <f>'ADJ DETAIL-INPUT'!AC60</f>
        <v>0</v>
      </c>
      <c r="AD61" s="177">
        <f>'ADJ DETAIL-INPUT'!AE60</f>
        <v>0</v>
      </c>
      <c r="AE61" s="177">
        <f>'ADJ DETAIL-INPUT'!AF60</f>
        <v>0</v>
      </c>
      <c r="AF61" s="177">
        <f>'ADJ DETAIL-INPUT'!AG60</f>
        <v>0</v>
      </c>
      <c r="AG61" s="177">
        <f>'ADJ DETAIL-INPUT'!AH60</f>
        <v>0</v>
      </c>
      <c r="AH61" s="177">
        <f>'ADJ DETAIL-INPUT'!AI60</f>
        <v>0</v>
      </c>
      <c r="AI61" s="177">
        <f>'ADJ DETAIL-INPUT'!AJ60</f>
        <v>0</v>
      </c>
      <c r="AJ61" s="177">
        <f>'ADJ DETAIL-INPUT'!AK60</f>
        <v>0</v>
      </c>
      <c r="AK61" s="177">
        <f>'ADJ DETAIL-INPUT'!AL60</f>
        <v>0</v>
      </c>
      <c r="AL61" s="177">
        <f>'ADJ DETAIL-INPUT'!AM60</f>
        <v>0</v>
      </c>
      <c r="AM61" s="177">
        <f>'ADJ DETAIL-INPUT'!AN60</f>
        <v>0</v>
      </c>
      <c r="AN61" s="177">
        <f>'ADJ DETAIL-INPUT'!AO60</f>
        <v>0</v>
      </c>
      <c r="AO61" s="177">
        <f>'ADJ DETAIL-INPUT'!AP60</f>
        <v>0</v>
      </c>
      <c r="AP61" s="177">
        <f>'ADJ DETAIL-INPUT'!AQ60</f>
        <v>0</v>
      </c>
      <c r="AQ61" s="177">
        <f>'ADJ DETAIL-INPUT'!AR60</f>
        <v>0</v>
      </c>
      <c r="AR61" s="177">
        <f>'ADJ DETAIL-INPUT'!AS60</f>
        <v>0</v>
      </c>
      <c r="AS61" s="177">
        <f>'ADJ DETAIL-INPUT'!AT60</f>
        <v>0</v>
      </c>
      <c r="AT61" s="177">
        <f>'ADJ DETAIL-INPUT'!AU60</f>
        <v>-1617</v>
      </c>
      <c r="AU61" s="177">
        <f>'ADJ DETAIL-INPUT'!AV60</f>
        <v>0</v>
      </c>
      <c r="AV61" s="177">
        <f>'ADJ DETAIL-INPUT'!AW60</f>
        <v>-551</v>
      </c>
      <c r="AW61" s="177">
        <f>'ADJ DETAIL-INPUT'!AX60</f>
        <v>0</v>
      </c>
      <c r="AX61" s="177">
        <f>'ADJ DETAIL-INPUT'!AY60</f>
        <v>0</v>
      </c>
      <c r="AY61" s="177">
        <f>'ADJ DETAIL-INPUT'!AZ60</f>
        <v>0</v>
      </c>
      <c r="AZ61" s="177">
        <f>'ADJ DETAIL-INPUT'!BA60</f>
        <v>0</v>
      </c>
      <c r="BA61" s="177">
        <f>'ADJ DETAIL-INPUT'!BB60</f>
        <v>0</v>
      </c>
      <c r="BB61" s="177">
        <f>'ADJ DETAIL-INPUT'!BC60</f>
        <v>0</v>
      </c>
      <c r="BC61" s="177">
        <f>'ADJ DETAIL-INPUT'!BD60</f>
        <v>0</v>
      </c>
      <c r="BD61" s="177">
        <f>'ADJ DETAIL-INPUT'!BE60</f>
        <v>2505</v>
      </c>
      <c r="BE61" s="177">
        <f>'ADJ DETAIL-INPUT'!BF60</f>
        <v>0</v>
      </c>
      <c r="BF61" s="177">
        <f>'ADJ DETAIL-INPUT'!BG60</f>
        <v>0</v>
      </c>
      <c r="BG61" s="177">
        <f>'ADJ DETAIL-INPUT'!BH60</f>
        <v>0</v>
      </c>
      <c r="BH61" s="177">
        <f>'ADJ DETAIL-INPUT'!BI60</f>
        <v>0</v>
      </c>
      <c r="BI61" s="177">
        <f>'ADJ DETAIL-INPUT'!BJ60</f>
        <v>0</v>
      </c>
      <c r="BJ61" s="177">
        <f>'ADJ DETAIL-INPUT'!BK60</f>
        <v>0</v>
      </c>
      <c r="BK61" s="177">
        <f>'ADJ DETAIL-INPUT'!BN60</f>
        <v>0</v>
      </c>
      <c r="BL61" s="177">
        <f>'ADJ DETAIL-INPUT'!BO60</f>
        <v>0</v>
      </c>
      <c r="BM61" s="177">
        <f>'ADJ DETAIL-INPUT'!BP60</f>
        <v>0</v>
      </c>
      <c r="BN61" s="177">
        <f>'ADJ DETAIL-INPUT'!BQ60</f>
        <v>0</v>
      </c>
      <c r="BO61" s="177">
        <f>'ADJ DETAIL-INPUT'!BR60</f>
        <v>0</v>
      </c>
      <c r="BP61" s="177">
        <f>'ADJ DETAIL-INPUT'!BS60</f>
        <v>0</v>
      </c>
      <c r="BQ61" s="177">
        <f>'ADJ DETAIL-INPUT'!BT60</f>
        <v>0</v>
      </c>
      <c r="BR61" s="177">
        <f>'ADJ DETAIL-INPUT'!BU60</f>
        <v>0</v>
      </c>
      <c r="BS61" s="177">
        <f>'ADJ DETAIL-INPUT'!BV60</f>
        <v>-1270</v>
      </c>
      <c r="BT61" s="177">
        <f>'ADJ DETAIL-INPUT'!BW60</f>
        <v>0</v>
      </c>
      <c r="BU61" s="177">
        <f>'ADJ DETAIL-INPUT'!BX60</f>
        <v>0</v>
      </c>
      <c r="BV61" s="177">
        <f>'ADJ DETAIL-INPUT'!BY60</f>
        <v>0</v>
      </c>
      <c r="BW61" s="177">
        <f>'ADJ DETAIL-INPUT'!BZ60</f>
        <v>0</v>
      </c>
      <c r="BX61" s="177">
        <f>'ADJ DETAIL-INPUT'!CA60</f>
        <v>0</v>
      </c>
      <c r="BY61" s="177">
        <f>'ADJ DETAIL-INPUT'!CB60</f>
        <v>0</v>
      </c>
    </row>
    <row r="62" spans="1:77" s="178" customFormat="1">
      <c r="A62" s="179">
        <f>'ADJ DETAIL-INPUT'!A61</f>
        <v>33</v>
      </c>
      <c r="C62" s="178" t="str">
        <f>'ADJ DETAIL-INPUT'!C61</f>
        <v xml:space="preserve">Production  </v>
      </c>
      <c r="E62" s="178">
        <f>'ADJ DETAIL-INPUT'!E61</f>
        <v>1009757</v>
      </c>
      <c r="F62" s="183">
        <f>'ADJ DETAIL-INPUT'!F61</f>
        <v>0</v>
      </c>
      <c r="G62" s="183">
        <f>'ADJ DETAIL-INPUT'!G61</f>
        <v>0</v>
      </c>
      <c r="H62" s="183">
        <f>'ADJ DETAIL-INPUT'!H61</f>
        <v>0</v>
      </c>
      <c r="I62" s="183">
        <f>'ADJ DETAIL-INPUT'!I61</f>
        <v>-213545</v>
      </c>
      <c r="J62" s="183">
        <f>'ADJ DETAIL-INPUT'!J61</f>
        <v>0</v>
      </c>
      <c r="K62" s="183">
        <f>'ADJ DETAIL-INPUT'!K61</f>
        <v>0</v>
      </c>
      <c r="L62" s="183">
        <f>'ADJ DETAIL-INPUT'!L61</f>
        <v>0</v>
      </c>
      <c r="M62" s="183">
        <f>'ADJ DETAIL-INPUT'!M61</f>
        <v>0</v>
      </c>
      <c r="N62" s="183">
        <f>'ADJ DETAIL-INPUT'!N61</f>
        <v>0</v>
      </c>
      <c r="O62" s="183">
        <f>'ADJ DETAIL-INPUT'!O61</f>
        <v>0</v>
      </c>
      <c r="P62" s="183">
        <f>'ADJ DETAIL-INPUT'!P61</f>
        <v>0</v>
      </c>
      <c r="Q62" s="183">
        <f>'ADJ DETAIL-INPUT'!Q61</f>
        <v>0</v>
      </c>
      <c r="R62" s="183">
        <f>'ADJ DETAIL-INPUT'!R61</f>
        <v>0</v>
      </c>
      <c r="S62" s="183">
        <f>'ADJ DETAIL-INPUT'!S61</f>
        <v>0</v>
      </c>
      <c r="T62" s="183">
        <f>'ADJ DETAIL-INPUT'!T61</f>
        <v>0</v>
      </c>
      <c r="U62" s="183">
        <f>'ADJ DETAIL-INPUT'!U61</f>
        <v>0</v>
      </c>
      <c r="V62" s="183">
        <f>'ADJ DETAIL-INPUT'!V61</f>
        <v>0</v>
      </c>
      <c r="W62" s="183">
        <f>'ADJ DETAIL-INPUT'!W61</f>
        <v>0</v>
      </c>
      <c r="X62" s="183">
        <f>'ADJ DETAIL-INPUT'!X61</f>
        <v>9188.7999999999993</v>
      </c>
      <c r="Y62" s="183">
        <f>'ADJ DETAIL-INPUT'!Y61</f>
        <v>0</v>
      </c>
      <c r="Z62" s="183">
        <f>'ADJ DETAIL-INPUT'!Z61</f>
        <v>0</v>
      </c>
      <c r="AA62" s="183">
        <f>'ADJ DETAIL-INPUT'!AA61</f>
        <v>0</v>
      </c>
      <c r="AB62" s="183">
        <f>'ADJ DETAIL-INPUT'!AB61</f>
        <v>0</v>
      </c>
      <c r="AC62" s="183">
        <f>'ADJ DETAIL-INPUT'!AC61</f>
        <v>0</v>
      </c>
      <c r="AD62" s="183">
        <f>'ADJ DETAIL-INPUT'!AE61</f>
        <v>0</v>
      </c>
      <c r="AE62" s="183">
        <f>'ADJ DETAIL-INPUT'!AF61</f>
        <v>0</v>
      </c>
      <c r="AF62" s="183">
        <f>'ADJ DETAIL-INPUT'!AG61</f>
        <v>0</v>
      </c>
      <c r="AG62" s="183">
        <f>'ADJ DETAIL-INPUT'!AH61</f>
        <v>0</v>
      </c>
      <c r="AH62" s="183">
        <f>'ADJ DETAIL-INPUT'!AI61</f>
        <v>0</v>
      </c>
      <c r="AI62" s="183">
        <f>'ADJ DETAIL-INPUT'!AJ61</f>
        <v>0</v>
      </c>
      <c r="AJ62" s="183">
        <f>'ADJ DETAIL-INPUT'!AK61</f>
        <v>0</v>
      </c>
      <c r="AK62" s="183">
        <f>'ADJ DETAIL-INPUT'!AL61</f>
        <v>0</v>
      </c>
      <c r="AL62" s="183">
        <f>'ADJ DETAIL-INPUT'!AM61</f>
        <v>0</v>
      </c>
      <c r="AM62" s="183">
        <f>'ADJ DETAIL-INPUT'!AN61</f>
        <v>0</v>
      </c>
      <c r="AN62" s="183">
        <f>'ADJ DETAIL-INPUT'!AO61</f>
        <v>0</v>
      </c>
      <c r="AO62" s="183">
        <f>'ADJ DETAIL-INPUT'!AP61</f>
        <v>0</v>
      </c>
      <c r="AP62" s="183">
        <f>'ADJ DETAIL-INPUT'!AQ61</f>
        <v>0</v>
      </c>
      <c r="AQ62" s="183">
        <f>'ADJ DETAIL-INPUT'!AR61</f>
        <v>0</v>
      </c>
      <c r="AR62" s="183">
        <f>'ADJ DETAIL-INPUT'!AS61</f>
        <v>0</v>
      </c>
      <c r="AS62" s="183">
        <f>'ADJ DETAIL-INPUT'!AT61</f>
        <v>0</v>
      </c>
      <c r="AT62" s="183">
        <f>'ADJ DETAIL-INPUT'!AU61</f>
        <v>14402</v>
      </c>
      <c r="AU62" s="183">
        <f>'ADJ DETAIL-INPUT'!AV61</f>
        <v>0</v>
      </c>
      <c r="AV62" s="183">
        <f>'ADJ DETAIL-INPUT'!AW61</f>
        <v>17026</v>
      </c>
      <c r="AW62" s="183">
        <f>'ADJ DETAIL-INPUT'!AX61</f>
        <v>0</v>
      </c>
      <c r="AX62" s="183">
        <f>'ADJ DETAIL-INPUT'!AY61</f>
        <v>0</v>
      </c>
      <c r="AY62" s="183">
        <f>'ADJ DETAIL-INPUT'!AZ61</f>
        <v>0</v>
      </c>
      <c r="AZ62" s="183">
        <f>'ADJ DETAIL-INPUT'!BA61</f>
        <v>0</v>
      </c>
      <c r="BA62" s="183">
        <f>'ADJ DETAIL-INPUT'!BB61</f>
        <v>0</v>
      </c>
      <c r="BB62" s="183">
        <f>'ADJ DETAIL-INPUT'!BC61</f>
        <v>0</v>
      </c>
      <c r="BC62" s="183">
        <f>'ADJ DETAIL-INPUT'!BD61</f>
        <v>0</v>
      </c>
      <c r="BD62" s="183">
        <f>'ADJ DETAIL-INPUT'!BE61</f>
        <v>9222</v>
      </c>
      <c r="BE62" s="183">
        <f>'ADJ DETAIL-INPUT'!BF61</f>
        <v>0</v>
      </c>
      <c r="BF62" s="183">
        <f>'ADJ DETAIL-INPUT'!BG61</f>
        <v>0</v>
      </c>
      <c r="BG62" s="183">
        <f>'ADJ DETAIL-INPUT'!BH61</f>
        <v>0</v>
      </c>
      <c r="BH62" s="183">
        <f>'ADJ DETAIL-INPUT'!BI61</f>
        <v>0</v>
      </c>
      <c r="BI62" s="183">
        <f>'ADJ DETAIL-INPUT'!BJ61</f>
        <v>0</v>
      </c>
      <c r="BJ62" s="183">
        <f>'ADJ DETAIL-INPUT'!BK61</f>
        <v>0</v>
      </c>
      <c r="BK62" s="183">
        <f>'ADJ DETAIL-INPUT'!BN61</f>
        <v>0</v>
      </c>
      <c r="BL62" s="183">
        <f>'ADJ DETAIL-INPUT'!BO61</f>
        <v>0</v>
      </c>
      <c r="BM62" s="183">
        <f>'ADJ DETAIL-INPUT'!BP61</f>
        <v>0</v>
      </c>
      <c r="BN62" s="183">
        <f>'ADJ DETAIL-INPUT'!BQ61</f>
        <v>0</v>
      </c>
      <c r="BO62" s="183">
        <f>'ADJ DETAIL-INPUT'!BR61</f>
        <v>0</v>
      </c>
      <c r="BP62" s="183">
        <f>'ADJ DETAIL-INPUT'!BS61</f>
        <v>0</v>
      </c>
      <c r="BQ62" s="183">
        <f>'ADJ DETAIL-INPUT'!BT61</f>
        <v>0</v>
      </c>
      <c r="BR62" s="183">
        <f>'ADJ DETAIL-INPUT'!BU61</f>
        <v>0</v>
      </c>
      <c r="BS62" s="183">
        <f>'ADJ DETAIL-INPUT'!BV61</f>
        <v>38022</v>
      </c>
      <c r="BT62" s="183">
        <f>'ADJ DETAIL-INPUT'!BW61</f>
        <v>0</v>
      </c>
      <c r="BU62" s="183">
        <f>'ADJ DETAIL-INPUT'!BX61</f>
        <v>0</v>
      </c>
      <c r="BV62" s="183">
        <f>'ADJ DETAIL-INPUT'!BY61</f>
        <v>0</v>
      </c>
      <c r="BW62" s="183">
        <f>'ADJ DETAIL-INPUT'!BZ61</f>
        <v>0</v>
      </c>
      <c r="BX62" s="183">
        <f>'ADJ DETAIL-INPUT'!CA61</f>
        <v>0</v>
      </c>
      <c r="BY62" s="183">
        <f>'ADJ DETAIL-INPUT'!CB61</f>
        <v>0</v>
      </c>
    </row>
    <row r="63" spans="1:77" s="178" customFormat="1">
      <c r="A63" s="179">
        <f>'ADJ DETAIL-INPUT'!A62</f>
        <v>34</v>
      </c>
      <c r="C63" s="178" t="str">
        <f>'ADJ DETAIL-INPUT'!C62</f>
        <v xml:space="preserve">Transmission  </v>
      </c>
      <c r="E63" s="178">
        <f>'ADJ DETAIL-INPUT'!E62</f>
        <v>639906.4</v>
      </c>
      <c r="F63" s="183">
        <f>'ADJ DETAIL-INPUT'!F62</f>
        <v>0</v>
      </c>
      <c r="G63" s="183">
        <f>'ADJ DETAIL-INPUT'!G62</f>
        <v>0</v>
      </c>
      <c r="H63" s="183">
        <f>'ADJ DETAIL-INPUT'!H62</f>
        <v>0</v>
      </c>
      <c r="I63" s="183">
        <f>'ADJ DETAIL-INPUT'!I62</f>
        <v>0</v>
      </c>
      <c r="J63" s="183">
        <f>'ADJ DETAIL-INPUT'!J62</f>
        <v>0</v>
      </c>
      <c r="K63" s="183">
        <f>'ADJ DETAIL-INPUT'!K62</f>
        <v>0</v>
      </c>
      <c r="L63" s="183">
        <f>'ADJ DETAIL-INPUT'!L62</f>
        <v>0</v>
      </c>
      <c r="M63" s="183">
        <f>'ADJ DETAIL-INPUT'!M62</f>
        <v>0</v>
      </c>
      <c r="N63" s="183">
        <f>'ADJ DETAIL-INPUT'!N62</f>
        <v>0</v>
      </c>
      <c r="O63" s="183">
        <f>'ADJ DETAIL-INPUT'!O62</f>
        <v>0</v>
      </c>
      <c r="P63" s="183">
        <f>'ADJ DETAIL-INPUT'!P62</f>
        <v>0</v>
      </c>
      <c r="Q63" s="183">
        <f>'ADJ DETAIL-INPUT'!Q62</f>
        <v>0</v>
      </c>
      <c r="R63" s="183">
        <f>'ADJ DETAIL-INPUT'!R62</f>
        <v>0</v>
      </c>
      <c r="S63" s="183">
        <f>'ADJ DETAIL-INPUT'!S62</f>
        <v>0</v>
      </c>
      <c r="T63" s="183">
        <f>'ADJ DETAIL-INPUT'!T62</f>
        <v>0</v>
      </c>
      <c r="U63" s="183">
        <f>'ADJ DETAIL-INPUT'!U62</f>
        <v>0</v>
      </c>
      <c r="V63" s="183">
        <f>'ADJ DETAIL-INPUT'!V62</f>
        <v>0</v>
      </c>
      <c r="W63" s="183">
        <f>'ADJ DETAIL-INPUT'!W62</f>
        <v>0</v>
      </c>
      <c r="X63" s="183">
        <f>'ADJ DETAIL-INPUT'!X62</f>
        <v>21171.7</v>
      </c>
      <c r="Y63" s="183">
        <f>'ADJ DETAIL-INPUT'!Y62</f>
        <v>0</v>
      </c>
      <c r="Z63" s="183">
        <f>'ADJ DETAIL-INPUT'!Z62</f>
        <v>0</v>
      </c>
      <c r="AA63" s="183">
        <f>'ADJ DETAIL-INPUT'!AA62</f>
        <v>0</v>
      </c>
      <c r="AB63" s="183">
        <f>'ADJ DETAIL-INPUT'!AB62</f>
        <v>0</v>
      </c>
      <c r="AC63" s="183">
        <f>'ADJ DETAIL-INPUT'!AC62</f>
        <v>0</v>
      </c>
      <c r="AD63" s="183">
        <f>'ADJ DETAIL-INPUT'!AE62</f>
        <v>0</v>
      </c>
      <c r="AE63" s="183">
        <f>'ADJ DETAIL-INPUT'!AF62</f>
        <v>0</v>
      </c>
      <c r="AF63" s="183">
        <f>'ADJ DETAIL-INPUT'!AG62</f>
        <v>0</v>
      </c>
      <c r="AG63" s="183">
        <f>'ADJ DETAIL-INPUT'!AH62</f>
        <v>0</v>
      </c>
      <c r="AH63" s="183">
        <f>'ADJ DETAIL-INPUT'!AI62</f>
        <v>0</v>
      </c>
      <c r="AI63" s="183">
        <f>'ADJ DETAIL-INPUT'!AJ62</f>
        <v>0</v>
      </c>
      <c r="AJ63" s="183">
        <f>'ADJ DETAIL-INPUT'!AK62</f>
        <v>0</v>
      </c>
      <c r="AK63" s="183">
        <f>'ADJ DETAIL-INPUT'!AL62</f>
        <v>0</v>
      </c>
      <c r="AL63" s="183">
        <f>'ADJ DETAIL-INPUT'!AM62</f>
        <v>0</v>
      </c>
      <c r="AM63" s="183">
        <f>'ADJ DETAIL-INPUT'!AN62</f>
        <v>0</v>
      </c>
      <c r="AN63" s="183">
        <f>'ADJ DETAIL-INPUT'!AO62</f>
        <v>0</v>
      </c>
      <c r="AO63" s="183">
        <f>'ADJ DETAIL-INPUT'!AP62</f>
        <v>0</v>
      </c>
      <c r="AP63" s="183">
        <f>'ADJ DETAIL-INPUT'!AQ62</f>
        <v>0</v>
      </c>
      <c r="AQ63" s="183">
        <f>'ADJ DETAIL-INPUT'!AR62</f>
        <v>0</v>
      </c>
      <c r="AR63" s="183">
        <f>'ADJ DETAIL-INPUT'!AS62</f>
        <v>0</v>
      </c>
      <c r="AS63" s="183">
        <f>'ADJ DETAIL-INPUT'!AT62</f>
        <v>0</v>
      </c>
      <c r="AT63" s="183">
        <f>'ADJ DETAIL-INPUT'!AU62</f>
        <v>16202</v>
      </c>
      <c r="AU63" s="183">
        <f>'ADJ DETAIL-INPUT'!AV62</f>
        <v>0</v>
      </c>
      <c r="AV63" s="183">
        <f>'ADJ DETAIL-INPUT'!AW62</f>
        <v>27515</v>
      </c>
      <c r="AW63" s="183">
        <f>'ADJ DETAIL-INPUT'!AX62</f>
        <v>0</v>
      </c>
      <c r="AX63" s="183">
        <f>'ADJ DETAIL-INPUT'!AY62</f>
        <v>0</v>
      </c>
      <c r="AY63" s="183">
        <f>'ADJ DETAIL-INPUT'!AZ62</f>
        <v>0</v>
      </c>
      <c r="AZ63" s="183">
        <f>'ADJ DETAIL-INPUT'!BA62</f>
        <v>0</v>
      </c>
      <c r="BA63" s="183">
        <f>'ADJ DETAIL-INPUT'!BB62</f>
        <v>0</v>
      </c>
      <c r="BB63" s="183">
        <f>'ADJ DETAIL-INPUT'!BC62</f>
        <v>0</v>
      </c>
      <c r="BC63" s="183">
        <f>'ADJ DETAIL-INPUT'!BD62</f>
        <v>0</v>
      </c>
      <c r="BD63" s="183">
        <f>'ADJ DETAIL-INPUT'!BE62</f>
        <v>11346</v>
      </c>
      <c r="BE63" s="183">
        <f>'ADJ DETAIL-INPUT'!BF62</f>
        <v>0</v>
      </c>
      <c r="BF63" s="183">
        <f>'ADJ DETAIL-INPUT'!BG62</f>
        <v>0</v>
      </c>
      <c r="BG63" s="183">
        <f>'ADJ DETAIL-INPUT'!BH62</f>
        <v>0</v>
      </c>
      <c r="BH63" s="183">
        <f>'ADJ DETAIL-INPUT'!BI62</f>
        <v>0</v>
      </c>
      <c r="BI63" s="183">
        <f>'ADJ DETAIL-INPUT'!BJ62</f>
        <v>0</v>
      </c>
      <c r="BJ63" s="183">
        <f>'ADJ DETAIL-INPUT'!BK62</f>
        <v>0</v>
      </c>
      <c r="BK63" s="183">
        <f>'ADJ DETAIL-INPUT'!BN62</f>
        <v>0</v>
      </c>
      <c r="BL63" s="183">
        <f>'ADJ DETAIL-INPUT'!BO62</f>
        <v>0</v>
      </c>
      <c r="BM63" s="183">
        <f>'ADJ DETAIL-INPUT'!BP62</f>
        <v>0</v>
      </c>
      <c r="BN63" s="183">
        <f>'ADJ DETAIL-INPUT'!BQ62</f>
        <v>0</v>
      </c>
      <c r="BO63" s="183">
        <f>'ADJ DETAIL-INPUT'!BR62</f>
        <v>0</v>
      </c>
      <c r="BP63" s="183">
        <f>'ADJ DETAIL-INPUT'!BS62</f>
        <v>0</v>
      </c>
      <c r="BQ63" s="183">
        <f>'ADJ DETAIL-INPUT'!BT62</f>
        <v>0</v>
      </c>
      <c r="BR63" s="183">
        <f>'ADJ DETAIL-INPUT'!BU62</f>
        <v>0</v>
      </c>
      <c r="BS63" s="183">
        <f>'ADJ DETAIL-INPUT'!BV62</f>
        <v>24480</v>
      </c>
      <c r="BT63" s="183">
        <f>'ADJ DETAIL-INPUT'!BW62</f>
        <v>0</v>
      </c>
      <c r="BU63" s="183">
        <f>'ADJ DETAIL-INPUT'!BX62</f>
        <v>0</v>
      </c>
      <c r="BV63" s="183">
        <f>'ADJ DETAIL-INPUT'!BY62</f>
        <v>0</v>
      </c>
      <c r="BW63" s="183">
        <f>'ADJ DETAIL-INPUT'!BZ62</f>
        <v>0</v>
      </c>
      <c r="BX63" s="183">
        <f>'ADJ DETAIL-INPUT'!CA62</f>
        <v>0</v>
      </c>
      <c r="BY63" s="183">
        <f>'ADJ DETAIL-INPUT'!CB62</f>
        <v>0</v>
      </c>
    </row>
    <row r="64" spans="1:77" s="178" customFormat="1">
      <c r="A64" s="179">
        <f>'ADJ DETAIL-INPUT'!A63</f>
        <v>35</v>
      </c>
      <c r="C64" s="178" t="str">
        <f>'ADJ DETAIL-INPUT'!C63</f>
        <v xml:space="preserve">Distribution  </v>
      </c>
      <c r="E64" s="178">
        <f>'ADJ DETAIL-INPUT'!E63</f>
        <v>1486384</v>
      </c>
      <c r="F64" s="183">
        <f>'ADJ DETAIL-INPUT'!F63</f>
        <v>0</v>
      </c>
      <c r="G64" s="183">
        <f>'ADJ DETAIL-INPUT'!G63</f>
        <v>0</v>
      </c>
      <c r="H64" s="183">
        <f>'ADJ DETAIL-INPUT'!H63</f>
        <v>0</v>
      </c>
      <c r="I64" s="183">
        <f>'ADJ DETAIL-INPUT'!I63</f>
        <v>0</v>
      </c>
      <c r="J64" s="183">
        <f>'ADJ DETAIL-INPUT'!J63</f>
        <v>0</v>
      </c>
      <c r="K64" s="183">
        <f>'ADJ DETAIL-INPUT'!K63</f>
        <v>0</v>
      </c>
      <c r="L64" s="183">
        <f>'ADJ DETAIL-INPUT'!L63</f>
        <v>0</v>
      </c>
      <c r="M64" s="183">
        <f>'ADJ DETAIL-INPUT'!M63</f>
        <v>0</v>
      </c>
      <c r="N64" s="183">
        <f>'ADJ DETAIL-INPUT'!N63</f>
        <v>0</v>
      </c>
      <c r="O64" s="183">
        <f>'ADJ DETAIL-INPUT'!O63</f>
        <v>0</v>
      </c>
      <c r="P64" s="183">
        <f>'ADJ DETAIL-INPUT'!P63</f>
        <v>0</v>
      </c>
      <c r="Q64" s="183">
        <f>'ADJ DETAIL-INPUT'!Q63</f>
        <v>0</v>
      </c>
      <c r="R64" s="183">
        <f>'ADJ DETAIL-INPUT'!R63</f>
        <v>0</v>
      </c>
      <c r="S64" s="183">
        <f>'ADJ DETAIL-INPUT'!S63</f>
        <v>0</v>
      </c>
      <c r="T64" s="183">
        <f>'ADJ DETAIL-INPUT'!T63</f>
        <v>0</v>
      </c>
      <c r="U64" s="183">
        <f>'ADJ DETAIL-INPUT'!U63</f>
        <v>0</v>
      </c>
      <c r="V64" s="183">
        <f>'ADJ DETAIL-INPUT'!V63</f>
        <v>0</v>
      </c>
      <c r="W64" s="183">
        <f>'ADJ DETAIL-INPUT'!W63</f>
        <v>0</v>
      </c>
      <c r="X64" s="183">
        <f>'ADJ DETAIL-INPUT'!X63</f>
        <v>61740.6</v>
      </c>
      <c r="Y64" s="183">
        <f>'ADJ DETAIL-INPUT'!Y63</f>
        <v>0</v>
      </c>
      <c r="Z64" s="183">
        <f>'ADJ DETAIL-INPUT'!Z63</f>
        <v>0</v>
      </c>
      <c r="AA64" s="183">
        <f>'ADJ DETAIL-INPUT'!AA63</f>
        <v>0</v>
      </c>
      <c r="AB64" s="183">
        <f>'ADJ DETAIL-INPUT'!AB63</f>
        <v>0</v>
      </c>
      <c r="AC64" s="183">
        <f>'ADJ DETAIL-INPUT'!AC63</f>
        <v>0</v>
      </c>
      <c r="AD64" s="183">
        <f>'ADJ DETAIL-INPUT'!AE63</f>
        <v>0</v>
      </c>
      <c r="AE64" s="183">
        <f>'ADJ DETAIL-INPUT'!AF63</f>
        <v>0</v>
      </c>
      <c r="AF64" s="183">
        <f>'ADJ DETAIL-INPUT'!AG63</f>
        <v>0</v>
      </c>
      <c r="AG64" s="183">
        <f>'ADJ DETAIL-INPUT'!AH63</f>
        <v>0</v>
      </c>
      <c r="AH64" s="183">
        <f>'ADJ DETAIL-INPUT'!AI63</f>
        <v>0</v>
      </c>
      <c r="AI64" s="183">
        <f>'ADJ DETAIL-INPUT'!AJ63</f>
        <v>0</v>
      </c>
      <c r="AJ64" s="183">
        <f>'ADJ DETAIL-INPUT'!AK63</f>
        <v>0</v>
      </c>
      <c r="AK64" s="183">
        <f>'ADJ DETAIL-INPUT'!AL63</f>
        <v>0</v>
      </c>
      <c r="AL64" s="183">
        <f>'ADJ DETAIL-INPUT'!AM63</f>
        <v>0</v>
      </c>
      <c r="AM64" s="183">
        <f>'ADJ DETAIL-INPUT'!AN63</f>
        <v>0</v>
      </c>
      <c r="AN64" s="183">
        <f>'ADJ DETAIL-INPUT'!AO63</f>
        <v>0</v>
      </c>
      <c r="AO64" s="183">
        <f>'ADJ DETAIL-INPUT'!AP63</f>
        <v>0</v>
      </c>
      <c r="AP64" s="183">
        <f>'ADJ DETAIL-INPUT'!AQ63</f>
        <v>0</v>
      </c>
      <c r="AQ64" s="183">
        <f>'ADJ DETAIL-INPUT'!AR63</f>
        <v>0</v>
      </c>
      <c r="AR64" s="183">
        <f>'ADJ DETAIL-INPUT'!AS63</f>
        <v>0</v>
      </c>
      <c r="AS64" s="183">
        <f>'ADJ DETAIL-INPUT'!AT63</f>
        <v>0</v>
      </c>
      <c r="AT64" s="183">
        <f>'ADJ DETAIL-INPUT'!AU63</f>
        <v>70230</v>
      </c>
      <c r="AU64" s="183">
        <f>'ADJ DETAIL-INPUT'!AV63</f>
        <v>0</v>
      </c>
      <c r="AV64" s="183">
        <f>'ADJ DETAIL-INPUT'!AW63</f>
        <v>99445</v>
      </c>
      <c r="AW64" s="183">
        <f>'ADJ DETAIL-INPUT'!AX63</f>
        <v>0</v>
      </c>
      <c r="AX64" s="183">
        <f>'ADJ DETAIL-INPUT'!AY63</f>
        <v>0</v>
      </c>
      <c r="AY64" s="183">
        <f>'ADJ DETAIL-INPUT'!AZ63</f>
        <v>0</v>
      </c>
      <c r="AZ64" s="183">
        <f>'ADJ DETAIL-INPUT'!BA63</f>
        <v>0</v>
      </c>
      <c r="BA64" s="183">
        <f>'ADJ DETAIL-INPUT'!BB63</f>
        <v>0</v>
      </c>
      <c r="BB64" s="183">
        <f>'ADJ DETAIL-INPUT'!BC63</f>
        <v>0</v>
      </c>
      <c r="BC64" s="183">
        <f>'ADJ DETAIL-INPUT'!BD63</f>
        <v>0</v>
      </c>
      <c r="BD64" s="183">
        <f>'ADJ DETAIL-INPUT'!BE63</f>
        <v>45745</v>
      </c>
      <c r="BE64" s="183">
        <f>'ADJ DETAIL-INPUT'!BF63</f>
        <v>0</v>
      </c>
      <c r="BF64" s="183">
        <f>'ADJ DETAIL-INPUT'!BG63</f>
        <v>0</v>
      </c>
      <c r="BG64" s="183">
        <f>'ADJ DETAIL-INPUT'!BH63</f>
        <v>0</v>
      </c>
      <c r="BH64" s="183">
        <f>'ADJ DETAIL-INPUT'!BI63</f>
        <v>0</v>
      </c>
      <c r="BI64" s="183">
        <f>'ADJ DETAIL-INPUT'!BJ63</f>
        <v>0</v>
      </c>
      <c r="BJ64" s="183">
        <f>'ADJ DETAIL-INPUT'!BK63</f>
        <v>0</v>
      </c>
      <c r="BK64" s="183">
        <f>'ADJ DETAIL-INPUT'!BN63</f>
        <v>0</v>
      </c>
      <c r="BL64" s="183">
        <f>'ADJ DETAIL-INPUT'!BO63</f>
        <v>0</v>
      </c>
      <c r="BM64" s="183">
        <f>'ADJ DETAIL-INPUT'!BP63</f>
        <v>0</v>
      </c>
      <c r="BN64" s="183">
        <f>'ADJ DETAIL-INPUT'!BQ63</f>
        <v>0</v>
      </c>
      <c r="BO64" s="183">
        <f>'ADJ DETAIL-INPUT'!BR63</f>
        <v>0</v>
      </c>
      <c r="BP64" s="183">
        <f>'ADJ DETAIL-INPUT'!BS63</f>
        <v>0</v>
      </c>
      <c r="BQ64" s="183">
        <f>'ADJ DETAIL-INPUT'!BT63</f>
        <v>0</v>
      </c>
      <c r="BR64" s="183">
        <f>'ADJ DETAIL-INPUT'!BU63</f>
        <v>0</v>
      </c>
      <c r="BS64" s="183">
        <f>'ADJ DETAIL-INPUT'!BV63</f>
        <v>98465</v>
      </c>
      <c r="BT64" s="183">
        <f>'ADJ DETAIL-INPUT'!BW63</f>
        <v>0</v>
      </c>
      <c r="BU64" s="183">
        <f>'ADJ DETAIL-INPUT'!BX63</f>
        <v>0</v>
      </c>
      <c r="BV64" s="183">
        <f>'ADJ DETAIL-INPUT'!BY63</f>
        <v>0</v>
      </c>
      <c r="BW64" s="183">
        <f>'ADJ DETAIL-INPUT'!BZ63</f>
        <v>0</v>
      </c>
      <c r="BX64" s="183">
        <f>'ADJ DETAIL-INPUT'!CA63</f>
        <v>0</v>
      </c>
      <c r="BY64" s="183">
        <f>'ADJ DETAIL-INPUT'!CB63</f>
        <v>0</v>
      </c>
    </row>
    <row r="65" spans="1:77" s="178" customFormat="1">
      <c r="A65" s="179">
        <f>'ADJ DETAIL-INPUT'!A64</f>
        <v>36</v>
      </c>
      <c r="C65" s="178" t="str">
        <f>'ADJ DETAIL-INPUT'!C64</f>
        <v xml:space="preserve">General  </v>
      </c>
      <c r="E65" s="307">
        <f>'ADJ DETAIL-INPUT'!E64</f>
        <v>310839.3</v>
      </c>
      <c r="F65" s="186">
        <f>'ADJ DETAIL-INPUT'!F64</f>
        <v>0</v>
      </c>
      <c r="G65" s="186">
        <f>'ADJ DETAIL-INPUT'!G64</f>
        <v>0</v>
      </c>
      <c r="H65" s="186">
        <f>'ADJ DETAIL-INPUT'!H64</f>
        <v>0</v>
      </c>
      <c r="I65" s="186">
        <f>'ADJ DETAIL-INPUT'!I64</f>
        <v>0</v>
      </c>
      <c r="J65" s="186">
        <f>'ADJ DETAIL-INPUT'!J64</f>
        <v>0</v>
      </c>
      <c r="K65" s="186">
        <f>'ADJ DETAIL-INPUT'!K64</f>
        <v>0</v>
      </c>
      <c r="L65" s="186">
        <f>'ADJ DETAIL-INPUT'!L64</f>
        <v>0</v>
      </c>
      <c r="M65" s="186">
        <f>'ADJ DETAIL-INPUT'!M64</f>
        <v>0</v>
      </c>
      <c r="N65" s="186">
        <f>'ADJ DETAIL-INPUT'!N64</f>
        <v>0</v>
      </c>
      <c r="O65" s="186">
        <f>'ADJ DETAIL-INPUT'!O64</f>
        <v>0</v>
      </c>
      <c r="P65" s="186">
        <f>'ADJ DETAIL-INPUT'!P64</f>
        <v>0</v>
      </c>
      <c r="Q65" s="186">
        <f>'ADJ DETAIL-INPUT'!Q64</f>
        <v>0</v>
      </c>
      <c r="R65" s="186">
        <f>'ADJ DETAIL-INPUT'!R64</f>
        <v>0</v>
      </c>
      <c r="S65" s="186">
        <f>'ADJ DETAIL-INPUT'!S64</f>
        <v>0</v>
      </c>
      <c r="T65" s="186">
        <f>'ADJ DETAIL-INPUT'!T64</f>
        <v>0</v>
      </c>
      <c r="U65" s="186">
        <f>'ADJ DETAIL-INPUT'!U64</f>
        <v>0</v>
      </c>
      <c r="V65" s="186">
        <f>'ADJ DETAIL-INPUT'!V64</f>
        <v>0</v>
      </c>
      <c r="W65" s="186">
        <f>'ADJ DETAIL-INPUT'!W64</f>
        <v>0</v>
      </c>
      <c r="X65" s="186">
        <f>'ADJ DETAIL-INPUT'!X64</f>
        <v>4660</v>
      </c>
      <c r="Y65" s="186">
        <f>'ADJ DETAIL-INPUT'!Y64</f>
        <v>0</v>
      </c>
      <c r="Z65" s="186">
        <f>'ADJ DETAIL-INPUT'!Z64</f>
        <v>0</v>
      </c>
      <c r="AA65" s="186">
        <f>'ADJ DETAIL-INPUT'!AA64</f>
        <v>0</v>
      </c>
      <c r="AB65" s="186">
        <f>'ADJ DETAIL-INPUT'!AB64</f>
        <v>0</v>
      </c>
      <c r="AC65" s="186">
        <f>'ADJ DETAIL-INPUT'!AC64</f>
        <v>0</v>
      </c>
      <c r="AD65" s="186">
        <f>'ADJ DETAIL-INPUT'!AE64</f>
        <v>0</v>
      </c>
      <c r="AE65" s="186">
        <f>'ADJ DETAIL-INPUT'!AF64</f>
        <v>0</v>
      </c>
      <c r="AF65" s="186">
        <f>'ADJ DETAIL-INPUT'!AG64</f>
        <v>0</v>
      </c>
      <c r="AG65" s="186">
        <f>'ADJ DETAIL-INPUT'!AH64</f>
        <v>0</v>
      </c>
      <c r="AH65" s="186">
        <f>'ADJ DETAIL-INPUT'!AI64</f>
        <v>0</v>
      </c>
      <c r="AI65" s="186">
        <f>'ADJ DETAIL-INPUT'!AJ64</f>
        <v>0</v>
      </c>
      <c r="AJ65" s="186">
        <f>'ADJ DETAIL-INPUT'!AK64</f>
        <v>0</v>
      </c>
      <c r="AK65" s="186">
        <f>'ADJ DETAIL-INPUT'!AL64</f>
        <v>0</v>
      </c>
      <c r="AL65" s="186">
        <f>'ADJ DETAIL-INPUT'!AM64</f>
        <v>0</v>
      </c>
      <c r="AM65" s="186">
        <f>'ADJ DETAIL-INPUT'!AN64</f>
        <v>0</v>
      </c>
      <c r="AN65" s="186">
        <f>'ADJ DETAIL-INPUT'!AO64</f>
        <v>0</v>
      </c>
      <c r="AO65" s="186">
        <f>'ADJ DETAIL-INPUT'!AP64</f>
        <v>0</v>
      </c>
      <c r="AP65" s="186">
        <f>'ADJ DETAIL-INPUT'!AQ64</f>
        <v>0</v>
      </c>
      <c r="AQ65" s="186">
        <f>'ADJ DETAIL-INPUT'!AR64</f>
        <v>0</v>
      </c>
      <c r="AR65" s="186">
        <f>'ADJ DETAIL-INPUT'!AS64</f>
        <v>0</v>
      </c>
      <c r="AS65" s="186">
        <f>'ADJ DETAIL-INPUT'!AT64</f>
        <v>0</v>
      </c>
      <c r="AT65" s="186">
        <f>'ADJ DETAIL-INPUT'!AU64</f>
        <v>11570</v>
      </c>
      <c r="AU65" s="186">
        <f>'ADJ DETAIL-INPUT'!AV64</f>
        <v>0</v>
      </c>
      <c r="AV65" s="186">
        <f>'ADJ DETAIL-INPUT'!AW64</f>
        <v>10103</v>
      </c>
      <c r="AW65" s="186">
        <f>'ADJ DETAIL-INPUT'!AX64</f>
        <v>0</v>
      </c>
      <c r="AX65" s="186">
        <f>'ADJ DETAIL-INPUT'!AY64</f>
        <v>0</v>
      </c>
      <c r="AY65" s="186">
        <f>'ADJ DETAIL-INPUT'!AZ64</f>
        <v>0</v>
      </c>
      <c r="AZ65" s="186">
        <f>'ADJ DETAIL-INPUT'!BA64</f>
        <v>0</v>
      </c>
      <c r="BA65" s="186">
        <f>'ADJ DETAIL-INPUT'!BB64</f>
        <v>0</v>
      </c>
      <c r="BB65" s="186">
        <f>'ADJ DETAIL-INPUT'!BC64</f>
        <v>0</v>
      </c>
      <c r="BC65" s="186">
        <f>'ADJ DETAIL-INPUT'!BD64</f>
        <v>0</v>
      </c>
      <c r="BD65" s="186">
        <f>'ADJ DETAIL-INPUT'!BE64</f>
        <v>6982</v>
      </c>
      <c r="BE65" s="186">
        <f>'ADJ DETAIL-INPUT'!BF64</f>
        <v>0</v>
      </c>
      <c r="BF65" s="186">
        <f>'ADJ DETAIL-INPUT'!BG64</f>
        <v>0</v>
      </c>
      <c r="BG65" s="186">
        <f>'ADJ DETAIL-INPUT'!BH64</f>
        <v>0</v>
      </c>
      <c r="BH65" s="186">
        <f>'ADJ DETAIL-INPUT'!BI64</f>
        <v>0</v>
      </c>
      <c r="BI65" s="186">
        <f>'ADJ DETAIL-INPUT'!BJ64</f>
        <v>0</v>
      </c>
      <c r="BJ65" s="186">
        <f>'ADJ DETAIL-INPUT'!BK64</f>
        <v>0</v>
      </c>
      <c r="BK65" s="186">
        <f>'ADJ DETAIL-INPUT'!BN64</f>
        <v>0</v>
      </c>
      <c r="BL65" s="186">
        <f>'ADJ DETAIL-INPUT'!BO64</f>
        <v>0</v>
      </c>
      <c r="BM65" s="186">
        <f>'ADJ DETAIL-INPUT'!BP64</f>
        <v>0</v>
      </c>
      <c r="BN65" s="186">
        <f>'ADJ DETAIL-INPUT'!BQ64</f>
        <v>0</v>
      </c>
      <c r="BO65" s="186">
        <f>'ADJ DETAIL-INPUT'!BR64</f>
        <v>0</v>
      </c>
      <c r="BP65" s="186">
        <f>'ADJ DETAIL-INPUT'!BS64</f>
        <v>0</v>
      </c>
      <c r="BQ65" s="186">
        <f>'ADJ DETAIL-INPUT'!BT64</f>
        <v>0</v>
      </c>
      <c r="BR65" s="186">
        <f>'ADJ DETAIL-INPUT'!BU64</f>
        <v>0</v>
      </c>
      <c r="BS65" s="186">
        <f>'ADJ DETAIL-INPUT'!BV64</f>
        <v>13086</v>
      </c>
      <c r="BT65" s="186">
        <f>'ADJ DETAIL-INPUT'!BW64</f>
        <v>0</v>
      </c>
      <c r="BU65" s="186">
        <f>'ADJ DETAIL-INPUT'!BX64</f>
        <v>0</v>
      </c>
      <c r="BV65" s="186">
        <f>'ADJ DETAIL-INPUT'!BY64</f>
        <v>0</v>
      </c>
      <c r="BW65" s="186">
        <f>'ADJ DETAIL-INPUT'!BZ64</f>
        <v>0</v>
      </c>
      <c r="BX65" s="186">
        <f>'ADJ DETAIL-INPUT'!CA64</f>
        <v>0</v>
      </c>
      <c r="BY65" s="186">
        <f>'ADJ DETAIL-INPUT'!CB64</f>
        <v>0</v>
      </c>
    </row>
    <row r="66" spans="1:77" s="178" customFormat="1">
      <c r="A66" s="179">
        <f>'ADJ DETAIL-INPUT'!A65</f>
        <v>37</v>
      </c>
      <c r="B66" s="178" t="str">
        <f>'ADJ DETAIL-INPUT'!B65</f>
        <v xml:space="preserve">Total Plant in Service  </v>
      </c>
      <c r="E66" s="183">
        <f>'ADJ DETAIL-INPUT'!E65</f>
        <v>3691448.6999999997</v>
      </c>
      <c r="F66" s="183">
        <f>'ADJ DETAIL-INPUT'!F65</f>
        <v>0</v>
      </c>
      <c r="G66" s="183">
        <f>'ADJ DETAIL-INPUT'!G65</f>
        <v>0</v>
      </c>
      <c r="H66" s="183">
        <f>'ADJ DETAIL-INPUT'!H65</f>
        <v>0</v>
      </c>
      <c r="I66" s="183">
        <f>'ADJ DETAIL-INPUT'!I65</f>
        <v>-213545</v>
      </c>
      <c r="J66" s="183">
        <f>'ADJ DETAIL-INPUT'!J65</f>
        <v>0</v>
      </c>
      <c r="K66" s="183">
        <f>'ADJ DETAIL-INPUT'!K65</f>
        <v>0</v>
      </c>
      <c r="L66" s="183">
        <f>'ADJ DETAIL-INPUT'!L65</f>
        <v>0</v>
      </c>
      <c r="M66" s="183">
        <f>'ADJ DETAIL-INPUT'!M65</f>
        <v>0</v>
      </c>
      <c r="N66" s="183">
        <f>'ADJ DETAIL-INPUT'!N65</f>
        <v>0</v>
      </c>
      <c r="O66" s="183">
        <f>'ADJ DETAIL-INPUT'!O65</f>
        <v>0</v>
      </c>
      <c r="P66" s="183">
        <f>'ADJ DETAIL-INPUT'!P65</f>
        <v>0</v>
      </c>
      <c r="Q66" s="183">
        <f>'ADJ DETAIL-INPUT'!Q65</f>
        <v>0</v>
      </c>
      <c r="R66" s="183">
        <f>'ADJ DETAIL-INPUT'!R65</f>
        <v>0</v>
      </c>
      <c r="S66" s="183">
        <f>'ADJ DETAIL-INPUT'!S65</f>
        <v>0</v>
      </c>
      <c r="T66" s="183">
        <f>'ADJ DETAIL-INPUT'!T65</f>
        <v>0</v>
      </c>
      <c r="U66" s="183">
        <f>'ADJ DETAIL-INPUT'!U65</f>
        <v>0</v>
      </c>
      <c r="V66" s="183">
        <f>'ADJ DETAIL-INPUT'!V65</f>
        <v>0</v>
      </c>
      <c r="W66" s="183">
        <f>'ADJ DETAIL-INPUT'!W65</f>
        <v>0</v>
      </c>
      <c r="X66" s="183">
        <f>'ADJ DETAIL-INPUT'!X65</f>
        <v>100975.1</v>
      </c>
      <c r="Y66" s="183">
        <f>'ADJ DETAIL-INPUT'!Y65</f>
        <v>0</v>
      </c>
      <c r="Z66" s="183">
        <f>'ADJ DETAIL-INPUT'!Z65</f>
        <v>0</v>
      </c>
      <c r="AA66" s="183">
        <f>'ADJ DETAIL-INPUT'!AA65</f>
        <v>0</v>
      </c>
      <c r="AB66" s="183">
        <f>'ADJ DETAIL-INPUT'!AB65</f>
        <v>0</v>
      </c>
      <c r="AC66" s="183">
        <f>'ADJ DETAIL-INPUT'!AC65</f>
        <v>0</v>
      </c>
      <c r="AD66" s="183">
        <f>'ADJ DETAIL-INPUT'!AE65</f>
        <v>0</v>
      </c>
      <c r="AE66" s="183">
        <f>'ADJ DETAIL-INPUT'!AF65</f>
        <v>0</v>
      </c>
      <c r="AF66" s="183">
        <f>'ADJ DETAIL-INPUT'!AG65</f>
        <v>0</v>
      </c>
      <c r="AG66" s="183">
        <f>'ADJ DETAIL-INPUT'!AH65</f>
        <v>0</v>
      </c>
      <c r="AH66" s="183">
        <f>'ADJ DETAIL-INPUT'!AI65</f>
        <v>0</v>
      </c>
      <c r="AI66" s="183">
        <f>'ADJ DETAIL-INPUT'!AJ65</f>
        <v>0</v>
      </c>
      <c r="AJ66" s="183">
        <f>'ADJ DETAIL-INPUT'!AK65</f>
        <v>0</v>
      </c>
      <c r="AK66" s="183">
        <f>'ADJ DETAIL-INPUT'!AL65</f>
        <v>0</v>
      </c>
      <c r="AL66" s="183">
        <f>'ADJ DETAIL-INPUT'!AM65</f>
        <v>0</v>
      </c>
      <c r="AM66" s="183">
        <f>'ADJ DETAIL-INPUT'!AN65</f>
        <v>0</v>
      </c>
      <c r="AN66" s="183">
        <f>'ADJ DETAIL-INPUT'!AO65</f>
        <v>0</v>
      </c>
      <c r="AO66" s="183">
        <f>'ADJ DETAIL-INPUT'!AP65</f>
        <v>0</v>
      </c>
      <c r="AP66" s="183">
        <f>'ADJ DETAIL-INPUT'!AQ65</f>
        <v>0</v>
      </c>
      <c r="AQ66" s="183">
        <f>'ADJ DETAIL-INPUT'!AR65</f>
        <v>0</v>
      </c>
      <c r="AR66" s="183">
        <f>'ADJ DETAIL-INPUT'!AS65</f>
        <v>0</v>
      </c>
      <c r="AS66" s="183">
        <f>'ADJ DETAIL-INPUT'!AT65</f>
        <v>0</v>
      </c>
      <c r="AT66" s="183">
        <f>'ADJ DETAIL-INPUT'!AU65</f>
        <v>110787</v>
      </c>
      <c r="AU66" s="183">
        <f>'ADJ DETAIL-INPUT'!AV65</f>
        <v>0</v>
      </c>
      <c r="AV66" s="183">
        <f>'ADJ DETAIL-INPUT'!AW65</f>
        <v>153538</v>
      </c>
      <c r="AW66" s="183">
        <f>'ADJ DETAIL-INPUT'!AX65</f>
        <v>0</v>
      </c>
      <c r="AX66" s="183">
        <f>'ADJ DETAIL-INPUT'!AY65</f>
        <v>0</v>
      </c>
      <c r="AY66" s="183">
        <f>'ADJ DETAIL-INPUT'!AZ65</f>
        <v>0</v>
      </c>
      <c r="AZ66" s="183">
        <f>'ADJ DETAIL-INPUT'!BA65</f>
        <v>0</v>
      </c>
      <c r="BA66" s="183">
        <f>'ADJ DETAIL-INPUT'!BB65</f>
        <v>0</v>
      </c>
      <c r="BB66" s="183">
        <f>'ADJ DETAIL-INPUT'!BC65</f>
        <v>0</v>
      </c>
      <c r="BC66" s="183">
        <f>'ADJ DETAIL-INPUT'!BD65</f>
        <v>0</v>
      </c>
      <c r="BD66" s="183">
        <f>'ADJ DETAIL-INPUT'!BE65</f>
        <v>75800</v>
      </c>
      <c r="BE66" s="183">
        <f>'ADJ DETAIL-INPUT'!BF65</f>
        <v>0</v>
      </c>
      <c r="BF66" s="183">
        <f>'ADJ DETAIL-INPUT'!BG65</f>
        <v>0</v>
      </c>
      <c r="BG66" s="183">
        <f>'ADJ DETAIL-INPUT'!BH65</f>
        <v>0</v>
      </c>
      <c r="BH66" s="183">
        <f>'ADJ DETAIL-INPUT'!BI65</f>
        <v>0</v>
      </c>
      <c r="BI66" s="183">
        <f>'ADJ DETAIL-INPUT'!BJ65</f>
        <v>0</v>
      </c>
      <c r="BJ66" s="183">
        <f>'ADJ DETAIL-INPUT'!BK65</f>
        <v>0</v>
      </c>
      <c r="BK66" s="183">
        <f>'ADJ DETAIL-INPUT'!BN65</f>
        <v>0</v>
      </c>
      <c r="BL66" s="183">
        <f>'ADJ DETAIL-INPUT'!BO65</f>
        <v>0</v>
      </c>
      <c r="BM66" s="183">
        <f>'ADJ DETAIL-INPUT'!BP65</f>
        <v>0</v>
      </c>
      <c r="BN66" s="183">
        <f>'ADJ DETAIL-INPUT'!BQ65</f>
        <v>0</v>
      </c>
      <c r="BO66" s="183">
        <f>'ADJ DETAIL-INPUT'!BR65</f>
        <v>0</v>
      </c>
      <c r="BP66" s="183">
        <f>'ADJ DETAIL-INPUT'!BS65</f>
        <v>0</v>
      </c>
      <c r="BQ66" s="183">
        <f>'ADJ DETAIL-INPUT'!BT65</f>
        <v>0</v>
      </c>
      <c r="BR66" s="183">
        <f>'ADJ DETAIL-INPUT'!BU65</f>
        <v>0</v>
      </c>
      <c r="BS66" s="183">
        <f>'ADJ DETAIL-INPUT'!BV65</f>
        <v>172783</v>
      </c>
      <c r="BT66" s="183">
        <f>'ADJ DETAIL-INPUT'!BW65</f>
        <v>0</v>
      </c>
      <c r="BU66" s="183">
        <f>'ADJ DETAIL-INPUT'!BX65</f>
        <v>0</v>
      </c>
      <c r="BV66" s="183">
        <f>'ADJ DETAIL-INPUT'!BY65</f>
        <v>0</v>
      </c>
      <c r="BW66" s="183">
        <f>'ADJ DETAIL-INPUT'!BZ65</f>
        <v>0</v>
      </c>
      <c r="BX66" s="183">
        <f>'ADJ DETAIL-INPUT'!CA65</f>
        <v>0</v>
      </c>
      <c r="BY66" s="183">
        <f>'ADJ DETAIL-INPUT'!CB65</f>
        <v>0</v>
      </c>
    </row>
    <row r="67" spans="1:77" s="178" customFormat="1">
      <c r="A67" s="179"/>
      <c r="B67" s="178" t="str">
        <f>'ADJ DETAIL-INPUT'!B66</f>
        <v>ACCUMULATED DEPRECIATION/AMORT</v>
      </c>
      <c r="E67" s="183"/>
      <c r="F67" s="183"/>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3"/>
      <c r="AN67" s="183"/>
      <c r="AO67" s="183"/>
      <c r="AP67" s="183"/>
      <c r="AQ67" s="183"/>
      <c r="AR67" s="183"/>
      <c r="AS67" s="183"/>
      <c r="AT67" s="183"/>
      <c r="AU67" s="183"/>
      <c r="AV67" s="183"/>
      <c r="AW67" s="183"/>
      <c r="AX67" s="183"/>
      <c r="AY67" s="183"/>
      <c r="AZ67" s="183"/>
      <c r="BA67" s="183"/>
      <c r="BB67" s="183"/>
      <c r="BC67" s="183"/>
      <c r="BD67" s="183"/>
      <c r="BE67" s="183"/>
      <c r="BF67" s="183"/>
      <c r="BG67" s="183"/>
      <c r="BH67" s="183"/>
      <c r="BI67" s="183"/>
      <c r="BJ67" s="183"/>
      <c r="BK67" s="183"/>
      <c r="BL67" s="183"/>
      <c r="BM67" s="183"/>
      <c r="BN67" s="183"/>
      <c r="BO67" s="183"/>
      <c r="BP67" s="183"/>
      <c r="BQ67" s="183"/>
      <c r="BR67" s="183"/>
      <c r="BS67" s="183"/>
      <c r="BT67" s="183"/>
      <c r="BU67" s="183"/>
      <c r="BV67" s="183"/>
      <c r="BW67" s="183"/>
      <c r="BX67" s="183"/>
      <c r="BY67" s="183"/>
    </row>
    <row r="68" spans="1:77" s="178" customFormat="1">
      <c r="A68" s="179">
        <f>'ADJ DETAIL-INPUT'!A67</f>
        <v>38</v>
      </c>
      <c r="C68" s="177" t="str">
        <f>'ADJ DETAIL-INPUT'!C67</f>
        <v xml:space="preserve">Intangible  </v>
      </c>
      <c r="E68" s="178">
        <f>'ADJ DETAIL-INPUT'!E67</f>
        <v>-106388</v>
      </c>
      <c r="F68" s="183">
        <f>'ADJ DETAIL-INPUT'!F67</f>
        <v>0</v>
      </c>
      <c r="G68" s="183">
        <f>'ADJ DETAIL-INPUT'!G67</f>
        <v>0</v>
      </c>
      <c r="H68" s="183">
        <f>'ADJ DETAIL-INPUT'!H67</f>
        <v>0</v>
      </c>
      <c r="I68" s="183">
        <f>'ADJ DETAIL-INPUT'!I67</f>
        <v>0</v>
      </c>
      <c r="J68" s="183">
        <f>'ADJ DETAIL-INPUT'!J67</f>
        <v>0</v>
      </c>
      <c r="K68" s="183">
        <f>'ADJ DETAIL-INPUT'!K67</f>
        <v>0</v>
      </c>
      <c r="L68" s="183">
        <f>'ADJ DETAIL-INPUT'!L67</f>
        <v>0</v>
      </c>
      <c r="M68" s="183">
        <f>'ADJ DETAIL-INPUT'!M67</f>
        <v>0</v>
      </c>
      <c r="N68" s="183">
        <f>'ADJ DETAIL-INPUT'!N67</f>
        <v>0</v>
      </c>
      <c r="O68" s="183">
        <f>'ADJ DETAIL-INPUT'!O67</f>
        <v>0</v>
      </c>
      <c r="P68" s="183">
        <f>'ADJ DETAIL-INPUT'!P67</f>
        <v>0</v>
      </c>
      <c r="Q68" s="183">
        <f>'ADJ DETAIL-INPUT'!Q67</f>
        <v>0</v>
      </c>
      <c r="R68" s="183">
        <f>'ADJ DETAIL-INPUT'!R67</f>
        <v>0</v>
      </c>
      <c r="S68" s="183">
        <f>'ADJ DETAIL-INPUT'!S67</f>
        <v>0</v>
      </c>
      <c r="T68" s="183">
        <f>'ADJ DETAIL-INPUT'!T67</f>
        <v>0</v>
      </c>
      <c r="U68" s="183">
        <f>'ADJ DETAIL-INPUT'!U67</f>
        <v>0</v>
      </c>
      <c r="V68" s="183">
        <f>'ADJ DETAIL-INPUT'!V67</f>
        <v>0</v>
      </c>
      <c r="W68" s="183">
        <f>'ADJ DETAIL-INPUT'!W67</f>
        <v>0</v>
      </c>
      <c r="X68" s="183">
        <f>'ADJ DETAIL-INPUT'!X67</f>
        <v>-7700.4</v>
      </c>
      <c r="Y68" s="183">
        <f>'ADJ DETAIL-INPUT'!Y67</f>
        <v>0</v>
      </c>
      <c r="Z68" s="183">
        <f>'ADJ DETAIL-INPUT'!Z67</f>
        <v>0</v>
      </c>
      <c r="AA68" s="183">
        <f>'ADJ DETAIL-INPUT'!AA67</f>
        <v>0</v>
      </c>
      <c r="AB68" s="183">
        <f>'ADJ DETAIL-INPUT'!AB67</f>
        <v>0</v>
      </c>
      <c r="AC68" s="183">
        <f>'ADJ DETAIL-INPUT'!AC67</f>
        <v>0</v>
      </c>
      <c r="AD68" s="183">
        <f>'ADJ DETAIL-INPUT'!AE67</f>
        <v>0</v>
      </c>
      <c r="AE68" s="183">
        <f>'ADJ DETAIL-INPUT'!AF67</f>
        <v>0</v>
      </c>
      <c r="AF68" s="183">
        <f>'ADJ DETAIL-INPUT'!AG67</f>
        <v>0</v>
      </c>
      <c r="AG68" s="183">
        <f>'ADJ DETAIL-INPUT'!AH67</f>
        <v>0</v>
      </c>
      <c r="AH68" s="183">
        <f>'ADJ DETAIL-INPUT'!AI67</f>
        <v>0</v>
      </c>
      <c r="AI68" s="183">
        <f>'ADJ DETAIL-INPUT'!AJ67</f>
        <v>0</v>
      </c>
      <c r="AJ68" s="183">
        <f>'ADJ DETAIL-INPUT'!AK67</f>
        <v>0</v>
      </c>
      <c r="AK68" s="183">
        <f>'ADJ DETAIL-INPUT'!AL67</f>
        <v>0</v>
      </c>
      <c r="AL68" s="183">
        <f>'ADJ DETAIL-INPUT'!AM67</f>
        <v>0</v>
      </c>
      <c r="AM68" s="183">
        <f>'ADJ DETAIL-INPUT'!AN67</f>
        <v>0</v>
      </c>
      <c r="AN68" s="183">
        <f>'ADJ DETAIL-INPUT'!AO67</f>
        <v>0</v>
      </c>
      <c r="AO68" s="183">
        <f>'ADJ DETAIL-INPUT'!AP67</f>
        <v>0</v>
      </c>
      <c r="AP68" s="183">
        <f>'ADJ DETAIL-INPUT'!AQ67</f>
        <v>0</v>
      </c>
      <c r="AQ68" s="183">
        <f>'ADJ DETAIL-INPUT'!AR67</f>
        <v>0</v>
      </c>
      <c r="AR68" s="183">
        <f>'ADJ DETAIL-INPUT'!AS67</f>
        <v>0</v>
      </c>
      <c r="AS68" s="183">
        <f>'ADJ DETAIL-INPUT'!AT67</f>
        <v>0</v>
      </c>
      <c r="AT68" s="183">
        <f>'ADJ DETAIL-INPUT'!AU67</f>
        <v>2404.8402664605437</v>
      </c>
      <c r="AU68" s="183">
        <f>'ADJ DETAIL-INPUT'!AV67</f>
        <v>0</v>
      </c>
      <c r="AV68" s="183">
        <f>'ADJ DETAIL-INPUT'!AW67</f>
        <v>-11095.8</v>
      </c>
      <c r="AW68" s="183">
        <f>'ADJ DETAIL-INPUT'!AX67</f>
        <v>0</v>
      </c>
      <c r="AX68" s="183">
        <f>'ADJ DETAIL-INPUT'!AY67</f>
        <v>0</v>
      </c>
      <c r="AY68" s="183">
        <f>'ADJ DETAIL-INPUT'!AZ67</f>
        <v>0</v>
      </c>
      <c r="AZ68" s="183">
        <f>'ADJ DETAIL-INPUT'!BA67</f>
        <v>0</v>
      </c>
      <c r="BA68" s="183">
        <f>'ADJ DETAIL-INPUT'!BB67</f>
        <v>0</v>
      </c>
      <c r="BB68" s="183">
        <f>'ADJ DETAIL-INPUT'!BC67</f>
        <v>0</v>
      </c>
      <c r="BC68" s="183">
        <f>'ADJ DETAIL-INPUT'!BD67</f>
        <v>0</v>
      </c>
      <c r="BD68" s="183">
        <f>'ADJ DETAIL-INPUT'!BE67</f>
        <v>-7732</v>
      </c>
      <c r="BE68" s="183">
        <f>'ADJ DETAIL-INPUT'!BF67</f>
        <v>0</v>
      </c>
      <c r="BF68" s="183">
        <f>'ADJ DETAIL-INPUT'!BG67</f>
        <v>0</v>
      </c>
      <c r="BG68" s="183">
        <f>'ADJ DETAIL-INPUT'!BH67</f>
        <v>0</v>
      </c>
      <c r="BH68" s="183">
        <f>'ADJ DETAIL-INPUT'!BI67</f>
        <v>0</v>
      </c>
      <c r="BI68" s="183">
        <f>'ADJ DETAIL-INPUT'!BJ67</f>
        <v>0</v>
      </c>
      <c r="BJ68" s="183">
        <f>'ADJ DETAIL-INPUT'!BK67</f>
        <v>0</v>
      </c>
      <c r="BK68" s="183">
        <f>'ADJ DETAIL-INPUT'!BN67</f>
        <v>0</v>
      </c>
      <c r="BL68" s="183">
        <f>'ADJ DETAIL-INPUT'!BO67</f>
        <v>0</v>
      </c>
      <c r="BM68" s="183">
        <f>'ADJ DETAIL-INPUT'!BP67</f>
        <v>0</v>
      </c>
      <c r="BN68" s="183">
        <f>'ADJ DETAIL-INPUT'!BQ67</f>
        <v>0</v>
      </c>
      <c r="BO68" s="183">
        <f>'ADJ DETAIL-INPUT'!BR67</f>
        <v>0</v>
      </c>
      <c r="BP68" s="183">
        <f>'ADJ DETAIL-INPUT'!BS67</f>
        <v>0</v>
      </c>
      <c r="BQ68" s="183">
        <f>'ADJ DETAIL-INPUT'!BT67</f>
        <v>0</v>
      </c>
      <c r="BR68" s="183">
        <f>'ADJ DETAIL-INPUT'!BU67</f>
        <v>0</v>
      </c>
      <c r="BS68" s="183">
        <f>'ADJ DETAIL-INPUT'!BV67</f>
        <v>1219.4000000000001</v>
      </c>
      <c r="BT68" s="183">
        <f>'ADJ DETAIL-INPUT'!BW67</f>
        <v>0</v>
      </c>
      <c r="BU68" s="183">
        <f>'ADJ DETAIL-INPUT'!BX67</f>
        <v>0</v>
      </c>
      <c r="BV68" s="183">
        <f>'ADJ DETAIL-INPUT'!BY67</f>
        <v>0</v>
      </c>
      <c r="BW68" s="183">
        <f>'ADJ DETAIL-INPUT'!BZ67</f>
        <v>0</v>
      </c>
      <c r="BX68" s="183">
        <f>'ADJ DETAIL-INPUT'!CA67</f>
        <v>0</v>
      </c>
      <c r="BY68" s="183">
        <f>'ADJ DETAIL-INPUT'!CB67</f>
        <v>0</v>
      </c>
    </row>
    <row r="69" spans="1:77" s="178" customFormat="1">
      <c r="A69" s="179">
        <f>'ADJ DETAIL-INPUT'!A68</f>
        <v>39</v>
      </c>
      <c r="C69" s="178" t="str">
        <f>'ADJ DETAIL-INPUT'!C68</f>
        <v xml:space="preserve">Production  </v>
      </c>
      <c r="E69" s="178">
        <f>'ADJ DETAIL-INPUT'!E68</f>
        <v>-467152.5</v>
      </c>
      <c r="F69" s="183">
        <f>'ADJ DETAIL-INPUT'!F68</f>
        <v>0</v>
      </c>
      <c r="G69" s="183">
        <f>'ADJ DETAIL-INPUT'!G68</f>
        <v>0</v>
      </c>
      <c r="H69" s="183">
        <f>'ADJ DETAIL-INPUT'!H68</f>
        <v>0</v>
      </c>
      <c r="I69" s="183">
        <f>'ADJ DETAIL-INPUT'!I68</f>
        <v>186967</v>
      </c>
      <c r="J69" s="183">
        <f>'ADJ DETAIL-INPUT'!J68</f>
        <v>0</v>
      </c>
      <c r="K69" s="183">
        <f>'ADJ DETAIL-INPUT'!K68</f>
        <v>0</v>
      </c>
      <c r="L69" s="183">
        <f>'ADJ DETAIL-INPUT'!L68</f>
        <v>0</v>
      </c>
      <c r="M69" s="183">
        <f>'ADJ DETAIL-INPUT'!M68</f>
        <v>0</v>
      </c>
      <c r="N69" s="183">
        <f>'ADJ DETAIL-INPUT'!N68</f>
        <v>0</v>
      </c>
      <c r="O69" s="183">
        <f>'ADJ DETAIL-INPUT'!O68</f>
        <v>0</v>
      </c>
      <c r="P69" s="183">
        <f>'ADJ DETAIL-INPUT'!P68</f>
        <v>0</v>
      </c>
      <c r="Q69" s="183">
        <f>'ADJ DETAIL-INPUT'!Q68</f>
        <v>0</v>
      </c>
      <c r="R69" s="183">
        <f>'ADJ DETAIL-INPUT'!R68</f>
        <v>0</v>
      </c>
      <c r="S69" s="183">
        <f>'ADJ DETAIL-INPUT'!S68</f>
        <v>0</v>
      </c>
      <c r="T69" s="183">
        <f>'ADJ DETAIL-INPUT'!T68</f>
        <v>0</v>
      </c>
      <c r="U69" s="183">
        <f>'ADJ DETAIL-INPUT'!U68</f>
        <v>0</v>
      </c>
      <c r="V69" s="183">
        <f>'ADJ DETAIL-INPUT'!V68</f>
        <v>0</v>
      </c>
      <c r="W69" s="183">
        <f>'ADJ DETAIL-INPUT'!W68</f>
        <v>0</v>
      </c>
      <c r="X69" s="183">
        <f>'ADJ DETAIL-INPUT'!X68</f>
        <v>-10862</v>
      </c>
      <c r="Y69" s="183">
        <f>'ADJ DETAIL-INPUT'!Y68</f>
        <v>0</v>
      </c>
      <c r="Z69" s="183">
        <f>'ADJ DETAIL-INPUT'!Z68</f>
        <v>0</v>
      </c>
      <c r="AA69" s="183">
        <f>'ADJ DETAIL-INPUT'!AA68</f>
        <v>0</v>
      </c>
      <c r="AB69" s="183">
        <f>'ADJ DETAIL-INPUT'!AB68</f>
        <v>0</v>
      </c>
      <c r="AC69" s="183">
        <f>'ADJ DETAIL-INPUT'!AC68</f>
        <v>0</v>
      </c>
      <c r="AD69" s="183">
        <f>'ADJ DETAIL-INPUT'!AE68</f>
        <v>0</v>
      </c>
      <c r="AE69" s="183">
        <f>'ADJ DETAIL-INPUT'!AF68</f>
        <v>0</v>
      </c>
      <c r="AF69" s="183">
        <f>'ADJ DETAIL-INPUT'!AG68</f>
        <v>0</v>
      </c>
      <c r="AG69" s="183">
        <f>'ADJ DETAIL-INPUT'!AH68</f>
        <v>0</v>
      </c>
      <c r="AH69" s="183">
        <f>'ADJ DETAIL-INPUT'!AI68</f>
        <v>0</v>
      </c>
      <c r="AI69" s="183">
        <f>'ADJ DETAIL-INPUT'!AJ68</f>
        <v>0</v>
      </c>
      <c r="AJ69" s="183">
        <f>'ADJ DETAIL-INPUT'!AK68</f>
        <v>0</v>
      </c>
      <c r="AK69" s="183">
        <f>'ADJ DETAIL-INPUT'!AL68</f>
        <v>0</v>
      </c>
      <c r="AL69" s="183">
        <f>'ADJ DETAIL-INPUT'!AM68</f>
        <v>0</v>
      </c>
      <c r="AM69" s="183">
        <f>'ADJ DETAIL-INPUT'!AN68</f>
        <v>0</v>
      </c>
      <c r="AN69" s="183">
        <f>'ADJ DETAIL-INPUT'!AO68</f>
        <v>0</v>
      </c>
      <c r="AO69" s="183">
        <f>'ADJ DETAIL-INPUT'!AP68</f>
        <v>0</v>
      </c>
      <c r="AP69" s="183">
        <f>'ADJ DETAIL-INPUT'!AQ68</f>
        <v>0</v>
      </c>
      <c r="AQ69" s="183">
        <f>'ADJ DETAIL-INPUT'!AR68</f>
        <v>0</v>
      </c>
      <c r="AR69" s="183">
        <f>'ADJ DETAIL-INPUT'!AS68</f>
        <v>0</v>
      </c>
      <c r="AS69" s="183">
        <f>'ADJ DETAIL-INPUT'!AT68</f>
        <v>0</v>
      </c>
      <c r="AT69" s="183">
        <f>'ADJ DETAIL-INPUT'!AU68</f>
        <v>-7936.6684847748584</v>
      </c>
      <c r="AU69" s="183">
        <f>'ADJ DETAIL-INPUT'!AV68</f>
        <v>0</v>
      </c>
      <c r="AV69" s="183">
        <f>'ADJ DETAIL-INPUT'!AW68</f>
        <v>-17007</v>
      </c>
      <c r="AW69" s="183">
        <f>'ADJ DETAIL-INPUT'!AX68</f>
        <v>0</v>
      </c>
      <c r="AX69" s="183">
        <f>'ADJ DETAIL-INPUT'!AY68</f>
        <v>0</v>
      </c>
      <c r="AY69" s="183">
        <f>'ADJ DETAIL-INPUT'!AZ68</f>
        <v>0</v>
      </c>
      <c r="AZ69" s="183">
        <f>'ADJ DETAIL-INPUT'!BA68</f>
        <v>0</v>
      </c>
      <c r="BA69" s="183">
        <f>'ADJ DETAIL-INPUT'!BB68</f>
        <v>0</v>
      </c>
      <c r="BB69" s="183">
        <f>'ADJ DETAIL-INPUT'!BC68</f>
        <v>0</v>
      </c>
      <c r="BC69" s="183">
        <f>'ADJ DETAIL-INPUT'!BD68</f>
        <v>0</v>
      </c>
      <c r="BD69" s="183">
        <f>'ADJ DETAIL-INPUT'!BE68</f>
        <v>-8482</v>
      </c>
      <c r="BE69" s="183">
        <f>'ADJ DETAIL-INPUT'!BF68</f>
        <v>0</v>
      </c>
      <c r="BF69" s="183">
        <f>'ADJ DETAIL-INPUT'!BG68</f>
        <v>0</v>
      </c>
      <c r="BG69" s="183">
        <f>'ADJ DETAIL-INPUT'!BH68</f>
        <v>0</v>
      </c>
      <c r="BH69" s="183">
        <f>'ADJ DETAIL-INPUT'!BI68</f>
        <v>0</v>
      </c>
      <c r="BI69" s="183">
        <f>'ADJ DETAIL-INPUT'!BJ68</f>
        <v>0</v>
      </c>
      <c r="BJ69" s="183">
        <f>'ADJ DETAIL-INPUT'!BK68</f>
        <v>0</v>
      </c>
      <c r="BK69" s="183">
        <f>'ADJ DETAIL-INPUT'!BN68</f>
        <v>0</v>
      </c>
      <c r="BL69" s="183">
        <f>'ADJ DETAIL-INPUT'!BO68</f>
        <v>0</v>
      </c>
      <c r="BM69" s="183">
        <f>'ADJ DETAIL-INPUT'!BP68</f>
        <v>0</v>
      </c>
      <c r="BN69" s="183">
        <f>'ADJ DETAIL-INPUT'!BQ68</f>
        <v>0</v>
      </c>
      <c r="BO69" s="183">
        <f>'ADJ DETAIL-INPUT'!BR68</f>
        <v>0</v>
      </c>
      <c r="BP69" s="183">
        <f>'ADJ DETAIL-INPUT'!BS68</f>
        <v>0</v>
      </c>
      <c r="BQ69" s="183">
        <f>'ADJ DETAIL-INPUT'!BT68</f>
        <v>0</v>
      </c>
      <c r="BR69" s="183">
        <f>'ADJ DETAIL-INPUT'!BU68</f>
        <v>0</v>
      </c>
      <c r="BS69" s="183">
        <f>'ADJ DETAIL-INPUT'!BV68</f>
        <v>-13689</v>
      </c>
      <c r="BT69" s="183">
        <f>'ADJ DETAIL-INPUT'!BW68</f>
        <v>0</v>
      </c>
      <c r="BU69" s="183">
        <f>'ADJ DETAIL-INPUT'!BX68</f>
        <v>0</v>
      </c>
      <c r="BV69" s="183">
        <f>'ADJ DETAIL-INPUT'!BY68</f>
        <v>0</v>
      </c>
      <c r="BW69" s="183">
        <f>'ADJ DETAIL-INPUT'!BZ68</f>
        <v>0</v>
      </c>
      <c r="BX69" s="183">
        <f>'ADJ DETAIL-INPUT'!CA68</f>
        <v>0</v>
      </c>
      <c r="BY69" s="183">
        <f>'ADJ DETAIL-INPUT'!CB68</f>
        <v>0</v>
      </c>
    </row>
    <row r="70" spans="1:77" s="178" customFormat="1">
      <c r="A70" s="179">
        <f>'ADJ DETAIL-INPUT'!A69</f>
        <v>40</v>
      </c>
      <c r="C70" s="178" t="str">
        <f>'ADJ DETAIL-INPUT'!C69</f>
        <v xml:space="preserve">Transmission  </v>
      </c>
      <c r="E70" s="178">
        <f>'ADJ DETAIL-INPUT'!E69</f>
        <v>-172832</v>
      </c>
      <c r="F70" s="183">
        <f>'ADJ DETAIL-INPUT'!F69</f>
        <v>0</v>
      </c>
      <c r="G70" s="183">
        <f>'ADJ DETAIL-INPUT'!G69</f>
        <v>0</v>
      </c>
      <c r="H70" s="183">
        <f>'ADJ DETAIL-INPUT'!H69</f>
        <v>0</v>
      </c>
      <c r="I70" s="183">
        <f>'ADJ DETAIL-INPUT'!I69</f>
        <v>0</v>
      </c>
      <c r="J70" s="183">
        <f>'ADJ DETAIL-INPUT'!J69</f>
        <v>0</v>
      </c>
      <c r="K70" s="183">
        <f>'ADJ DETAIL-INPUT'!K69</f>
        <v>0</v>
      </c>
      <c r="L70" s="183">
        <f>'ADJ DETAIL-INPUT'!L69</f>
        <v>0</v>
      </c>
      <c r="M70" s="183">
        <f>'ADJ DETAIL-INPUT'!M69</f>
        <v>0</v>
      </c>
      <c r="N70" s="183">
        <f>'ADJ DETAIL-INPUT'!N69</f>
        <v>0</v>
      </c>
      <c r="O70" s="183">
        <f>'ADJ DETAIL-INPUT'!O69</f>
        <v>0</v>
      </c>
      <c r="P70" s="183">
        <f>'ADJ DETAIL-INPUT'!P69</f>
        <v>0</v>
      </c>
      <c r="Q70" s="183">
        <f>'ADJ DETAIL-INPUT'!Q69</f>
        <v>0</v>
      </c>
      <c r="R70" s="183">
        <f>'ADJ DETAIL-INPUT'!R69</f>
        <v>0</v>
      </c>
      <c r="S70" s="183">
        <f>'ADJ DETAIL-INPUT'!S69</f>
        <v>0</v>
      </c>
      <c r="T70" s="183">
        <f>'ADJ DETAIL-INPUT'!T69</f>
        <v>0</v>
      </c>
      <c r="U70" s="183">
        <f>'ADJ DETAIL-INPUT'!U69</f>
        <v>0</v>
      </c>
      <c r="V70" s="183">
        <f>'ADJ DETAIL-INPUT'!V69</f>
        <v>0</v>
      </c>
      <c r="W70" s="183">
        <f>'ADJ DETAIL-INPUT'!W69</f>
        <v>0</v>
      </c>
      <c r="X70" s="183">
        <f>'ADJ DETAIL-INPUT'!X69</f>
        <v>-5043.8999999999996</v>
      </c>
      <c r="Y70" s="183">
        <f>'ADJ DETAIL-INPUT'!Y69</f>
        <v>0</v>
      </c>
      <c r="Z70" s="183">
        <f>'ADJ DETAIL-INPUT'!Z69</f>
        <v>0</v>
      </c>
      <c r="AA70" s="183">
        <f>'ADJ DETAIL-INPUT'!AA69</f>
        <v>0</v>
      </c>
      <c r="AB70" s="183">
        <f>'ADJ DETAIL-INPUT'!AB69</f>
        <v>0</v>
      </c>
      <c r="AC70" s="183">
        <f>'ADJ DETAIL-INPUT'!AC69</f>
        <v>0</v>
      </c>
      <c r="AD70" s="183">
        <f>'ADJ DETAIL-INPUT'!AE69</f>
        <v>0</v>
      </c>
      <c r="AE70" s="183">
        <f>'ADJ DETAIL-INPUT'!AF69</f>
        <v>0</v>
      </c>
      <c r="AF70" s="183">
        <f>'ADJ DETAIL-INPUT'!AG69</f>
        <v>0</v>
      </c>
      <c r="AG70" s="183">
        <f>'ADJ DETAIL-INPUT'!AH69</f>
        <v>0</v>
      </c>
      <c r="AH70" s="183">
        <f>'ADJ DETAIL-INPUT'!AI69</f>
        <v>0</v>
      </c>
      <c r="AI70" s="183">
        <f>'ADJ DETAIL-INPUT'!AJ69</f>
        <v>0</v>
      </c>
      <c r="AJ70" s="183">
        <f>'ADJ DETAIL-INPUT'!AK69</f>
        <v>0</v>
      </c>
      <c r="AK70" s="183">
        <f>'ADJ DETAIL-INPUT'!AL69</f>
        <v>0</v>
      </c>
      <c r="AL70" s="183">
        <f>'ADJ DETAIL-INPUT'!AM69</f>
        <v>0</v>
      </c>
      <c r="AM70" s="183">
        <f>'ADJ DETAIL-INPUT'!AN69</f>
        <v>0</v>
      </c>
      <c r="AN70" s="183">
        <f>'ADJ DETAIL-INPUT'!AO69</f>
        <v>0</v>
      </c>
      <c r="AO70" s="183">
        <f>'ADJ DETAIL-INPUT'!AP69</f>
        <v>0</v>
      </c>
      <c r="AP70" s="183">
        <f>'ADJ DETAIL-INPUT'!AQ69</f>
        <v>0</v>
      </c>
      <c r="AQ70" s="183">
        <f>'ADJ DETAIL-INPUT'!AR69</f>
        <v>0</v>
      </c>
      <c r="AR70" s="183">
        <f>'ADJ DETAIL-INPUT'!AS69</f>
        <v>0</v>
      </c>
      <c r="AS70" s="183">
        <f>'ADJ DETAIL-INPUT'!AT69</f>
        <v>0</v>
      </c>
      <c r="AT70" s="183">
        <f>'ADJ DETAIL-INPUT'!AU69</f>
        <v>-5562.0879166852274</v>
      </c>
      <c r="AU70" s="183">
        <f>'ADJ DETAIL-INPUT'!AV69</f>
        <v>0</v>
      </c>
      <c r="AV70" s="183">
        <f>'ADJ DETAIL-INPUT'!AW69</f>
        <v>-13713.3</v>
      </c>
      <c r="AW70" s="183">
        <f>'ADJ DETAIL-INPUT'!AX69</f>
        <v>0</v>
      </c>
      <c r="AX70" s="183">
        <f>'ADJ DETAIL-INPUT'!AY69</f>
        <v>0</v>
      </c>
      <c r="AY70" s="183">
        <f>'ADJ DETAIL-INPUT'!AZ69</f>
        <v>0</v>
      </c>
      <c r="AZ70" s="183">
        <f>'ADJ DETAIL-INPUT'!BA69</f>
        <v>0</v>
      </c>
      <c r="BA70" s="183">
        <f>'ADJ DETAIL-INPUT'!BB69</f>
        <v>0</v>
      </c>
      <c r="BB70" s="183">
        <f>'ADJ DETAIL-INPUT'!BC69</f>
        <v>0</v>
      </c>
      <c r="BC70" s="183">
        <f>'ADJ DETAIL-INPUT'!BD69</f>
        <v>0</v>
      </c>
      <c r="BD70" s="183">
        <f>'ADJ DETAIL-INPUT'!BE69</f>
        <v>-7332.1298250405016</v>
      </c>
      <c r="BE70" s="183">
        <f>'ADJ DETAIL-INPUT'!BF69</f>
        <v>0</v>
      </c>
      <c r="BF70" s="183">
        <f>'ADJ DETAIL-INPUT'!BG69</f>
        <v>0</v>
      </c>
      <c r="BG70" s="183">
        <f>'ADJ DETAIL-INPUT'!BH69</f>
        <v>0</v>
      </c>
      <c r="BH70" s="183">
        <f>'ADJ DETAIL-INPUT'!BI69</f>
        <v>0</v>
      </c>
      <c r="BI70" s="183">
        <f>'ADJ DETAIL-INPUT'!BJ69</f>
        <v>0</v>
      </c>
      <c r="BJ70" s="183">
        <f>'ADJ DETAIL-INPUT'!BK69</f>
        <v>0</v>
      </c>
      <c r="BK70" s="183">
        <f>'ADJ DETAIL-INPUT'!BN69</f>
        <v>0</v>
      </c>
      <c r="BL70" s="183">
        <f>'ADJ DETAIL-INPUT'!BO69</f>
        <v>0</v>
      </c>
      <c r="BM70" s="183">
        <f>'ADJ DETAIL-INPUT'!BP69</f>
        <v>0</v>
      </c>
      <c r="BN70" s="183">
        <f>'ADJ DETAIL-INPUT'!BQ69</f>
        <v>0</v>
      </c>
      <c r="BO70" s="183">
        <f>'ADJ DETAIL-INPUT'!BR69</f>
        <v>0</v>
      </c>
      <c r="BP70" s="183">
        <f>'ADJ DETAIL-INPUT'!BS69</f>
        <v>0</v>
      </c>
      <c r="BQ70" s="183">
        <f>'ADJ DETAIL-INPUT'!BT69</f>
        <v>0</v>
      </c>
      <c r="BR70" s="183">
        <f>'ADJ DETAIL-INPUT'!BU69</f>
        <v>0</v>
      </c>
      <c r="BS70" s="183">
        <f>'ADJ DETAIL-INPUT'!BV69</f>
        <v>-14972.3</v>
      </c>
      <c r="BT70" s="183">
        <f>'ADJ DETAIL-INPUT'!BW69</f>
        <v>0</v>
      </c>
      <c r="BU70" s="183">
        <f>'ADJ DETAIL-INPUT'!BX69</f>
        <v>0</v>
      </c>
      <c r="BV70" s="183">
        <f>'ADJ DETAIL-INPUT'!BY69</f>
        <v>0</v>
      </c>
      <c r="BW70" s="183">
        <f>'ADJ DETAIL-INPUT'!BZ69</f>
        <v>0</v>
      </c>
      <c r="BX70" s="183">
        <f>'ADJ DETAIL-INPUT'!CA69</f>
        <v>0</v>
      </c>
      <c r="BY70" s="183">
        <f>'ADJ DETAIL-INPUT'!CB69</f>
        <v>0</v>
      </c>
    </row>
    <row r="71" spans="1:77" s="178" customFormat="1">
      <c r="A71" s="179">
        <f>'ADJ DETAIL-INPUT'!A70</f>
        <v>41</v>
      </c>
      <c r="C71" s="178" t="str">
        <f>'ADJ DETAIL-INPUT'!C70</f>
        <v xml:space="preserve">Distribution  </v>
      </c>
      <c r="E71" s="178">
        <f>'ADJ DETAIL-INPUT'!E70</f>
        <v>-458617</v>
      </c>
      <c r="F71" s="183">
        <f>'ADJ DETAIL-INPUT'!F70</f>
        <v>0</v>
      </c>
      <c r="G71" s="183">
        <f>'ADJ DETAIL-INPUT'!G70</f>
        <v>0</v>
      </c>
      <c r="H71" s="183">
        <f>'ADJ DETAIL-INPUT'!H70</f>
        <v>0</v>
      </c>
      <c r="I71" s="183">
        <f>'ADJ DETAIL-INPUT'!I70</f>
        <v>0</v>
      </c>
      <c r="J71" s="183">
        <f>'ADJ DETAIL-INPUT'!J70</f>
        <v>0</v>
      </c>
      <c r="K71" s="183">
        <f>'ADJ DETAIL-INPUT'!K70</f>
        <v>0</v>
      </c>
      <c r="L71" s="183">
        <f>'ADJ DETAIL-INPUT'!L70</f>
        <v>0</v>
      </c>
      <c r="M71" s="183">
        <f>'ADJ DETAIL-INPUT'!M70</f>
        <v>0</v>
      </c>
      <c r="N71" s="183">
        <f>'ADJ DETAIL-INPUT'!N70</f>
        <v>0</v>
      </c>
      <c r="O71" s="183">
        <f>'ADJ DETAIL-INPUT'!O70</f>
        <v>0</v>
      </c>
      <c r="P71" s="183">
        <f>'ADJ DETAIL-INPUT'!P70</f>
        <v>0</v>
      </c>
      <c r="Q71" s="183">
        <f>'ADJ DETAIL-INPUT'!Q70</f>
        <v>0</v>
      </c>
      <c r="R71" s="183">
        <f>'ADJ DETAIL-INPUT'!R70</f>
        <v>0</v>
      </c>
      <c r="S71" s="183">
        <f>'ADJ DETAIL-INPUT'!S70</f>
        <v>0</v>
      </c>
      <c r="T71" s="183">
        <f>'ADJ DETAIL-INPUT'!T70</f>
        <v>0</v>
      </c>
      <c r="U71" s="183">
        <f>'ADJ DETAIL-INPUT'!U70</f>
        <v>0</v>
      </c>
      <c r="V71" s="183">
        <f>'ADJ DETAIL-INPUT'!V70</f>
        <v>0</v>
      </c>
      <c r="W71" s="183">
        <f>'ADJ DETAIL-INPUT'!W70</f>
        <v>0</v>
      </c>
      <c r="X71" s="183">
        <f>'ADJ DETAIL-INPUT'!X70</f>
        <v>-17101.900000000001</v>
      </c>
      <c r="Y71" s="183">
        <f>'ADJ DETAIL-INPUT'!Y70</f>
        <v>0</v>
      </c>
      <c r="Z71" s="183">
        <f>'ADJ DETAIL-INPUT'!Z70</f>
        <v>0</v>
      </c>
      <c r="AA71" s="183">
        <f>'ADJ DETAIL-INPUT'!AA70</f>
        <v>0</v>
      </c>
      <c r="AB71" s="183">
        <f>'ADJ DETAIL-INPUT'!AB70</f>
        <v>0</v>
      </c>
      <c r="AC71" s="183">
        <f>'ADJ DETAIL-INPUT'!AC70</f>
        <v>0</v>
      </c>
      <c r="AD71" s="183">
        <f>'ADJ DETAIL-INPUT'!AE70</f>
        <v>0</v>
      </c>
      <c r="AE71" s="183">
        <f>'ADJ DETAIL-INPUT'!AF70</f>
        <v>0</v>
      </c>
      <c r="AF71" s="183">
        <f>'ADJ DETAIL-INPUT'!AG70</f>
        <v>0</v>
      </c>
      <c r="AG71" s="183">
        <f>'ADJ DETAIL-INPUT'!AH70</f>
        <v>0</v>
      </c>
      <c r="AH71" s="183">
        <f>'ADJ DETAIL-INPUT'!AI70</f>
        <v>0</v>
      </c>
      <c r="AI71" s="183">
        <f>'ADJ DETAIL-INPUT'!AJ70</f>
        <v>0</v>
      </c>
      <c r="AJ71" s="183">
        <f>'ADJ DETAIL-INPUT'!AK70</f>
        <v>0</v>
      </c>
      <c r="AK71" s="183">
        <f>'ADJ DETAIL-INPUT'!AL70</f>
        <v>0</v>
      </c>
      <c r="AL71" s="183">
        <f>'ADJ DETAIL-INPUT'!AM70</f>
        <v>0</v>
      </c>
      <c r="AM71" s="183">
        <f>'ADJ DETAIL-INPUT'!AN70</f>
        <v>0</v>
      </c>
      <c r="AN71" s="183">
        <f>'ADJ DETAIL-INPUT'!AO70</f>
        <v>0</v>
      </c>
      <c r="AO71" s="183">
        <f>'ADJ DETAIL-INPUT'!AP70</f>
        <v>0</v>
      </c>
      <c r="AP71" s="183">
        <f>'ADJ DETAIL-INPUT'!AQ70</f>
        <v>0</v>
      </c>
      <c r="AQ71" s="183">
        <f>'ADJ DETAIL-INPUT'!AR70</f>
        <v>0</v>
      </c>
      <c r="AR71" s="183">
        <f>'ADJ DETAIL-INPUT'!AS70</f>
        <v>0</v>
      </c>
      <c r="AS71" s="183">
        <f>'ADJ DETAIL-INPUT'!AT70</f>
        <v>0</v>
      </c>
      <c r="AT71" s="183">
        <f>'ADJ DETAIL-INPUT'!AU70</f>
        <v>-14426.373305979188</v>
      </c>
      <c r="AU71" s="183">
        <f>'ADJ DETAIL-INPUT'!AV70</f>
        <v>0</v>
      </c>
      <c r="AV71" s="183">
        <f>'ADJ DETAIL-INPUT'!AW70</f>
        <v>-34179.300000000003</v>
      </c>
      <c r="AW71" s="183">
        <f>'ADJ DETAIL-INPUT'!AX70</f>
        <v>0</v>
      </c>
      <c r="AX71" s="183">
        <f>'ADJ DETAIL-INPUT'!AY70</f>
        <v>0</v>
      </c>
      <c r="AY71" s="183">
        <f>'ADJ DETAIL-INPUT'!AZ70</f>
        <v>0</v>
      </c>
      <c r="AZ71" s="183">
        <f>'ADJ DETAIL-INPUT'!BA70</f>
        <v>0</v>
      </c>
      <c r="BA71" s="183">
        <f>'ADJ DETAIL-INPUT'!BB70</f>
        <v>0</v>
      </c>
      <c r="BB71" s="183">
        <f>'ADJ DETAIL-INPUT'!BC70</f>
        <v>0</v>
      </c>
      <c r="BC71" s="183">
        <f>'ADJ DETAIL-INPUT'!BD70</f>
        <v>0</v>
      </c>
      <c r="BD71" s="183">
        <f>'ADJ DETAIL-INPUT'!BE70</f>
        <v>-18570</v>
      </c>
      <c r="BE71" s="183">
        <f>'ADJ DETAIL-INPUT'!BF70</f>
        <v>0</v>
      </c>
      <c r="BF71" s="183">
        <f>'ADJ DETAIL-INPUT'!BG70</f>
        <v>0</v>
      </c>
      <c r="BG71" s="183">
        <f>'ADJ DETAIL-INPUT'!BH70</f>
        <v>0</v>
      </c>
      <c r="BH71" s="183">
        <f>'ADJ DETAIL-INPUT'!BI70</f>
        <v>0</v>
      </c>
      <c r="BI71" s="183">
        <f>'ADJ DETAIL-INPUT'!BJ70</f>
        <v>0</v>
      </c>
      <c r="BJ71" s="183">
        <f>'ADJ DETAIL-INPUT'!BK70</f>
        <v>0</v>
      </c>
      <c r="BK71" s="183">
        <f>'ADJ DETAIL-INPUT'!BN70</f>
        <v>0</v>
      </c>
      <c r="BL71" s="183">
        <f>'ADJ DETAIL-INPUT'!BO70</f>
        <v>0</v>
      </c>
      <c r="BM71" s="183">
        <f>'ADJ DETAIL-INPUT'!BP70</f>
        <v>0</v>
      </c>
      <c r="BN71" s="183">
        <f>'ADJ DETAIL-INPUT'!BQ70</f>
        <v>0</v>
      </c>
      <c r="BO71" s="183">
        <f>'ADJ DETAIL-INPUT'!BR70</f>
        <v>0</v>
      </c>
      <c r="BP71" s="183">
        <f>'ADJ DETAIL-INPUT'!BS70</f>
        <v>0</v>
      </c>
      <c r="BQ71" s="183">
        <f>'ADJ DETAIL-INPUT'!BT70</f>
        <v>0</v>
      </c>
      <c r="BR71" s="183">
        <f>'ADJ DETAIL-INPUT'!BU70</f>
        <v>0</v>
      </c>
      <c r="BS71" s="183">
        <f>'ADJ DETAIL-INPUT'!BV70</f>
        <v>-38281</v>
      </c>
      <c r="BT71" s="183">
        <f>'ADJ DETAIL-INPUT'!BW70</f>
        <v>0</v>
      </c>
      <c r="BU71" s="183">
        <f>'ADJ DETAIL-INPUT'!BX70</f>
        <v>0</v>
      </c>
      <c r="BV71" s="183">
        <f>'ADJ DETAIL-INPUT'!BY70</f>
        <v>0</v>
      </c>
      <c r="BW71" s="183">
        <f>'ADJ DETAIL-INPUT'!BZ70</f>
        <v>0</v>
      </c>
      <c r="BX71" s="183">
        <f>'ADJ DETAIL-INPUT'!CA70</f>
        <v>0</v>
      </c>
      <c r="BY71" s="183">
        <f>'ADJ DETAIL-INPUT'!CB70</f>
        <v>0</v>
      </c>
    </row>
    <row r="72" spans="1:77" s="178" customFormat="1">
      <c r="A72" s="179">
        <f>'ADJ DETAIL-INPUT'!A71</f>
        <v>42</v>
      </c>
      <c r="C72" s="178" t="str">
        <f>'ADJ DETAIL-INPUT'!C71</f>
        <v xml:space="preserve">General  </v>
      </c>
      <c r="E72" s="178">
        <f>'ADJ DETAIL-INPUT'!E71</f>
        <v>-113530.9</v>
      </c>
      <c r="F72" s="183">
        <f>'ADJ DETAIL-INPUT'!F71</f>
        <v>0</v>
      </c>
      <c r="G72" s="183">
        <f>'ADJ DETAIL-INPUT'!G71</f>
        <v>0</v>
      </c>
      <c r="H72" s="183">
        <f>'ADJ DETAIL-INPUT'!H71</f>
        <v>0</v>
      </c>
      <c r="I72" s="183">
        <f>'ADJ DETAIL-INPUT'!I71</f>
        <v>0</v>
      </c>
      <c r="J72" s="183">
        <f>'ADJ DETAIL-INPUT'!J71</f>
        <v>0</v>
      </c>
      <c r="K72" s="183">
        <f>'ADJ DETAIL-INPUT'!K71</f>
        <v>0</v>
      </c>
      <c r="L72" s="183">
        <f>'ADJ DETAIL-INPUT'!L71</f>
        <v>0</v>
      </c>
      <c r="M72" s="183">
        <f>'ADJ DETAIL-INPUT'!M71</f>
        <v>0</v>
      </c>
      <c r="N72" s="183">
        <f>'ADJ DETAIL-INPUT'!N71</f>
        <v>0</v>
      </c>
      <c r="O72" s="183">
        <f>'ADJ DETAIL-INPUT'!O71</f>
        <v>0</v>
      </c>
      <c r="P72" s="183">
        <f>'ADJ DETAIL-INPUT'!P71</f>
        <v>0</v>
      </c>
      <c r="Q72" s="183">
        <f>'ADJ DETAIL-INPUT'!Q71</f>
        <v>0</v>
      </c>
      <c r="R72" s="183">
        <f>'ADJ DETAIL-INPUT'!R71</f>
        <v>0</v>
      </c>
      <c r="S72" s="183">
        <f>'ADJ DETAIL-INPUT'!S71</f>
        <v>0</v>
      </c>
      <c r="T72" s="183">
        <f>'ADJ DETAIL-INPUT'!T71</f>
        <v>0</v>
      </c>
      <c r="U72" s="183">
        <f>'ADJ DETAIL-INPUT'!U71</f>
        <v>0</v>
      </c>
      <c r="V72" s="183">
        <f>'ADJ DETAIL-INPUT'!V71</f>
        <v>0</v>
      </c>
      <c r="W72" s="183">
        <f>'ADJ DETAIL-INPUT'!W71</f>
        <v>0</v>
      </c>
      <c r="X72" s="183">
        <f>'ADJ DETAIL-INPUT'!X71</f>
        <v>-5427.3</v>
      </c>
      <c r="Y72" s="183">
        <f>'ADJ DETAIL-INPUT'!Y71</f>
        <v>0</v>
      </c>
      <c r="Z72" s="183">
        <f>'ADJ DETAIL-INPUT'!Z71</f>
        <v>0</v>
      </c>
      <c r="AA72" s="183">
        <f>'ADJ DETAIL-INPUT'!AA71</f>
        <v>0</v>
      </c>
      <c r="AB72" s="183">
        <f>'ADJ DETAIL-INPUT'!AB71</f>
        <v>0</v>
      </c>
      <c r="AC72" s="183">
        <f>'ADJ DETAIL-INPUT'!AC71</f>
        <v>0</v>
      </c>
      <c r="AD72" s="183">
        <f>'ADJ DETAIL-INPUT'!AE71</f>
        <v>0</v>
      </c>
      <c r="AE72" s="183">
        <f>'ADJ DETAIL-INPUT'!AF71</f>
        <v>0</v>
      </c>
      <c r="AF72" s="183">
        <f>'ADJ DETAIL-INPUT'!AG71</f>
        <v>0</v>
      </c>
      <c r="AG72" s="183">
        <f>'ADJ DETAIL-INPUT'!AH71</f>
        <v>0</v>
      </c>
      <c r="AH72" s="183">
        <f>'ADJ DETAIL-INPUT'!AI71</f>
        <v>0</v>
      </c>
      <c r="AI72" s="183">
        <f>'ADJ DETAIL-INPUT'!AJ71</f>
        <v>0</v>
      </c>
      <c r="AJ72" s="183">
        <f>'ADJ DETAIL-INPUT'!AK71</f>
        <v>0</v>
      </c>
      <c r="AK72" s="183">
        <f>'ADJ DETAIL-INPUT'!AL71</f>
        <v>0</v>
      </c>
      <c r="AL72" s="183">
        <f>'ADJ DETAIL-INPUT'!AM71</f>
        <v>0</v>
      </c>
      <c r="AM72" s="183">
        <f>'ADJ DETAIL-INPUT'!AN71</f>
        <v>0</v>
      </c>
      <c r="AN72" s="183">
        <f>'ADJ DETAIL-INPUT'!AO71</f>
        <v>0</v>
      </c>
      <c r="AO72" s="183">
        <f>'ADJ DETAIL-INPUT'!AP71</f>
        <v>0</v>
      </c>
      <c r="AP72" s="183">
        <f>'ADJ DETAIL-INPUT'!AQ71</f>
        <v>0</v>
      </c>
      <c r="AQ72" s="183">
        <f>'ADJ DETAIL-INPUT'!AR71</f>
        <v>0</v>
      </c>
      <c r="AR72" s="183">
        <f>'ADJ DETAIL-INPUT'!AS71</f>
        <v>0</v>
      </c>
      <c r="AS72" s="183">
        <f>'ADJ DETAIL-INPUT'!AT71</f>
        <v>0</v>
      </c>
      <c r="AT72" s="183">
        <f>'ADJ DETAIL-INPUT'!AU71</f>
        <v>230.6</v>
      </c>
      <c r="AU72" s="183">
        <f>'ADJ DETAIL-INPUT'!AV71</f>
        <v>0</v>
      </c>
      <c r="AV72" s="183">
        <f>'ADJ DETAIL-INPUT'!AW71</f>
        <v>-5171.3999999999996</v>
      </c>
      <c r="AW72" s="183">
        <f>'ADJ DETAIL-INPUT'!AX71</f>
        <v>0</v>
      </c>
      <c r="AX72" s="183">
        <f>'ADJ DETAIL-INPUT'!AY71</f>
        <v>0</v>
      </c>
      <c r="AY72" s="183">
        <f>'ADJ DETAIL-INPUT'!AZ71</f>
        <v>0</v>
      </c>
      <c r="AZ72" s="183">
        <f>'ADJ DETAIL-INPUT'!BA71</f>
        <v>0</v>
      </c>
      <c r="BA72" s="183">
        <f>'ADJ DETAIL-INPUT'!BB71</f>
        <v>0</v>
      </c>
      <c r="BB72" s="183">
        <f>'ADJ DETAIL-INPUT'!BC71</f>
        <v>0</v>
      </c>
      <c r="BC72" s="183">
        <f>'ADJ DETAIL-INPUT'!BD71</f>
        <v>0</v>
      </c>
      <c r="BD72" s="183">
        <f>'ADJ DETAIL-INPUT'!BE71</f>
        <v>-6172</v>
      </c>
      <c r="BE72" s="183">
        <f>'ADJ DETAIL-INPUT'!BF71</f>
        <v>0</v>
      </c>
      <c r="BF72" s="183">
        <f>'ADJ DETAIL-INPUT'!BG71</f>
        <v>0</v>
      </c>
      <c r="BG72" s="183">
        <f>'ADJ DETAIL-INPUT'!BH71</f>
        <v>0</v>
      </c>
      <c r="BH72" s="183">
        <f>'ADJ DETAIL-INPUT'!BI71</f>
        <v>0</v>
      </c>
      <c r="BI72" s="183">
        <f>'ADJ DETAIL-INPUT'!BJ71</f>
        <v>0</v>
      </c>
      <c r="BJ72" s="183">
        <f>'ADJ DETAIL-INPUT'!BK71</f>
        <v>0</v>
      </c>
      <c r="BK72" s="183">
        <f>'ADJ DETAIL-INPUT'!BN71</f>
        <v>0</v>
      </c>
      <c r="BL72" s="183">
        <f>'ADJ DETAIL-INPUT'!BO71</f>
        <v>0</v>
      </c>
      <c r="BM72" s="183">
        <f>'ADJ DETAIL-INPUT'!BP71</f>
        <v>0</v>
      </c>
      <c r="BN72" s="183">
        <f>'ADJ DETAIL-INPUT'!BQ71</f>
        <v>0</v>
      </c>
      <c r="BO72" s="183">
        <f>'ADJ DETAIL-INPUT'!BR71</f>
        <v>0</v>
      </c>
      <c r="BP72" s="183">
        <f>'ADJ DETAIL-INPUT'!BS71</f>
        <v>0</v>
      </c>
      <c r="BQ72" s="183">
        <f>'ADJ DETAIL-INPUT'!BT71</f>
        <v>0</v>
      </c>
      <c r="BR72" s="183">
        <f>'ADJ DETAIL-INPUT'!BU71</f>
        <v>0</v>
      </c>
      <c r="BS72" s="183">
        <f>'ADJ DETAIL-INPUT'!BV71</f>
        <v>-7561</v>
      </c>
      <c r="BT72" s="183">
        <f>'ADJ DETAIL-INPUT'!BW71</f>
        <v>0</v>
      </c>
      <c r="BU72" s="183">
        <f>'ADJ DETAIL-INPUT'!BX71</f>
        <v>0</v>
      </c>
      <c r="BV72" s="183">
        <f>'ADJ DETAIL-INPUT'!BY71</f>
        <v>0</v>
      </c>
      <c r="BW72" s="183">
        <f>'ADJ DETAIL-INPUT'!BZ71</f>
        <v>0</v>
      </c>
      <c r="BX72" s="183">
        <f>'ADJ DETAIL-INPUT'!CA71</f>
        <v>0</v>
      </c>
      <c r="BY72" s="183">
        <f>'ADJ DETAIL-INPUT'!CB71</f>
        <v>0</v>
      </c>
    </row>
    <row r="73" spans="1:77" s="178" customFormat="1">
      <c r="A73" s="179">
        <f>'ADJ DETAIL-INPUT'!A72</f>
        <v>43</v>
      </c>
      <c r="B73" s="178" t="str">
        <f>'ADJ DETAIL-INPUT'!B72</f>
        <v>Total Accumulated Depreciation</v>
      </c>
      <c r="E73" s="188">
        <f>'ADJ DETAIL-INPUT'!E72</f>
        <v>-1318520.3999999999</v>
      </c>
      <c r="F73" s="188">
        <f>'ADJ DETAIL-INPUT'!F72</f>
        <v>0</v>
      </c>
      <c r="G73" s="188">
        <f>'ADJ DETAIL-INPUT'!G72</f>
        <v>0</v>
      </c>
      <c r="H73" s="188">
        <f>'ADJ DETAIL-INPUT'!H72</f>
        <v>0</v>
      </c>
      <c r="I73" s="188">
        <f>'ADJ DETAIL-INPUT'!I72</f>
        <v>186967</v>
      </c>
      <c r="J73" s="188">
        <f>'ADJ DETAIL-INPUT'!J72</f>
        <v>0</v>
      </c>
      <c r="K73" s="188">
        <f>'ADJ DETAIL-INPUT'!K72</f>
        <v>0</v>
      </c>
      <c r="L73" s="188">
        <f>'ADJ DETAIL-INPUT'!L72</f>
        <v>0</v>
      </c>
      <c r="M73" s="188">
        <f>'ADJ DETAIL-INPUT'!M72</f>
        <v>0</v>
      </c>
      <c r="N73" s="188">
        <f>'ADJ DETAIL-INPUT'!N72</f>
        <v>0</v>
      </c>
      <c r="O73" s="188">
        <f>'ADJ DETAIL-INPUT'!O72</f>
        <v>0</v>
      </c>
      <c r="P73" s="188">
        <f>'ADJ DETAIL-INPUT'!P72</f>
        <v>0</v>
      </c>
      <c r="Q73" s="188">
        <f>'ADJ DETAIL-INPUT'!Q72</f>
        <v>0</v>
      </c>
      <c r="R73" s="188">
        <f>'ADJ DETAIL-INPUT'!R72</f>
        <v>0</v>
      </c>
      <c r="S73" s="188">
        <f>'ADJ DETAIL-INPUT'!S72</f>
        <v>0</v>
      </c>
      <c r="T73" s="188">
        <f>'ADJ DETAIL-INPUT'!T72</f>
        <v>0</v>
      </c>
      <c r="U73" s="188">
        <f>'ADJ DETAIL-INPUT'!U72</f>
        <v>0</v>
      </c>
      <c r="V73" s="188">
        <f>'ADJ DETAIL-INPUT'!V72</f>
        <v>0</v>
      </c>
      <c r="W73" s="188">
        <f>'ADJ DETAIL-INPUT'!W72</f>
        <v>0</v>
      </c>
      <c r="X73" s="188">
        <f>'ADJ DETAIL-INPUT'!X72</f>
        <v>-46135.500000000007</v>
      </c>
      <c r="Y73" s="188">
        <f>'ADJ DETAIL-INPUT'!Y72</f>
        <v>0</v>
      </c>
      <c r="Z73" s="188">
        <f>'ADJ DETAIL-INPUT'!Z72</f>
        <v>0</v>
      </c>
      <c r="AA73" s="188">
        <f>'ADJ DETAIL-INPUT'!AA72</f>
        <v>0</v>
      </c>
      <c r="AB73" s="188">
        <f>'ADJ DETAIL-INPUT'!AB72</f>
        <v>0</v>
      </c>
      <c r="AC73" s="188">
        <f>'ADJ DETAIL-INPUT'!AC72</f>
        <v>0</v>
      </c>
      <c r="AD73" s="188">
        <f>'ADJ DETAIL-INPUT'!AE72</f>
        <v>0</v>
      </c>
      <c r="AE73" s="188">
        <f>'ADJ DETAIL-INPUT'!AF72</f>
        <v>0</v>
      </c>
      <c r="AF73" s="188">
        <f>'ADJ DETAIL-INPUT'!AG72</f>
        <v>0</v>
      </c>
      <c r="AG73" s="188">
        <f>'ADJ DETAIL-INPUT'!AH72</f>
        <v>0</v>
      </c>
      <c r="AH73" s="188">
        <f>'ADJ DETAIL-INPUT'!AI72</f>
        <v>0</v>
      </c>
      <c r="AI73" s="188">
        <f>'ADJ DETAIL-INPUT'!AJ72</f>
        <v>0</v>
      </c>
      <c r="AJ73" s="188">
        <f>'ADJ DETAIL-INPUT'!AK72</f>
        <v>0</v>
      </c>
      <c r="AK73" s="188">
        <f>'ADJ DETAIL-INPUT'!AL72</f>
        <v>0</v>
      </c>
      <c r="AL73" s="188">
        <f>'ADJ DETAIL-INPUT'!AM72</f>
        <v>0</v>
      </c>
      <c r="AM73" s="188">
        <f>'ADJ DETAIL-INPUT'!AN72</f>
        <v>0</v>
      </c>
      <c r="AN73" s="188">
        <f>'ADJ DETAIL-INPUT'!AO72</f>
        <v>0</v>
      </c>
      <c r="AO73" s="188">
        <f>'ADJ DETAIL-INPUT'!AP72</f>
        <v>0</v>
      </c>
      <c r="AP73" s="188">
        <f>'ADJ DETAIL-INPUT'!AQ72</f>
        <v>0</v>
      </c>
      <c r="AQ73" s="188">
        <f>'ADJ DETAIL-INPUT'!AR72</f>
        <v>0</v>
      </c>
      <c r="AR73" s="188">
        <f>'ADJ DETAIL-INPUT'!AS72</f>
        <v>0</v>
      </c>
      <c r="AS73" s="188">
        <f>'ADJ DETAIL-INPUT'!AT72</f>
        <v>0</v>
      </c>
      <c r="AT73" s="188">
        <f>'ADJ DETAIL-INPUT'!AU72</f>
        <v>-25289.689440978731</v>
      </c>
      <c r="AU73" s="188">
        <f>'ADJ DETAIL-INPUT'!AV72</f>
        <v>0</v>
      </c>
      <c r="AV73" s="188">
        <f>'ADJ DETAIL-INPUT'!AW72</f>
        <v>-81166.799999999988</v>
      </c>
      <c r="AW73" s="188">
        <f>'ADJ DETAIL-INPUT'!AX72</f>
        <v>0</v>
      </c>
      <c r="AX73" s="188">
        <f>'ADJ DETAIL-INPUT'!AY72</f>
        <v>0</v>
      </c>
      <c r="AY73" s="188">
        <f>'ADJ DETAIL-INPUT'!AZ72</f>
        <v>0</v>
      </c>
      <c r="AZ73" s="188">
        <f>'ADJ DETAIL-INPUT'!BA72</f>
        <v>0</v>
      </c>
      <c r="BA73" s="188">
        <f>'ADJ DETAIL-INPUT'!BB72</f>
        <v>0</v>
      </c>
      <c r="BB73" s="188">
        <f>'ADJ DETAIL-INPUT'!BC72</f>
        <v>0</v>
      </c>
      <c r="BC73" s="188">
        <f>'ADJ DETAIL-INPUT'!BD72</f>
        <v>0</v>
      </c>
      <c r="BD73" s="188">
        <f>'ADJ DETAIL-INPUT'!BE72</f>
        <v>-48288.129825040502</v>
      </c>
      <c r="BE73" s="188">
        <f>'ADJ DETAIL-INPUT'!BF72</f>
        <v>0</v>
      </c>
      <c r="BF73" s="188">
        <f>'ADJ DETAIL-INPUT'!BG72</f>
        <v>0</v>
      </c>
      <c r="BG73" s="188">
        <f>'ADJ DETAIL-INPUT'!BH72</f>
        <v>0</v>
      </c>
      <c r="BH73" s="188">
        <f>'ADJ DETAIL-INPUT'!BI72</f>
        <v>0</v>
      </c>
      <c r="BI73" s="188">
        <f>'ADJ DETAIL-INPUT'!BJ72</f>
        <v>0</v>
      </c>
      <c r="BJ73" s="188">
        <f>'ADJ DETAIL-INPUT'!BK72</f>
        <v>0</v>
      </c>
      <c r="BK73" s="188">
        <f>'ADJ DETAIL-INPUT'!BN72</f>
        <v>0</v>
      </c>
      <c r="BL73" s="188">
        <f>'ADJ DETAIL-INPUT'!BO72</f>
        <v>0</v>
      </c>
      <c r="BM73" s="188">
        <f>'ADJ DETAIL-INPUT'!BP72</f>
        <v>0</v>
      </c>
      <c r="BN73" s="188">
        <f>'ADJ DETAIL-INPUT'!BQ72</f>
        <v>0</v>
      </c>
      <c r="BO73" s="188">
        <f>'ADJ DETAIL-INPUT'!BR72</f>
        <v>0</v>
      </c>
      <c r="BP73" s="188">
        <f>'ADJ DETAIL-INPUT'!BS72</f>
        <v>0</v>
      </c>
      <c r="BQ73" s="188">
        <f>'ADJ DETAIL-INPUT'!BT72</f>
        <v>0</v>
      </c>
      <c r="BR73" s="188">
        <f>'ADJ DETAIL-INPUT'!BU72</f>
        <v>0</v>
      </c>
      <c r="BS73" s="188">
        <f>'ADJ DETAIL-INPUT'!BV72</f>
        <v>-73283.899999999994</v>
      </c>
      <c r="BT73" s="188">
        <f>'ADJ DETAIL-INPUT'!BW72</f>
        <v>0</v>
      </c>
      <c r="BU73" s="188">
        <f>'ADJ DETAIL-INPUT'!BX72</f>
        <v>0</v>
      </c>
      <c r="BV73" s="188">
        <f>'ADJ DETAIL-INPUT'!BY72</f>
        <v>0</v>
      </c>
      <c r="BW73" s="188">
        <f>'ADJ DETAIL-INPUT'!BZ72</f>
        <v>0</v>
      </c>
      <c r="BX73" s="188">
        <f>'ADJ DETAIL-INPUT'!CA72</f>
        <v>0</v>
      </c>
      <c r="BY73" s="188">
        <f>'ADJ DETAIL-INPUT'!CB72</f>
        <v>0</v>
      </c>
    </row>
    <row r="74" spans="1:77" s="178" customFormat="1">
      <c r="A74" s="179">
        <f>'ADJ DETAIL-INPUT'!A73</f>
        <v>44</v>
      </c>
      <c r="B74" s="178" t="str">
        <f>'ADJ DETAIL-INPUT'!B73</f>
        <v xml:space="preserve">NET PLANT </v>
      </c>
      <c r="E74" s="188">
        <f>'ADJ DETAIL-INPUT'!E73</f>
        <v>2372928.2999999998</v>
      </c>
      <c r="F74" s="188">
        <f>'ADJ DETAIL-INPUT'!F73</f>
        <v>0</v>
      </c>
      <c r="G74" s="188">
        <f>'ADJ DETAIL-INPUT'!G73</f>
        <v>0</v>
      </c>
      <c r="H74" s="188">
        <f>'ADJ DETAIL-INPUT'!H73</f>
        <v>0</v>
      </c>
      <c r="I74" s="188">
        <f>'ADJ DETAIL-INPUT'!I73</f>
        <v>-26578</v>
      </c>
      <c r="J74" s="188">
        <f>'ADJ DETAIL-INPUT'!J73</f>
        <v>0</v>
      </c>
      <c r="K74" s="188">
        <f>'ADJ DETAIL-INPUT'!K73</f>
        <v>0</v>
      </c>
      <c r="L74" s="188">
        <f>'ADJ DETAIL-INPUT'!L73</f>
        <v>0</v>
      </c>
      <c r="M74" s="188">
        <f>'ADJ DETAIL-INPUT'!M73</f>
        <v>0</v>
      </c>
      <c r="N74" s="188">
        <f>'ADJ DETAIL-INPUT'!N73</f>
        <v>0</v>
      </c>
      <c r="O74" s="188">
        <f>'ADJ DETAIL-INPUT'!O73</f>
        <v>0</v>
      </c>
      <c r="P74" s="188">
        <f>'ADJ DETAIL-INPUT'!P73</f>
        <v>0</v>
      </c>
      <c r="Q74" s="188">
        <f>'ADJ DETAIL-INPUT'!Q73</f>
        <v>0</v>
      </c>
      <c r="R74" s="188">
        <f>'ADJ DETAIL-INPUT'!R73</f>
        <v>0</v>
      </c>
      <c r="S74" s="188">
        <f>'ADJ DETAIL-INPUT'!S73</f>
        <v>0</v>
      </c>
      <c r="T74" s="188">
        <f>'ADJ DETAIL-INPUT'!T73</f>
        <v>0</v>
      </c>
      <c r="U74" s="188">
        <f>'ADJ DETAIL-INPUT'!U73</f>
        <v>0</v>
      </c>
      <c r="V74" s="188">
        <f>'ADJ DETAIL-INPUT'!V73</f>
        <v>0</v>
      </c>
      <c r="W74" s="188">
        <f>'ADJ DETAIL-INPUT'!W73</f>
        <v>0</v>
      </c>
      <c r="X74" s="188">
        <f>'ADJ DETAIL-INPUT'!X73</f>
        <v>54839.6</v>
      </c>
      <c r="Y74" s="188">
        <f>'ADJ DETAIL-INPUT'!Y73</f>
        <v>0</v>
      </c>
      <c r="Z74" s="188">
        <f>'ADJ DETAIL-INPUT'!Z73</f>
        <v>0</v>
      </c>
      <c r="AA74" s="188">
        <f>'ADJ DETAIL-INPUT'!AA73</f>
        <v>0</v>
      </c>
      <c r="AB74" s="188">
        <f>'ADJ DETAIL-INPUT'!AB73</f>
        <v>0</v>
      </c>
      <c r="AC74" s="188">
        <f>'ADJ DETAIL-INPUT'!AC73</f>
        <v>0</v>
      </c>
      <c r="AD74" s="188">
        <f>'ADJ DETAIL-INPUT'!AE73</f>
        <v>0</v>
      </c>
      <c r="AE74" s="188">
        <f>'ADJ DETAIL-INPUT'!AF73</f>
        <v>0</v>
      </c>
      <c r="AF74" s="188">
        <f>'ADJ DETAIL-INPUT'!AG73</f>
        <v>0</v>
      </c>
      <c r="AG74" s="188">
        <f>'ADJ DETAIL-INPUT'!AH73</f>
        <v>0</v>
      </c>
      <c r="AH74" s="188">
        <f>'ADJ DETAIL-INPUT'!AI73</f>
        <v>0</v>
      </c>
      <c r="AI74" s="188">
        <f>'ADJ DETAIL-INPUT'!AJ73</f>
        <v>0</v>
      </c>
      <c r="AJ74" s="188">
        <f>'ADJ DETAIL-INPUT'!AK73</f>
        <v>0</v>
      </c>
      <c r="AK74" s="188">
        <f>'ADJ DETAIL-INPUT'!AL73</f>
        <v>0</v>
      </c>
      <c r="AL74" s="188">
        <f>'ADJ DETAIL-INPUT'!AM73</f>
        <v>0</v>
      </c>
      <c r="AM74" s="188">
        <f>'ADJ DETAIL-INPUT'!AN73</f>
        <v>0</v>
      </c>
      <c r="AN74" s="188">
        <f>'ADJ DETAIL-INPUT'!AO73</f>
        <v>0</v>
      </c>
      <c r="AO74" s="188">
        <f>'ADJ DETAIL-INPUT'!AP73</f>
        <v>0</v>
      </c>
      <c r="AP74" s="188">
        <f>'ADJ DETAIL-INPUT'!AQ73</f>
        <v>0</v>
      </c>
      <c r="AQ74" s="188">
        <f>'ADJ DETAIL-INPUT'!AR73</f>
        <v>0</v>
      </c>
      <c r="AR74" s="188">
        <f>'ADJ DETAIL-INPUT'!AS73</f>
        <v>0</v>
      </c>
      <c r="AS74" s="188">
        <f>'ADJ DETAIL-INPUT'!AT73</f>
        <v>0</v>
      </c>
      <c r="AT74" s="188">
        <f>'ADJ DETAIL-INPUT'!AU73</f>
        <v>85497.310559021265</v>
      </c>
      <c r="AU74" s="188">
        <f>'ADJ DETAIL-INPUT'!AV73</f>
        <v>0</v>
      </c>
      <c r="AV74" s="188">
        <f>'ADJ DETAIL-INPUT'!AW73</f>
        <v>72371.200000000012</v>
      </c>
      <c r="AW74" s="188">
        <f>'ADJ DETAIL-INPUT'!AX73</f>
        <v>0</v>
      </c>
      <c r="AX74" s="188">
        <f>'ADJ DETAIL-INPUT'!AY73</f>
        <v>0</v>
      </c>
      <c r="AY74" s="188">
        <f>'ADJ DETAIL-INPUT'!AZ73</f>
        <v>0</v>
      </c>
      <c r="AZ74" s="188">
        <f>'ADJ DETAIL-INPUT'!BA73</f>
        <v>0</v>
      </c>
      <c r="BA74" s="188">
        <f>'ADJ DETAIL-INPUT'!BB73</f>
        <v>0</v>
      </c>
      <c r="BB74" s="188">
        <f>'ADJ DETAIL-INPUT'!BC73</f>
        <v>0</v>
      </c>
      <c r="BC74" s="188">
        <f>'ADJ DETAIL-INPUT'!BD73</f>
        <v>0</v>
      </c>
      <c r="BD74" s="188">
        <f>'ADJ DETAIL-INPUT'!BE73</f>
        <v>27511.870174959498</v>
      </c>
      <c r="BE74" s="188">
        <f>'ADJ DETAIL-INPUT'!BF73</f>
        <v>0</v>
      </c>
      <c r="BF74" s="188">
        <f>'ADJ DETAIL-INPUT'!BG73</f>
        <v>0</v>
      </c>
      <c r="BG74" s="188">
        <f>'ADJ DETAIL-INPUT'!BH73</f>
        <v>0</v>
      </c>
      <c r="BH74" s="188">
        <f>'ADJ DETAIL-INPUT'!BI73</f>
        <v>0</v>
      </c>
      <c r="BI74" s="188">
        <f>'ADJ DETAIL-INPUT'!BJ73</f>
        <v>0</v>
      </c>
      <c r="BJ74" s="188">
        <f>'ADJ DETAIL-INPUT'!BK73</f>
        <v>0</v>
      </c>
      <c r="BK74" s="188">
        <f>'ADJ DETAIL-INPUT'!BN73</f>
        <v>0</v>
      </c>
      <c r="BL74" s="188">
        <f>'ADJ DETAIL-INPUT'!BO73</f>
        <v>0</v>
      </c>
      <c r="BM74" s="188">
        <f>'ADJ DETAIL-INPUT'!BP73</f>
        <v>0</v>
      </c>
      <c r="BN74" s="188">
        <f>'ADJ DETAIL-INPUT'!BQ73</f>
        <v>0</v>
      </c>
      <c r="BO74" s="188">
        <f>'ADJ DETAIL-INPUT'!BR73</f>
        <v>0</v>
      </c>
      <c r="BP74" s="188">
        <f>'ADJ DETAIL-INPUT'!BS73</f>
        <v>0</v>
      </c>
      <c r="BQ74" s="188">
        <f>'ADJ DETAIL-INPUT'!BT73</f>
        <v>0</v>
      </c>
      <c r="BR74" s="188">
        <f>'ADJ DETAIL-INPUT'!BU73</f>
        <v>0</v>
      </c>
      <c r="BS74" s="188">
        <f>'ADJ DETAIL-INPUT'!BV73</f>
        <v>99499.1</v>
      </c>
      <c r="BT74" s="188">
        <f>'ADJ DETAIL-INPUT'!BW73</f>
        <v>0</v>
      </c>
      <c r="BU74" s="188">
        <f>'ADJ DETAIL-INPUT'!BX73</f>
        <v>0</v>
      </c>
      <c r="BV74" s="188">
        <f>'ADJ DETAIL-INPUT'!BY73</f>
        <v>0</v>
      </c>
      <c r="BW74" s="188">
        <f>'ADJ DETAIL-INPUT'!BZ73</f>
        <v>0</v>
      </c>
      <c r="BX74" s="188">
        <f>'ADJ DETAIL-INPUT'!CA73</f>
        <v>0</v>
      </c>
      <c r="BY74" s="188">
        <f>'ADJ DETAIL-INPUT'!CB73</f>
        <v>0</v>
      </c>
    </row>
    <row r="75" spans="1:77" s="178" customFormat="1" ht="6.75" customHeight="1">
      <c r="A75" s="179"/>
      <c r="E75" s="183"/>
      <c r="F75" s="183"/>
      <c r="G75" s="183"/>
      <c r="H75" s="183"/>
      <c r="I75" s="183"/>
      <c r="J75" s="183"/>
      <c r="K75" s="183"/>
      <c r="L75" s="183"/>
      <c r="M75" s="183"/>
      <c r="N75" s="183"/>
      <c r="O75" s="183"/>
      <c r="P75" s="183"/>
      <c r="Q75" s="183"/>
      <c r="R75" s="183"/>
      <c r="S75" s="183"/>
      <c r="T75" s="183"/>
      <c r="U75" s="183"/>
      <c r="V75" s="183"/>
      <c r="W75" s="183"/>
      <c r="X75" s="183"/>
      <c r="Y75" s="183"/>
      <c r="Z75" s="183"/>
      <c r="AA75" s="183"/>
      <c r="AB75" s="183"/>
      <c r="AC75" s="183"/>
      <c r="AD75" s="183"/>
      <c r="AE75" s="183"/>
      <c r="AF75" s="183"/>
      <c r="AG75" s="183"/>
      <c r="AH75" s="183"/>
      <c r="AI75" s="183"/>
      <c r="AJ75" s="183"/>
      <c r="AK75" s="183"/>
      <c r="AL75" s="183"/>
      <c r="AM75" s="183"/>
      <c r="AN75" s="183"/>
      <c r="AO75" s="183"/>
      <c r="AP75" s="183"/>
      <c r="AQ75" s="183"/>
      <c r="AR75" s="183"/>
      <c r="AS75" s="183"/>
      <c r="AT75" s="183"/>
      <c r="AU75" s="183"/>
      <c r="AV75" s="183"/>
      <c r="AW75" s="183"/>
      <c r="AX75" s="183"/>
      <c r="AY75" s="183"/>
      <c r="AZ75" s="183"/>
      <c r="BA75" s="183"/>
      <c r="BB75" s="183"/>
      <c r="BC75" s="183"/>
      <c r="BD75" s="183"/>
      <c r="BE75" s="183"/>
      <c r="BF75" s="183"/>
      <c r="BG75" s="183"/>
      <c r="BH75" s="183"/>
      <c r="BI75" s="183"/>
      <c r="BJ75" s="183"/>
      <c r="BK75" s="183"/>
      <c r="BL75" s="183"/>
      <c r="BM75" s="183"/>
      <c r="BN75" s="183"/>
      <c r="BO75" s="183"/>
      <c r="BP75" s="183"/>
      <c r="BQ75" s="183"/>
      <c r="BR75" s="183"/>
      <c r="BS75" s="183"/>
      <c r="BT75" s="183"/>
      <c r="BU75" s="183"/>
      <c r="BV75" s="183"/>
      <c r="BW75" s="183"/>
      <c r="BX75" s="183"/>
      <c r="BY75" s="183"/>
    </row>
    <row r="76" spans="1:77" s="178" customFormat="1">
      <c r="A76" s="180">
        <f>'ADJ DETAIL-INPUT'!A75</f>
        <v>45</v>
      </c>
      <c r="B76" s="178" t="str">
        <f>'ADJ DETAIL-INPUT'!B75</f>
        <v xml:space="preserve">DEFERRED TAXES  </v>
      </c>
      <c r="E76" s="186">
        <f>'ADJ DETAIL-INPUT'!E75</f>
        <v>-399245</v>
      </c>
      <c r="F76" s="186">
        <f>'ADJ DETAIL-INPUT'!F75</f>
        <v>2942</v>
      </c>
      <c r="G76" s="186">
        <f>'ADJ DETAIL-INPUT'!G75</f>
        <v>0</v>
      </c>
      <c r="H76" s="186">
        <f>'ADJ DETAIL-INPUT'!H75</f>
        <v>0</v>
      </c>
      <c r="I76" s="186">
        <f>'ADJ DETAIL-INPUT'!I75</f>
        <v>1685</v>
      </c>
      <c r="J76" s="186">
        <f>'ADJ DETAIL-INPUT'!J75</f>
        <v>0</v>
      </c>
      <c r="K76" s="186">
        <f>'ADJ DETAIL-INPUT'!K75</f>
        <v>0</v>
      </c>
      <c r="L76" s="186">
        <f>'ADJ DETAIL-INPUT'!L75</f>
        <v>0</v>
      </c>
      <c r="M76" s="186">
        <f>'ADJ DETAIL-INPUT'!M75</f>
        <v>0</v>
      </c>
      <c r="N76" s="186">
        <f>'ADJ DETAIL-INPUT'!N75</f>
        <v>0</v>
      </c>
      <c r="O76" s="186">
        <f>'ADJ DETAIL-INPUT'!O75</f>
        <v>0</v>
      </c>
      <c r="P76" s="186">
        <f>'ADJ DETAIL-INPUT'!P75</f>
        <v>0</v>
      </c>
      <c r="Q76" s="186">
        <f>'ADJ DETAIL-INPUT'!Q75</f>
        <v>0</v>
      </c>
      <c r="R76" s="186">
        <f>'ADJ DETAIL-INPUT'!R75</f>
        <v>0</v>
      </c>
      <c r="S76" s="186">
        <f>'ADJ DETAIL-INPUT'!S75</f>
        <v>0</v>
      </c>
      <c r="T76" s="186">
        <f>'ADJ DETAIL-INPUT'!T75</f>
        <v>0</v>
      </c>
      <c r="U76" s="186">
        <f>'ADJ DETAIL-INPUT'!U75</f>
        <v>0</v>
      </c>
      <c r="V76" s="186">
        <f>'ADJ DETAIL-INPUT'!V75</f>
        <v>0</v>
      </c>
      <c r="W76" s="186">
        <f>'ADJ DETAIL-INPUT'!W75</f>
        <v>0</v>
      </c>
      <c r="X76" s="186">
        <f>'ADJ DETAIL-INPUT'!X75</f>
        <v>-910</v>
      </c>
      <c r="Y76" s="186">
        <f>'ADJ DETAIL-INPUT'!Y75</f>
        <v>0</v>
      </c>
      <c r="Z76" s="186">
        <f>'ADJ DETAIL-INPUT'!Z75</f>
        <v>0</v>
      </c>
      <c r="AA76" s="186">
        <f>'ADJ DETAIL-INPUT'!AA75</f>
        <v>0</v>
      </c>
      <c r="AB76" s="186">
        <f>'ADJ DETAIL-INPUT'!AB75</f>
        <v>0</v>
      </c>
      <c r="AC76" s="186">
        <f>'ADJ DETAIL-INPUT'!AC75</f>
        <v>0</v>
      </c>
      <c r="AD76" s="186">
        <f>'ADJ DETAIL-INPUT'!AE75</f>
        <v>0</v>
      </c>
      <c r="AE76" s="186">
        <f>'ADJ DETAIL-INPUT'!AF75</f>
        <v>0</v>
      </c>
      <c r="AF76" s="186">
        <f>'ADJ DETAIL-INPUT'!AG75</f>
        <v>0</v>
      </c>
      <c r="AG76" s="186">
        <f>'ADJ DETAIL-INPUT'!AH75</f>
        <v>0</v>
      </c>
      <c r="AH76" s="186">
        <f>'ADJ DETAIL-INPUT'!AI75</f>
        <v>0</v>
      </c>
      <c r="AI76" s="186">
        <f>'ADJ DETAIL-INPUT'!AJ75</f>
        <v>0</v>
      </c>
      <c r="AJ76" s="186">
        <f>'ADJ DETAIL-INPUT'!AK75</f>
        <v>0</v>
      </c>
      <c r="AK76" s="186">
        <f>'ADJ DETAIL-INPUT'!AL75</f>
        <v>0</v>
      </c>
      <c r="AL76" s="186">
        <f>'ADJ DETAIL-INPUT'!AM75</f>
        <v>0</v>
      </c>
      <c r="AM76" s="186">
        <f>'ADJ DETAIL-INPUT'!AN75</f>
        <v>0</v>
      </c>
      <c r="AN76" s="186">
        <f>'ADJ DETAIL-INPUT'!AO75</f>
        <v>0</v>
      </c>
      <c r="AO76" s="186">
        <f>'ADJ DETAIL-INPUT'!AP75</f>
        <v>0</v>
      </c>
      <c r="AP76" s="186">
        <f>'ADJ DETAIL-INPUT'!AQ75</f>
        <v>0</v>
      </c>
      <c r="AQ76" s="186">
        <f>'ADJ DETAIL-INPUT'!AR75</f>
        <v>0</v>
      </c>
      <c r="AR76" s="186">
        <f>'ADJ DETAIL-INPUT'!AS75</f>
        <v>0</v>
      </c>
      <c r="AS76" s="186">
        <f>'ADJ DETAIL-INPUT'!AT75</f>
        <v>0</v>
      </c>
      <c r="AT76" s="186">
        <f>'ADJ DETAIL-INPUT'!AU75</f>
        <v>-2076</v>
      </c>
      <c r="AU76" s="186">
        <f>'ADJ DETAIL-INPUT'!AV75</f>
        <v>0</v>
      </c>
      <c r="AV76" s="186">
        <f>'ADJ DETAIL-INPUT'!AW75</f>
        <v>-2147</v>
      </c>
      <c r="AW76" s="186">
        <f>'ADJ DETAIL-INPUT'!AX75</f>
        <v>0</v>
      </c>
      <c r="AX76" s="186">
        <f>'ADJ DETAIL-INPUT'!AY75</f>
        <v>0</v>
      </c>
      <c r="AY76" s="186">
        <f>'ADJ DETAIL-INPUT'!AZ75</f>
        <v>0</v>
      </c>
      <c r="AZ76" s="186">
        <f>'ADJ DETAIL-INPUT'!BA75</f>
        <v>0</v>
      </c>
      <c r="BA76" s="186">
        <f>'ADJ DETAIL-INPUT'!BB75</f>
        <v>0</v>
      </c>
      <c r="BB76" s="186">
        <f>'ADJ DETAIL-INPUT'!BC75</f>
        <v>0</v>
      </c>
      <c r="BC76" s="186">
        <f>'ADJ DETAIL-INPUT'!BD75</f>
        <v>0</v>
      </c>
      <c r="BD76" s="186">
        <f>'ADJ DETAIL-INPUT'!BE75</f>
        <v>-1751</v>
      </c>
      <c r="BE76" s="186">
        <f>'ADJ DETAIL-INPUT'!BF75</f>
        <v>0</v>
      </c>
      <c r="BF76" s="186">
        <f>'ADJ DETAIL-INPUT'!BG75</f>
        <v>0</v>
      </c>
      <c r="BG76" s="186">
        <f>'ADJ DETAIL-INPUT'!BH75</f>
        <v>0</v>
      </c>
      <c r="BH76" s="186">
        <f>'ADJ DETAIL-INPUT'!BI75</f>
        <v>0</v>
      </c>
      <c r="BI76" s="186">
        <f>'ADJ DETAIL-INPUT'!BJ75</f>
        <v>0</v>
      </c>
      <c r="BJ76" s="186">
        <f>'ADJ DETAIL-INPUT'!BK75</f>
        <v>0</v>
      </c>
      <c r="BK76" s="186">
        <f>'ADJ DETAIL-INPUT'!BN75</f>
        <v>0</v>
      </c>
      <c r="BL76" s="186">
        <f>'ADJ DETAIL-INPUT'!BO75</f>
        <v>0</v>
      </c>
      <c r="BM76" s="186">
        <f>'ADJ DETAIL-INPUT'!BP75</f>
        <v>0</v>
      </c>
      <c r="BN76" s="186">
        <f>'ADJ DETAIL-INPUT'!BQ75</f>
        <v>0</v>
      </c>
      <c r="BO76" s="186">
        <f>'ADJ DETAIL-INPUT'!BR75</f>
        <v>0</v>
      </c>
      <c r="BP76" s="186">
        <f>'ADJ DETAIL-INPUT'!BS75</f>
        <v>0</v>
      </c>
      <c r="BQ76" s="186">
        <f>'ADJ DETAIL-INPUT'!BT75</f>
        <v>0</v>
      </c>
      <c r="BR76" s="186">
        <f>'ADJ DETAIL-INPUT'!BU75</f>
        <v>0</v>
      </c>
      <c r="BS76" s="186">
        <f>'ADJ DETAIL-INPUT'!BV75</f>
        <v>-6263</v>
      </c>
      <c r="BT76" s="186">
        <f>'ADJ DETAIL-INPUT'!BW75</f>
        <v>0</v>
      </c>
      <c r="BU76" s="186">
        <f>'ADJ DETAIL-INPUT'!BX75</f>
        <v>0</v>
      </c>
      <c r="BV76" s="186">
        <f>'ADJ DETAIL-INPUT'!BY75</f>
        <v>0</v>
      </c>
      <c r="BW76" s="186">
        <f>'ADJ DETAIL-INPUT'!BZ75</f>
        <v>0</v>
      </c>
      <c r="BX76" s="186">
        <f>'ADJ DETAIL-INPUT'!CA75</f>
        <v>0</v>
      </c>
      <c r="BY76" s="186">
        <f>'ADJ DETAIL-INPUT'!CB75</f>
        <v>0</v>
      </c>
    </row>
    <row r="77" spans="1:77" s="178" customFormat="1">
      <c r="A77" s="180">
        <f>'ADJ DETAIL-INPUT'!A76</f>
        <v>46</v>
      </c>
      <c r="C77" s="178" t="str">
        <f>'ADJ DETAIL-INPUT'!C76</f>
        <v>Net Plant After DFIT</v>
      </c>
      <c r="E77" s="183">
        <f>'ADJ DETAIL-INPUT'!E76</f>
        <v>1973683.2999999998</v>
      </c>
      <c r="F77" s="183">
        <f>'ADJ DETAIL-INPUT'!F76</f>
        <v>2942</v>
      </c>
      <c r="G77" s="183">
        <f>'ADJ DETAIL-INPUT'!G76</f>
        <v>0</v>
      </c>
      <c r="H77" s="183">
        <f>'ADJ DETAIL-INPUT'!H76</f>
        <v>0</v>
      </c>
      <c r="I77" s="183">
        <f>'ADJ DETAIL-INPUT'!I76</f>
        <v>-24893</v>
      </c>
      <c r="J77" s="183">
        <f>'ADJ DETAIL-INPUT'!J76</f>
        <v>0</v>
      </c>
      <c r="K77" s="183">
        <f>'ADJ DETAIL-INPUT'!K76</f>
        <v>0</v>
      </c>
      <c r="L77" s="183">
        <f>'ADJ DETAIL-INPUT'!L76</f>
        <v>0</v>
      </c>
      <c r="M77" s="183">
        <f>'ADJ DETAIL-INPUT'!M76</f>
        <v>0</v>
      </c>
      <c r="N77" s="183">
        <f>'ADJ DETAIL-INPUT'!N76</f>
        <v>0</v>
      </c>
      <c r="O77" s="183">
        <f>'ADJ DETAIL-INPUT'!O76</f>
        <v>0</v>
      </c>
      <c r="P77" s="183">
        <f>'ADJ DETAIL-INPUT'!P76</f>
        <v>0</v>
      </c>
      <c r="Q77" s="183">
        <f>'ADJ DETAIL-INPUT'!Q76</f>
        <v>0</v>
      </c>
      <c r="R77" s="183">
        <f>'ADJ DETAIL-INPUT'!R76</f>
        <v>0</v>
      </c>
      <c r="S77" s="183">
        <f>'ADJ DETAIL-INPUT'!S76</f>
        <v>0</v>
      </c>
      <c r="T77" s="183">
        <f>'ADJ DETAIL-INPUT'!T76</f>
        <v>0</v>
      </c>
      <c r="U77" s="183">
        <f>'ADJ DETAIL-INPUT'!U76</f>
        <v>0</v>
      </c>
      <c r="V77" s="183">
        <f>'ADJ DETAIL-INPUT'!V76</f>
        <v>0</v>
      </c>
      <c r="W77" s="183">
        <f>'ADJ DETAIL-INPUT'!W76</f>
        <v>0</v>
      </c>
      <c r="X77" s="183">
        <f>'ADJ DETAIL-INPUT'!X76</f>
        <v>53929.599999999999</v>
      </c>
      <c r="Y77" s="183">
        <f>'ADJ DETAIL-INPUT'!Y76</f>
        <v>0</v>
      </c>
      <c r="Z77" s="183">
        <f>'ADJ DETAIL-INPUT'!Z76</f>
        <v>0</v>
      </c>
      <c r="AA77" s="183">
        <f>'ADJ DETAIL-INPUT'!AA76</f>
        <v>0</v>
      </c>
      <c r="AB77" s="183">
        <f>'ADJ DETAIL-INPUT'!AB76</f>
        <v>0</v>
      </c>
      <c r="AC77" s="183">
        <f>'ADJ DETAIL-INPUT'!AC76</f>
        <v>0</v>
      </c>
      <c r="AD77" s="183">
        <f>'ADJ DETAIL-INPUT'!AE76</f>
        <v>0</v>
      </c>
      <c r="AE77" s="183">
        <f>'ADJ DETAIL-INPUT'!AF76</f>
        <v>0</v>
      </c>
      <c r="AF77" s="183">
        <f>'ADJ DETAIL-INPUT'!AG76</f>
        <v>0</v>
      </c>
      <c r="AG77" s="183">
        <f>'ADJ DETAIL-INPUT'!AH76</f>
        <v>0</v>
      </c>
      <c r="AH77" s="183">
        <f>'ADJ DETAIL-INPUT'!AI76</f>
        <v>0</v>
      </c>
      <c r="AI77" s="183">
        <f>'ADJ DETAIL-INPUT'!AJ76</f>
        <v>0</v>
      </c>
      <c r="AJ77" s="183">
        <f>'ADJ DETAIL-INPUT'!AK76</f>
        <v>0</v>
      </c>
      <c r="AK77" s="183">
        <f>'ADJ DETAIL-INPUT'!AL76</f>
        <v>0</v>
      </c>
      <c r="AL77" s="183">
        <f>'ADJ DETAIL-INPUT'!AM76</f>
        <v>0</v>
      </c>
      <c r="AM77" s="183">
        <f>'ADJ DETAIL-INPUT'!AN76</f>
        <v>0</v>
      </c>
      <c r="AN77" s="183">
        <f>'ADJ DETAIL-INPUT'!AO76</f>
        <v>0</v>
      </c>
      <c r="AO77" s="183">
        <f>'ADJ DETAIL-INPUT'!AP76</f>
        <v>0</v>
      </c>
      <c r="AP77" s="183">
        <f>'ADJ DETAIL-INPUT'!AQ76</f>
        <v>0</v>
      </c>
      <c r="AQ77" s="183">
        <f>'ADJ DETAIL-INPUT'!AR76</f>
        <v>0</v>
      </c>
      <c r="AR77" s="183">
        <f>'ADJ DETAIL-INPUT'!AS76</f>
        <v>0</v>
      </c>
      <c r="AS77" s="183">
        <f>'ADJ DETAIL-INPUT'!AT76</f>
        <v>0</v>
      </c>
      <c r="AT77" s="183">
        <f>'ADJ DETAIL-INPUT'!AU76</f>
        <v>83421.310559021265</v>
      </c>
      <c r="AU77" s="183">
        <f>'ADJ DETAIL-INPUT'!AV76</f>
        <v>0</v>
      </c>
      <c r="AV77" s="183">
        <f>'ADJ DETAIL-INPUT'!AW76</f>
        <v>70224.200000000012</v>
      </c>
      <c r="AW77" s="183">
        <f>'ADJ DETAIL-INPUT'!AX76</f>
        <v>0</v>
      </c>
      <c r="AX77" s="183">
        <f>'ADJ DETAIL-INPUT'!AY76</f>
        <v>0</v>
      </c>
      <c r="AY77" s="183">
        <f>'ADJ DETAIL-INPUT'!AZ76</f>
        <v>0</v>
      </c>
      <c r="AZ77" s="183">
        <f>'ADJ DETAIL-INPUT'!BA76</f>
        <v>0</v>
      </c>
      <c r="BA77" s="183">
        <f>'ADJ DETAIL-INPUT'!BB76</f>
        <v>0</v>
      </c>
      <c r="BB77" s="183">
        <f>'ADJ DETAIL-INPUT'!BC76</f>
        <v>0</v>
      </c>
      <c r="BC77" s="183">
        <f>'ADJ DETAIL-INPUT'!BD76</f>
        <v>0</v>
      </c>
      <c r="BD77" s="183">
        <f>'ADJ DETAIL-INPUT'!BE76</f>
        <v>25760.870174959498</v>
      </c>
      <c r="BE77" s="183">
        <f>'ADJ DETAIL-INPUT'!BF76</f>
        <v>0</v>
      </c>
      <c r="BF77" s="183">
        <f>'ADJ DETAIL-INPUT'!BG76</f>
        <v>0</v>
      </c>
      <c r="BG77" s="183">
        <f>'ADJ DETAIL-INPUT'!BH76</f>
        <v>0</v>
      </c>
      <c r="BH77" s="183">
        <f>'ADJ DETAIL-INPUT'!BI76</f>
        <v>0</v>
      </c>
      <c r="BI77" s="183">
        <f>'ADJ DETAIL-INPUT'!BJ76</f>
        <v>0</v>
      </c>
      <c r="BJ77" s="183">
        <f>'ADJ DETAIL-INPUT'!BK76</f>
        <v>0</v>
      </c>
      <c r="BK77" s="183">
        <f>'ADJ DETAIL-INPUT'!BN76</f>
        <v>0</v>
      </c>
      <c r="BL77" s="183">
        <f>'ADJ DETAIL-INPUT'!BO76</f>
        <v>0</v>
      </c>
      <c r="BM77" s="183">
        <f>'ADJ DETAIL-INPUT'!BP76</f>
        <v>0</v>
      </c>
      <c r="BN77" s="183">
        <f>'ADJ DETAIL-INPUT'!BQ76</f>
        <v>0</v>
      </c>
      <c r="BO77" s="183">
        <f>'ADJ DETAIL-INPUT'!BR76</f>
        <v>0</v>
      </c>
      <c r="BP77" s="183">
        <f>'ADJ DETAIL-INPUT'!BS76</f>
        <v>0</v>
      </c>
      <c r="BQ77" s="183">
        <f>'ADJ DETAIL-INPUT'!BT76</f>
        <v>0</v>
      </c>
      <c r="BR77" s="183">
        <f>'ADJ DETAIL-INPUT'!BU76</f>
        <v>0</v>
      </c>
      <c r="BS77" s="183">
        <f>'ADJ DETAIL-INPUT'!BV76</f>
        <v>93236.1</v>
      </c>
      <c r="BT77" s="183">
        <f>'ADJ DETAIL-INPUT'!BW76</f>
        <v>0</v>
      </c>
      <c r="BU77" s="183">
        <f>'ADJ DETAIL-INPUT'!BX76</f>
        <v>0</v>
      </c>
      <c r="BV77" s="183">
        <f>'ADJ DETAIL-INPUT'!BY76</f>
        <v>0</v>
      </c>
      <c r="BW77" s="183">
        <f>'ADJ DETAIL-INPUT'!BZ76</f>
        <v>0</v>
      </c>
      <c r="BX77" s="183">
        <f>'ADJ DETAIL-INPUT'!CA76</f>
        <v>0</v>
      </c>
      <c r="BY77" s="183">
        <f>'ADJ DETAIL-INPUT'!CB76</f>
        <v>0</v>
      </c>
    </row>
    <row r="78" spans="1:77" s="178" customFormat="1">
      <c r="A78" s="179">
        <f>'ADJ DETAIL-INPUT'!A77</f>
        <v>47</v>
      </c>
      <c r="B78" s="178" t="str">
        <f>'ADJ DETAIL-INPUT'!B77</f>
        <v>DEFERRED DEBITS AND CREDITS &amp; OTHER</v>
      </c>
      <c r="E78" s="183">
        <f>'ADJ DETAIL-INPUT'!E77</f>
        <v>31540.5</v>
      </c>
      <c r="F78" s="183">
        <f>'ADJ DETAIL-INPUT'!F77</f>
        <v>0</v>
      </c>
      <c r="G78" s="183">
        <f>'ADJ DETAIL-INPUT'!G77</f>
        <v>0</v>
      </c>
      <c r="H78" s="183">
        <f>'ADJ DETAIL-INPUT'!H77</f>
        <v>0</v>
      </c>
      <c r="I78" s="183">
        <f>'ADJ DETAIL-INPUT'!I77</f>
        <v>15</v>
      </c>
      <c r="J78" s="183">
        <f>'ADJ DETAIL-INPUT'!J77</f>
        <v>0</v>
      </c>
      <c r="K78" s="183">
        <f>'ADJ DETAIL-INPUT'!K77</f>
        <v>0</v>
      </c>
      <c r="L78" s="183">
        <f>'ADJ DETAIL-INPUT'!L77</f>
        <v>0</v>
      </c>
      <c r="M78" s="183">
        <f>'ADJ DETAIL-INPUT'!M77</f>
        <v>0</v>
      </c>
      <c r="N78" s="183">
        <f>'ADJ DETAIL-INPUT'!N77</f>
        <v>0</v>
      </c>
      <c r="O78" s="183">
        <f>'ADJ DETAIL-INPUT'!O77</f>
        <v>0</v>
      </c>
      <c r="P78" s="183">
        <f>'ADJ DETAIL-INPUT'!P77</f>
        <v>0</v>
      </c>
      <c r="Q78" s="183">
        <f>'ADJ DETAIL-INPUT'!Q77</f>
        <v>0</v>
      </c>
      <c r="R78" s="183">
        <f>'ADJ DETAIL-INPUT'!R77</f>
        <v>0</v>
      </c>
      <c r="S78" s="183">
        <f>'ADJ DETAIL-INPUT'!S77</f>
        <v>0</v>
      </c>
      <c r="T78" s="183">
        <f>'ADJ DETAIL-INPUT'!T77</f>
        <v>0</v>
      </c>
      <c r="U78" s="183">
        <f>'ADJ DETAIL-INPUT'!U77</f>
        <v>0</v>
      </c>
      <c r="V78" s="183">
        <f>'ADJ DETAIL-INPUT'!V77</f>
        <v>0</v>
      </c>
      <c r="W78" s="183">
        <f>'ADJ DETAIL-INPUT'!W77</f>
        <v>0</v>
      </c>
      <c r="X78" s="183">
        <f>'ADJ DETAIL-INPUT'!X77</f>
        <v>0</v>
      </c>
      <c r="Y78" s="183">
        <f>'ADJ DETAIL-INPUT'!Y77</f>
        <v>0</v>
      </c>
      <c r="Z78" s="183">
        <f>'ADJ DETAIL-INPUT'!Z77</f>
        <v>0</v>
      </c>
      <c r="AA78" s="183">
        <f>'ADJ DETAIL-INPUT'!AA77</f>
        <v>0</v>
      </c>
      <c r="AB78" s="183">
        <f>'ADJ DETAIL-INPUT'!AB77</f>
        <v>0</v>
      </c>
      <c r="AC78" s="183">
        <f>'ADJ DETAIL-INPUT'!AC77</f>
        <v>0</v>
      </c>
      <c r="AD78" s="183">
        <f>'ADJ DETAIL-INPUT'!AE77</f>
        <v>0</v>
      </c>
      <c r="AE78" s="183">
        <f>'ADJ DETAIL-INPUT'!AF77</f>
        <v>0</v>
      </c>
      <c r="AF78" s="183">
        <f>'ADJ DETAIL-INPUT'!AG77</f>
        <v>0</v>
      </c>
      <c r="AG78" s="183">
        <f>'ADJ DETAIL-INPUT'!AH77</f>
        <v>0</v>
      </c>
      <c r="AH78" s="183">
        <f>'ADJ DETAIL-INPUT'!AI77</f>
        <v>0</v>
      </c>
      <c r="AI78" s="183">
        <f>'ADJ DETAIL-INPUT'!AJ77</f>
        <v>-7529</v>
      </c>
      <c r="AJ78" s="183">
        <f>'ADJ DETAIL-INPUT'!AK77</f>
        <v>0</v>
      </c>
      <c r="AK78" s="183">
        <f>'ADJ DETAIL-INPUT'!AL77</f>
        <v>0</v>
      </c>
      <c r="AL78" s="183">
        <f>'ADJ DETAIL-INPUT'!AM77</f>
        <v>0</v>
      </c>
      <c r="AM78" s="183">
        <f>'ADJ DETAIL-INPUT'!AN77</f>
        <v>0</v>
      </c>
      <c r="AN78" s="183">
        <f>'ADJ DETAIL-INPUT'!AO77</f>
        <v>0</v>
      </c>
      <c r="AO78" s="183">
        <f>'ADJ DETAIL-INPUT'!AP77</f>
        <v>0</v>
      </c>
      <c r="AP78" s="183">
        <f>'ADJ DETAIL-INPUT'!AQ77</f>
        <v>0</v>
      </c>
      <c r="AQ78" s="183">
        <f>'ADJ DETAIL-INPUT'!AR77</f>
        <v>0</v>
      </c>
      <c r="AR78" s="183">
        <f>'ADJ DETAIL-INPUT'!AS77</f>
        <v>0</v>
      </c>
      <c r="AS78" s="183">
        <f>'ADJ DETAIL-INPUT'!AT77</f>
        <v>0</v>
      </c>
      <c r="AT78" s="183">
        <f>'ADJ DETAIL-INPUT'!AU77</f>
        <v>0</v>
      </c>
      <c r="AU78" s="183">
        <f>'ADJ DETAIL-INPUT'!AV77</f>
        <v>0</v>
      </c>
      <c r="AV78" s="183">
        <f>'ADJ DETAIL-INPUT'!AW77</f>
        <v>0</v>
      </c>
      <c r="AW78" s="183">
        <f>'ADJ DETAIL-INPUT'!AX77</f>
        <v>0</v>
      </c>
      <c r="AX78" s="183">
        <f>'ADJ DETAIL-INPUT'!AY77</f>
        <v>0</v>
      </c>
      <c r="AY78" s="183">
        <f>'ADJ DETAIL-INPUT'!AZ77</f>
        <v>0</v>
      </c>
      <c r="AZ78" s="183">
        <f>'ADJ DETAIL-INPUT'!BA77</f>
        <v>0</v>
      </c>
      <c r="BA78" s="183">
        <f>'ADJ DETAIL-INPUT'!BB77</f>
        <v>0</v>
      </c>
      <c r="BB78" s="183">
        <f>'ADJ DETAIL-INPUT'!BC77</f>
        <v>0</v>
      </c>
      <c r="BC78" s="183">
        <f>'ADJ DETAIL-INPUT'!BD77</f>
        <v>0</v>
      </c>
      <c r="BD78" s="183">
        <f>'ADJ DETAIL-INPUT'!BE77</f>
        <v>0</v>
      </c>
      <c r="BE78" s="183">
        <f>'ADJ DETAIL-INPUT'!BF77</f>
        <v>0</v>
      </c>
      <c r="BF78" s="183">
        <f>'ADJ DETAIL-INPUT'!BG77</f>
        <v>0</v>
      </c>
      <c r="BG78" s="183">
        <f>'ADJ DETAIL-INPUT'!BH77</f>
        <v>0</v>
      </c>
      <c r="BH78" s="183">
        <f>'ADJ DETAIL-INPUT'!BI77</f>
        <v>0</v>
      </c>
      <c r="BI78" s="183">
        <f>'ADJ DETAIL-INPUT'!BJ77</f>
        <v>0</v>
      </c>
      <c r="BJ78" s="183">
        <f>'ADJ DETAIL-INPUT'!BK77</f>
        <v>0</v>
      </c>
      <c r="BK78" s="183">
        <f>'ADJ DETAIL-INPUT'!BN77</f>
        <v>0</v>
      </c>
      <c r="BL78" s="183">
        <f>'ADJ DETAIL-INPUT'!BO77</f>
        <v>0</v>
      </c>
      <c r="BM78" s="183">
        <f>'ADJ DETAIL-INPUT'!BP77</f>
        <v>-2992</v>
      </c>
      <c r="BN78" s="183">
        <f>'ADJ DETAIL-INPUT'!BQ77</f>
        <v>0</v>
      </c>
      <c r="BO78" s="183">
        <f>'ADJ DETAIL-INPUT'!BR77</f>
        <v>0</v>
      </c>
      <c r="BP78" s="183">
        <f>'ADJ DETAIL-INPUT'!BS77</f>
        <v>0</v>
      </c>
      <c r="BQ78" s="183">
        <f>'ADJ DETAIL-INPUT'!BT77</f>
        <v>0</v>
      </c>
      <c r="BR78" s="183">
        <f>'ADJ DETAIL-INPUT'!BU77</f>
        <v>0</v>
      </c>
      <c r="BS78" s="183">
        <f>'ADJ DETAIL-INPUT'!BV77</f>
        <v>0</v>
      </c>
      <c r="BT78" s="183">
        <f>'ADJ DETAIL-INPUT'!BW77</f>
        <v>0</v>
      </c>
      <c r="BU78" s="183">
        <f>'ADJ DETAIL-INPUT'!BX77</f>
        <v>0</v>
      </c>
      <c r="BV78" s="183">
        <f>'ADJ DETAIL-INPUT'!BY77</f>
        <v>0</v>
      </c>
      <c r="BW78" s="183">
        <f>'ADJ DETAIL-INPUT'!BZ77</f>
        <v>0</v>
      </c>
      <c r="BX78" s="183">
        <f>'ADJ DETAIL-INPUT'!CA77</f>
        <v>0</v>
      </c>
      <c r="BY78" s="183">
        <f>'ADJ DETAIL-INPUT'!CB77</f>
        <v>0</v>
      </c>
    </row>
    <row r="79" spans="1:77" s="178" customFormat="1">
      <c r="A79" s="179">
        <f>'ADJ DETAIL-INPUT'!A78</f>
        <v>48</v>
      </c>
      <c r="B79" s="178" t="str">
        <f>'ADJ DETAIL-INPUT'!B78</f>
        <v xml:space="preserve">WORKING CAPITAL </v>
      </c>
      <c r="E79" s="183">
        <f>'ADJ DETAIL-INPUT'!E78</f>
        <v>103961</v>
      </c>
      <c r="F79" s="186">
        <f>'ADJ DETAIL-INPUT'!F78</f>
        <v>0</v>
      </c>
      <c r="G79" s="186">
        <f>'ADJ DETAIL-INPUT'!G78</f>
        <v>0</v>
      </c>
      <c r="H79" s="186">
        <f>'ADJ DETAIL-INPUT'!H78</f>
        <v>-3239</v>
      </c>
      <c r="I79" s="186">
        <f>'ADJ DETAIL-INPUT'!I78</f>
        <v>0</v>
      </c>
      <c r="J79" s="186">
        <f>'ADJ DETAIL-INPUT'!J78</f>
        <v>0</v>
      </c>
      <c r="K79" s="186">
        <f>'ADJ DETAIL-INPUT'!K78</f>
        <v>0</v>
      </c>
      <c r="L79" s="186">
        <f>'ADJ DETAIL-INPUT'!L78</f>
        <v>0</v>
      </c>
      <c r="M79" s="186">
        <f>'ADJ DETAIL-INPUT'!M78</f>
        <v>0</v>
      </c>
      <c r="N79" s="186">
        <f>'ADJ DETAIL-INPUT'!N78</f>
        <v>0</v>
      </c>
      <c r="O79" s="186">
        <f>'ADJ DETAIL-INPUT'!O78</f>
        <v>0</v>
      </c>
      <c r="P79" s="186">
        <f>'ADJ DETAIL-INPUT'!P78</f>
        <v>0</v>
      </c>
      <c r="Q79" s="186">
        <f>'ADJ DETAIL-INPUT'!Q78</f>
        <v>0</v>
      </c>
      <c r="R79" s="186">
        <f>'ADJ DETAIL-INPUT'!R78</f>
        <v>0</v>
      </c>
      <c r="S79" s="186">
        <f>'ADJ DETAIL-INPUT'!S78</f>
        <v>0</v>
      </c>
      <c r="T79" s="186">
        <f>'ADJ DETAIL-INPUT'!T78</f>
        <v>0</v>
      </c>
      <c r="U79" s="186">
        <f>'ADJ DETAIL-INPUT'!U78</f>
        <v>0</v>
      </c>
      <c r="V79" s="186">
        <f>'ADJ DETAIL-INPUT'!V78</f>
        <v>0</v>
      </c>
      <c r="W79" s="186">
        <f>'ADJ DETAIL-INPUT'!W78</f>
        <v>0</v>
      </c>
      <c r="X79" s="186">
        <f>'ADJ DETAIL-INPUT'!X78</f>
        <v>0</v>
      </c>
      <c r="Y79" s="186">
        <f>'ADJ DETAIL-INPUT'!Y78</f>
        <v>0</v>
      </c>
      <c r="Z79" s="186">
        <f>'ADJ DETAIL-INPUT'!Z78</f>
        <v>0</v>
      </c>
      <c r="AA79" s="186">
        <f>'ADJ DETAIL-INPUT'!AA78</f>
        <v>0</v>
      </c>
      <c r="AB79" s="186">
        <f>'ADJ DETAIL-INPUT'!AB78</f>
        <v>0</v>
      </c>
      <c r="AC79" s="186">
        <f>'ADJ DETAIL-INPUT'!AC78</f>
        <v>0</v>
      </c>
      <c r="AD79" s="186">
        <f>'ADJ DETAIL-INPUT'!AE78</f>
        <v>0</v>
      </c>
      <c r="AE79" s="186">
        <f>'ADJ DETAIL-INPUT'!AF78</f>
        <v>0</v>
      </c>
      <c r="AF79" s="186">
        <f>'ADJ DETAIL-INPUT'!AG78</f>
        <v>0</v>
      </c>
      <c r="AG79" s="186">
        <f>'ADJ DETAIL-INPUT'!AH78</f>
        <v>0</v>
      </c>
      <c r="AH79" s="186">
        <f>'ADJ DETAIL-INPUT'!AI78</f>
        <v>0</v>
      </c>
      <c r="AI79" s="186">
        <f>'ADJ DETAIL-INPUT'!AJ78</f>
        <v>0</v>
      </c>
      <c r="AJ79" s="186">
        <f>'ADJ DETAIL-INPUT'!AK78</f>
        <v>0</v>
      </c>
      <c r="AK79" s="186">
        <f>'ADJ DETAIL-INPUT'!AL78</f>
        <v>0</v>
      </c>
      <c r="AL79" s="186">
        <f>'ADJ DETAIL-INPUT'!AM78</f>
        <v>0</v>
      </c>
      <c r="AM79" s="186">
        <f>'ADJ DETAIL-INPUT'!AN78</f>
        <v>0</v>
      </c>
      <c r="AN79" s="186">
        <f>'ADJ DETAIL-INPUT'!AO78</f>
        <v>0</v>
      </c>
      <c r="AO79" s="186">
        <f>'ADJ DETAIL-INPUT'!AP78</f>
        <v>0</v>
      </c>
      <c r="AP79" s="186">
        <f>'ADJ DETAIL-INPUT'!AQ78</f>
        <v>0</v>
      </c>
      <c r="AQ79" s="186">
        <f>'ADJ DETAIL-INPUT'!AR78</f>
        <v>0</v>
      </c>
      <c r="AR79" s="186">
        <f>'ADJ DETAIL-INPUT'!AS78</f>
        <v>0</v>
      </c>
      <c r="AS79" s="186">
        <f>'ADJ DETAIL-INPUT'!AT78</f>
        <v>0</v>
      </c>
      <c r="AT79" s="186">
        <f>'ADJ DETAIL-INPUT'!AU78</f>
        <v>0</v>
      </c>
      <c r="AU79" s="186">
        <f>'ADJ DETAIL-INPUT'!AV78</f>
        <v>0</v>
      </c>
      <c r="AV79" s="186">
        <f>'ADJ DETAIL-INPUT'!AW78</f>
        <v>0</v>
      </c>
      <c r="AW79" s="186">
        <f>'ADJ DETAIL-INPUT'!AX78</f>
        <v>0</v>
      </c>
      <c r="AX79" s="186">
        <f>'ADJ DETAIL-INPUT'!AY78</f>
        <v>0</v>
      </c>
      <c r="AY79" s="186">
        <f>'ADJ DETAIL-INPUT'!AZ78</f>
        <v>0</v>
      </c>
      <c r="AZ79" s="186">
        <f>'ADJ DETAIL-INPUT'!BA78</f>
        <v>0</v>
      </c>
      <c r="BA79" s="186">
        <f>'ADJ DETAIL-INPUT'!BB78</f>
        <v>0</v>
      </c>
      <c r="BB79" s="186">
        <f>'ADJ DETAIL-INPUT'!BC78</f>
        <v>0</v>
      </c>
      <c r="BC79" s="186">
        <f>'ADJ DETAIL-INPUT'!BD78</f>
        <v>0</v>
      </c>
      <c r="BD79" s="186">
        <f>'ADJ DETAIL-INPUT'!BE78</f>
        <v>0</v>
      </c>
      <c r="BE79" s="186">
        <f>'ADJ DETAIL-INPUT'!BF78</f>
        <v>0</v>
      </c>
      <c r="BF79" s="186">
        <f>'ADJ DETAIL-INPUT'!BG78</f>
        <v>0</v>
      </c>
      <c r="BG79" s="186">
        <f>'ADJ DETAIL-INPUT'!BH78</f>
        <v>0</v>
      </c>
      <c r="BH79" s="186">
        <f>'ADJ DETAIL-INPUT'!BI78</f>
        <v>0</v>
      </c>
      <c r="BI79" s="186">
        <f>'ADJ DETAIL-INPUT'!BJ78</f>
        <v>0</v>
      </c>
      <c r="BJ79" s="186">
        <f>'ADJ DETAIL-INPUT'!BK78</f>
        <v>0</v>
      </c>
      <c r="BK79" s="186">
        <f>'ADJ DETAIL-INPUT'!BN78</f>
        <v>0</v>
      </c>
      <c r="BL79" s="186">
        <f>'ADJ DETAIL-INPUT'!BO78</f>
        <v>0</v>
      </c>
      <c r="BM79" s="186">
        <f>'ADJ DETAIL-INPUT'!BP78</f>
        <v>0</v>
      </c>
      <c r="BN79" s="186">
        <f>'ADJ DETAIL-INPUT'!BQ78</f>
        <v>0</v>
      </c>
      <c r="BO79" s="186">
        <f>'ADJ DETAIL-INPUT'!BR78</f>
        <v>0</v>
      </c>
      <c r="BP79" s="186">
        <f>'ADJ DETAIL-INPUT'!BS78</f>
        <v>0</v>
      </c>
      <c r="BQ79" s="186">
        <f>'ADJ DETAIL-INPUT'!BT78</f>
        <v>0</v>
      </c>
      <c r="BR79" s="186">
        <f>'ADJ DETAIL-INPUT'!BU78</f>
        <v>0</v>
      </c>
      <c r="BS79" s="186">
        <f>'ADJ DETAIL-INPUT'!BV78</f>
        <v>0</v>
      </c>
      <c r="BT79" s="186">
        <f>'ADJ DETAIL-INPUT'!BW78</f>
        <v>0</v>
      </c>
      <c r="BU79" s="186">
        <f>'ADJ DETAIL-INPUT'!BX78</f>
        <v>0</v>
      </c>
      <c r="BV79" s="186">
        <f>'ADJ DETAIL-INPUT'!BY78</f>
        <v>0</v>
      </c>
      <c r="BW79" s="186">
        <f>'ADJ DETAIL-INPUT'!BZ78</f>
        <v>0</v>
      </c>
      <c r="BX79" s="186">
        <f>'ADJ DETAIL-INPUT'!CA78</f>
        <v>0</v>
      </c>
      <c r="BY79" s="186">
        <f>'ADJ DETAIL-INPUT'!CB78</f>
        <v>0</v>
      </c>
    </row>
    <row r="80" spans="1:77" s="178" customFormat="1" ht="6.75" customHeight="1">
      <c r="A80" s="180"/>
      <c r="E80" s="188">
        <f>'ADJ DETAIL-INPUT'!E79</f>
        <v>0</v>
      </c>
      <c r="F80" s="183">
        <f>'ADJ DETAIL-INPUT'!F79</f>
        <v>0</v>
      </c>
      <c r="G80" s="183">
        <f>'ADJ DETAIL-INPUT'!G79</f>
        <v>0</v>
      </c>
      <c r="H80" s="183">
        <f>'ADJ DETAIL-INPUT'!H79</f>
        <v>0</v>
      </c>
      <c r="I80" s="183">
        <f>'ADJ DETAIL-INPUT'!I79</f>
        <v>0</v>
      </c>
      <c r="J80" s="183">
        <f>'ADJ DETAIL-INPUT'!J79</f>
        <v>0</v>
      </c>
      <c r="K80" s="183">
        <f>'ADJ DETAIL-INPUT'!K79</f>
        <v>0</v>
      </c>
      <c r="L80" s="183">
        <f>'ADJ DETAIL-INPUT'!L79</f>
        <v>0</v>
      </c>
      <c r="M80" s="183">
        <f>'ADJ DETAIL-INPUT'!M79</f>
        <v>0</v>
      </c>
      <c r="N80" s="183">
        <f>'ADJ DETAIL-INPUT'!N79</f>
        <v>0</v>
      </c>
      <c r="O80" s="183">
        <f>'ADJ DETAIL-INPUT'!O79</f>
        <v>0</v>
      </c>
      <c r="P80" s="183">
        <f>'ADJ DETAIL-INPUT'!P79</f>
        <v>0</v>
      </c>
      <c r="Q80" s="183">
        <f>'ADJ DETAIL-INPUT'!Q79</f>
        <v>0</v>
      </c>
      <c r="R80" s="183">
        <f>'ADJ DETAIL-INPUT'!R79</f>
        <v>0</v>
      </c>
      <c r="S80" s="183">
        <f>'ADJ DETAIL-INPUT'!S79</f>
        <v>0</v>
      </c>
      <c r="T80" s="183">
        <f>'ADJ DETAIL-INPUT'!T79</f>
        <v>0</v>
      </c>
      <c r="U80" s="183">
        <f>'ADJ DETAIL-INPUT'!U79</f>
        <v>0</v>
      </c>
      <c r="V80" s="183">
        <f>'ADJ DETAIL-INPUT'!V79</f>
        <v>0</v>
      </c>
      <c r="W80" s="183">
        <f>'ADJ DETAIL-INPUT'!W79</f>
        <v>0</v>
      </c>
      <c r="X80" s="183">
        <f>'ADJ DETAIL-INPUT'!X79</f>
        <v>0</v>
      </c>
      <c r="Y80" s="183">
        <f>'ADJ DETAIL-INPUT'!Y79</f>
        <v>0</v>
      </c>
      <c r="Z80" s="183">
        <f>'ADJ DETAIL-INPUT'!Z79</f>
        <v>0</v>
      </c>
      <c r="AA80" s="183">
        <f>'ADJ DETAIL-INPUT'!AA79</f>
        <v>0</v>
      </c>
      <c r="AB80" s="183">
        <f>'ADJ DETAIL-INPUT'!AB79</f>
        <v>0</v>
      </c>
      <c r="AC80" s="183">
        <f>'ADJ DETAIL-INPUT'!AC79</f>
        <v>0</v>
      </c>
      <c r="AD80" s="183">
        <f>'ADJ DETAIL-INPUT'!AE79</f>
        <v>0</v>
      </c>
      <c r="AE80" s="183">
        <f>'ADJ DETAIL-INPUT'!AF79</f>
        <v>0</v>
      </c>
      <c r="AF80" s="183">
        <f>'ADJ DETAIL-INPUT'!AG79</f>
        <v>0</v>
      </c>
      <c r="AG80" s="183">
        <f>'ADJ DETAIL-INPUT'!AH79</f>
        <v>0</v>
      </c>
      <c r="AH80" s="183">
        <f>'ADJ DETAIL-INPUT'!AI79</f>
        <v>0</v>
      </c>
      <c r="AI80" s="183">
        <f>'ADJ DETAIL-INPUT'!AJ79</f>
        <v>0</v>
      </c>
      <c r="AJ80" s="183">
        <f>'ADJ DETAIL-INPUT'!AK79</f>
        <v>0</v>
      </c>
      <c r="AK80" s="183">
        <f>'ADJ DETAIL-INPUT'!AL79</f>
        <v>0</v>
      </c>
      <c r="AL80" s="183">
        <f>'ADJ DETAIL-INPUT'!AM79</f>
        <v>0</v>
      </c>
      <c r="AM80" s="183">
        <f>'ADJ DETAIL-INPUT'!AN79</f>
        <v>0</v>
      </c>
      <c r="AN80" s="183">
        <f>'ADJ DETAIL-INPUT'!AO79</f>
        <v>0</v>
      </c>
      <c r="AO80" s="183">
        <f>'ADJ DETAIL-INPUT'!AP79</f>
        <v>0</v>
      </c>
      <c r="AP80" s="183">
        <f>'ADJ DETAIL-INPUT'!AQ79</f>
        <v>0</v>
      </c>
      <c r="AQ80" s="183">
        <f>'ADJ DETAIL-INPUT'!AR79</f>
        <v>0</v>
      </c>
      <c r="AR80" s="183">
        <f>'ADJ DETAIL-INPUT'!AS79</f>
        <v>0</v>
      </c>
      <c r="AS80" s="183">
        <f>'ADJ DETAIL-INPUT'!AT79</f>
        <v>0</v>
      </c>
      <c r="AT80" s="183">
        <f>'ADJ DETAIL-INPUT'!AU79</f>
        <v>0</v>
      </c>
      <c r="AU80" s="183">
        <f>'ADJ DETAIL-INPUT'!AV79</f>
        <v>0</v>
      </c>
      <c r="AV80" s="183">
        <f>'ADJ DETAIL-INPUT'!AW79</f>
        <v>0</v>
      </c>
      <c r="AW80" s="183">
        <f>'ADJ DETAIL-INPUT'!AX79</f>
        <v>0</v>
      </c>
      <c r="AX80" s="183">
        <f>'ADJ DETAIL-INPUT'!AY79</f>
        <v>0</v>
      </c>
      <c r="AY80" s="183">
        <f>'ADJ DETAIL-INPUT'!AZ79</f>
        <v>0</v>
      </c>
      <c r="AZ80" s="183">
        <f>'ADJ DETAIL-INPUT'!BA79</f>
        <v>0</v>
      </c>
      <c r="BA80" s="183">
        <f>'ADJ DETAIL-INPUT'!BB79</f>
        <v>0</v>
      </c>
      <c r="BB80" s="183">
        <f>'ADJ DETAIL-INPUT'!BC79</f>
        <v>0</v>
      </c>
      <c r="BC80" s="183">
        <f>'ADJ DETAIL-INPUT'!BD79</f>
        <v>0</v>
      </c>
      <c r="BD80" s="183">
        <f>'ADJ DETAIL-INPUT'!BE79</f>
        <v>0</v>
      </c>
      <c r="BE80" s="183">
        <f>'ADJ DETAIL-INPUT'!BF79</f>
        <v>0</v>
      </c>
      <c r="BF80" s="183">
        <f>'ADJ DETAIL-INPUT'!BG79</f>
        <v>0</v>
      </c>
      <c r="BG80" s="183">
        <f>'ADJ DETAIL-INPUT'!BH79</f>
        <v>0</v>
      </c>
      <c r="BH80" s="183">
        <f>'ADJ DETAIL-INPUT'!BI79</f>
        <v>0</v>
      </c>
      <c r="BI80" s="183">
        <f>'ADJ DETAIL-INPUT'!BJ79</f>
        <v>0</v>
      </c>
      <c r="BJ80" s="183">
        <f>'ADJ DETAIL-INPUT'!BK79</f>
        <v>0</v>
      </c>
      <c r="BK80" s="183">
        <f>'ADJ DETAIL-INPUT'!BN79</f>
        <v>0</v>
      </c>
      <c r="BL80" s="183">
        <f>'ADJ DETAIL-INPUT'!BO79</f>
        <v>0</v>
      </c>
      <c r="BM80" s="183">
        <f>'ADJ DETAIL-INPUT'!BP79</f>
        <v>0</v>
      </c>
      <c r="BN80" s="183">
        <f>'ADJ DETAIL-INPUT'!BQ79</f>
        <v>0</v>
      </c>
      <c r="BO80" s="183">
        <f>'ADJ DETAIL-INPUT'!BR79</f>
        <v>0</v>
      </c>
      <c r="BP80" s="183">
        <f>'ADJ DETAIL-INPUT'!BS79</f>
        <v>0</v>
      </c>
      <c r="BQ80" s="183">
        <f>'ADJ DETAIL-INPUT'!BT79</f>
        <v>0</v>
      </c>
      <c r="BR80" s="183">
        <f>'ADJ DETAIL-INPUT'!BU79</f>
        <v>0</v>
      </c>
      <c r="BS80" s="183">
        <f>'ADJ DETAIL-INPUT'!BV79</f>
        <v>0</v>
      </c>
      <c r="BT80" s="183">
        <f>'ADJ DETAIL-INPUT'!BW79</f>
        <v>0</v>
      </c>
      <c r="BU80" s="183">
        <f>'ADJ DETAIL-INPUT'!BX79</f>
        <v>0</v>
      </c>
      <c r="BV80" s="183">
        <f>'ADJ DETAIL-INPUT'!BY79</f>
        <v>0</v>
      </c>
      <c r="BW80" s="183">
        <f>'ADJ DETAIL-INPUT'!BZ79</f>
        <v>0</v>
      </c>
      <c r="BX80" s="183">
        <f>'ADJ DETAIL-INPUT'!CA79</f>
        <v>0</v>
      </c>
      <c r="BY80" s="183">
        <f>'ADJ DETAIL-INPUT'!CB79</f>
        <v>0</v>
      </c>
    </row>
    <row r="81" spans="1:77" s="177" customFormat="1" ht="12.75" thickBot="1">
      <c r="A81" s="176">
        <f>'ADJ DETAIL-INPUT'!A80</f>
        <v>49</v>
      </c>
      <c r="B81" s="177" t="str">
        <f>'ADJ DETAIL-INPUT'!B80</f>
        <v xml:space="preserve">TOTAL RATE BASE  </v>
      </c>
      <c r="E81" s="189">
        <f>'ADJ DETAIL-INPUT'!E80</f>
        <v>2109184.7999999998</v>
      </c>
      <c r="F81" s="189">
        <f>'ADJ DETAIL-INPUT'!F80</f>
        <v>2942</v>
      </c>
      <c r="G81" s="189">
        <f>'ADJ DETAIL-INPUT'!G80</f>
        <v>0</v>
      </c>
      <c r="H81" s="189">
        <f>'ADJ DETAIL-INPUT'!H80</f>
        <v>-3239</v>
      </c>
      <c r="I81" s="189">
        <f>'ADJ DETAIL-INPUT'!I80</f>
        <v>-24878</v>
      </c>
      <c r="J81" s="189">
        <f>'ADJ DETAIL-INPUT'!J80</f>
        <v>0</v>
      </c>
      <c r="K81" s="189">
        <f>'ADJ DETAIL-INPUT'!K80</f>
        <v>0</v>
      </c>
      <c r="L81" s="189">
        <f>'ADJ DETAIL-INPUT'!L80</f>
        <v>0</v>
      </c>
      <c r="M81" s="189">
        <f>'ADJ DETAIL-INPUT'!M80</f>
        <v>0</v>
      </c>
      <c r="N81" s="189">
        <f>'ADJ DETAIL-INPUT'!N80</f>
        <v>0</v>
      </c>
      <c r="O81" s="189">
        <f>'ADJ DETAIL-INPUT'!O80</f>
        <v>0</v>
      </c>
      <c r="P81" s="189">
        <f>'ADJ DETAIL-INPUT'!P80</f>
        <v>0</v>
      </c>
      <c r="Q81" s="189">
        <f>'ADJ DETAIL-INPUT'!Q80</f>
        <v>0</v>
      </c>
      <c r="R81" s="189">
        <f>'ADJ DETAIL-INPUT'!R80</f>
        <v>0</v>
      </c>
      <c r="S81" s="189">
        <f>'ADJ DETAIL-INPUT'!S80</f>
        <v>0</v>
      </c>
      <c r="T81" s="189">
        <f>'ADJ DETAIL-INPUT'!T80</f>
        <v>0</v>
      </c>
      <c r="U81" s="189">
        <f>'ADJ DETAIL-INPUT'!U80</f>
        <v>0</v>
      </c>
      <c r="V81" s="189">
        <f>'ADJ DETAIL-INPUT'!V80</f>
        <v>0</v>
      </c>
      <c r="W81" s="189">
        <f>'ADJ DETAIL-INPUT'!W80</f>
        <v>0</v>
      </c>
      <c r="X81" s="189">
        <f>'ADJ DETAIL-INPUT'!X80</f>
        <v>53929.599999999999</v>
      </c>
      <c r="Y81" s="189">
        <f>'ADJ DETAIL-INPUT'!Y80</f>
        <v>0</v>
      </c>
      <c r="Z81" s="189">
        <f>'ADJ DETAIL-INPUT'!Z80</f>
        <v>0</v>
      </c>
      <c r="AA81" s="189">
        <f>'ADJ DETAIL-INPUT'!AA80</f>
        <v>0</v>
      </c>
      <c r="AB81" s="189">
        <f>'ADJ DETAIL-INPUT'!AB80</f>
        <v>0</v>
      </c>
      <c r="AC81" s="189">
        <f>'ADJ DETAIL-INPUT'!AC80</f>
        <v>0</v>
      </c>
      <c r="AD81" s="189">
        <f>'ADJ DETAIL-INPUT'!AE80</f>
        <v>0</v>
      </c>
      <c r="AE81" s="189">
        <f>'ADJ DETAIL-INPUT'!AF80</f>
        <v>0</v>
      </c>
      <c r="AF81" s="189">
        <f>'ADJ DETAIL-INPUT'!AG80</f>
        <v>0</v>
      </c>
      <c r="AG81" s="189">
        <f>'ADJ DETAIL-INPUT'!AH80</f>
        <v>0</v>
      </c>
      <c r="AH81" s="189">
        <f>'ADJ DETAIL-INPUT'!AI80</f>
        <v>0</v>
      </c>
      <c r="AI81" s="189">
        <f>'ADJ DETAIL-INPUT'!AJ80</f>
        <v>-7529</v>
      </c>
      <c r="AJ81" s="189">
        <f>'ADJ DETAIL-INPUT'!AK80</f>
        <v>0</v>
      </c>
      <c r="AK81" s="189">
        <f>'ADJ DETAIL-INPUT'!AL80</f>
        <v>0</v>
      </c>
      <c r="AL81" s="189">
        <f>'ADJ DETAIL-INPUT'!AM80</f>
        <v>0</v>
      </c>
      <c r="AM81" s="189">
        <f>'ADJ DETAIL-INPUT'!AN80</f>
        <v>0</v>
      </c>
      <c r="AN81" s="189">
        <f>'ADJ DETAIL-INPUT'!AO80</f>
        <v>0</v>
      </c>
      <c r="AO81" s="189">
        <f>'ADJ DETAIL-INPUT'!AP80</f>
        <v>0</v>
      </c>
      <c r="AP81" s="189">
        <f>'ADJ DETAIL-INPUT'!AQ80</f>
        <v>0</v>
      </c>
      <c r="AQ81" s="189">
        <f>'ADJ DETAIL-INPUT'!AR80</f>
        <v>0</v>
      </c>
      <c r="AR81" s="189">
        <f>'ADJ DETAIL-INPUT'!AS80</f>
        <v>0</v>
      </c>
      <c r="AS81" s="189">
        <f>'ADJ DETAIL-INPUT'!AT80</f>
        <v>0</v>
      </c>
      <c r="AT81" s="189">
        <f>'ADJ DETAIL-INPUT'!AU80</f>
        <v>83421.310559021265</v>
      </c>
      <c r="AU81" s="189">
        <f>'ADJ DETAIL-INPUT'!AV80</f>
        <v>0</v>
      </c>
      <c r="AV81" s="189">
        <f>'ADJ DETAIL-INPUT'!AW80</f>
        <v>70224.200000000012</v>
      </c>
      <c r="AW81" s="189">
        <f>'ADJ DETAIL-INPUT'!AX80</f>
        <v>0</v>
      </c>
      <c r="AX81" s="189">
        <f>'ADJ DETAIL-INPUT'!AY80</f>
        <v>0</v>
      </c>
      <c r="AY81" s="189">
        <f>'ADJ DETAIL-INPUT'!AZ80</f>
        <v>0</v>
      </c>
      <c r="AZ81" s="189">
        <f>'ADJ DETAIL-INPUT'!BA80</f>
        <v>0</v>
      </c>
      <c r="BA81" s="189">
        <f>'ADJ DETAIL-INPUT'!BB80</f>
        <v>0</v>
      </c>
      <c r="BB81" s="189">
        <f>'ADJ DETAIL-INPUT'!BC80</f>
        <v>0</v>
      </c>
      <c r="BC81" s="189">
        <f>'ADJ DETAIL-INPUT'!BD80</f>
        <v>0</v>
      </c>
      <c r="BD81" s="189">
        <f>'ADJ DETAIL-INPUT'!BE80</f>
        <v>25760.870174959498</v>
      </c>
      <c r="BE81" s="189">
        <f>'ADJ DETAIL-INPUT'!BF80</f>
        <v>0</v>
      </c>
      <c r="BF81" s="189">
        <f>'ADJ DETAIL-INPUT'!BG80</f>
        <v>0</v>
      </c>
      <c r="BG81" s="189">
        <f>'ADJ DETAIL-INPUT'!BH80</f>
        <v>0</v>
      </c>
      <c r="BH81" s="189">
        <f>'ADJ DETAIL-INPUT'!BI80</f>
        <v>0</v>
      </c>
      <c r="BI81" s="189">
        <f>'ADJ DETAIL-INPUT'!BJ80</f>
        <v>0</v>
      </c>
      <c r="BJ81" s="189">
        <f>'ADJ DETAIL-INPUT'!BK80</f>
        <v>0</v>
      </c>
      <c r="BK81" s="189">
        <f>'ADJ DETAIL-INPUT'!BN80</f>
        <v>0</v>
      </c>
      <c r="BL81" s="189">
        <f>'ADJ DETAIL-INPUT'!BO80</f>
        <v>0</v>
      </c>
      <c r="BM81" s="189">
        <f>'ADJ DETAIL-INPUT'!BP80</f>
        <v>-2992</v>
      </c>
      <c r="BN81" s="189">
        <f>'ADJ DETAIL-INPUT'!BQ80</f>
        <v>0</v>
      </c>
      <c r="BO81" s="189">
        <f>'ADJ DETAIL-INPUT'!BR80</f>
        <v>0</v>
      </c>
      <c r="BP81" s="189">
        <f>'ADJ DETAIL-INPUT'!BS80</f>
        <v>0</v>
      </c>
      <c r="BQ81" s="189">
        <f>'ADJ DETAIL-INPUT'!BT80</f>
        <v>0</v>
      </c>
      <c r="BR81" s="189">
        <f>'ADJ DETAIL-INPUT'!BU80</f>
        <v>0</v>
      </c>
      <c r="BS81" s="189">
        <f>'ADJ DETAIL-INPUT'!BV80</f>
        <v>93236.1</v>
      </c>
      <c r="BT81" s="189">
        <f>'ADJ DETAIL-INPUT'!BW80</f>
        <v>0</v>
      </c>
      <c r="BU81" s="189">
        <f>'ADJ DETAIL-INPUT'!BX80</f>
        <v>0</v>
      </c>
      <c r="BV81" s="189">
        <f>'ADJ DETAIL-INPUT'!BY80</f>
        <v>0</v>
      </c>
      <c r="BW81" s="189">
        <f>'ADJ DETAIL-INPUT'!BZ80</f>
        <v>0</v>
      </c>
      <c r="BX81" s="189">
        <f>'ADJ DETAIL-INPUT'!CA80</f>
        <v>0</v>
      </c>
      <c r="BY81" s="189">
        <f>'ADJ DETAIL-INPUT'!CB80</f>
        <v>0</v>
      </c>
    </row>
  </sheetData>
  <sheetProtection formatCells="0" formatColumns="0" formatRows="0" insertColumns="0" insertRows="0" insertHyperlinks="0" deleteColumns="0" deleteRows="0" sort="0" autoFilter="0" pivotTables="0"/>
  <pageMargins left="1.25" right="0.51" top="0.4" bottom="0.5" header="0.27" footer="0.5"/>
  <pageSetup scale="83" firstPageNumber="4" fitToWidth="3" orientation="portrait" r:id="rId1"/>
  <headerFooter scaleWithDoc="0" alignWithMargins="0"/>
  <colBreaks count="72" manualBreakCount="72">
    <brk id="5" max="80" man="1"/>
    <brk id="6" max="80" man="1"/>
    <brk id="7" max="1048575" man="1"/>
    <brk id="8" max="1048575" man="1"/>
    <brk id="9" max="1048575" man="1"/>
    <brk id="10" max="1048575" man="1"/>
    <brk id="11" max="1048575" man="1"/>
    <brk id="12" max="1048575" man="1"/>
    <brk id="13" max="1048575" man="1"/>
    <brk id="14" max="1048575" man="1"/>
    <brk id="15" max="1048575" man="1"/>
    <brk id="16" max="1048575" man="1"/>
    <brk id="17" max="1048575" man="1"/>
    <brk id="18" max="1048575" man="1"/>
    <brk id="19" max="1048575" man="1"/>
    <brk id="20" max="1048575" man="1"/>
    <brk id="21" max="1048575" man="1"/>
    <brk id="22" max="1048575" man="1"/>
    <brk id="23" max="1048575" man="1"/>
    <brk id="24" max="1048575" man="1"/>
    <brk id="25" max="1048575" man="1"/>
    <brk id="26" max="1048575" man="1"/>
    <brk id="27" max="1048575" man="1"/>
    <brk id="28" max="1048575" man="1"/>
    <brk id="29" max="1048575" man="1"/>
    <brk id="30" max="1048575" man="1"/>
    <brk id="31" max="1048575" man="1"/>
    <brk id="32" max="1048575" man="1"/>
    <brk id="33" max="1048575" man="1"/>
    <brk id="34" max="1048575" man="1"/>
    <brk id="35" max="1048575" man="1"/>
    <brk id="36" max="1048575" man="1"/>
    <brk id="37" max="1048575" man="1"/>
    <brk id="38" max="1048575" man="1"/>
    <brk id="39" max="1048575" man="1"/>
    <brk id="40" max="1048575" man="1"/>
    <brk id="41" max="1048575" man="1"/>
    <brk id="42" max="1048575" man="1"/>
    <brk id="43" max="1048575" man="1"/>
    <brk id="44" max="1048575" man="1"/>
    <brk id="45" max="1048575" man="1"/>
    <brk id="46" max="1048575" man="1"/>
    <brk id="47" max="1048575" man="1"/>
    <brk id="48" max="1048575" man="1"/>
    <brk id="49" max="1048575" man="1"/>
    <brk id="50" max="1048575" man="1"/>
    <brk id="51" max="1048575" man="1"/>
    <brk id="52" max="1048575" man="1"/>
    <brk id="53" max="1048575" man="1"/>
    <brk id="54" max="1048575" man="1"/>
    <brk id="55" max="1048575" man="1"/>
    <brk id="56" max="1048575" man="1"/>
    <brk id="57" max="1048575" man="1"/>
    <brk id="58" max="1048575" man="1"/>
    <brk id="59" max="1048575" man="1"/>
    <brk id="60" max="1048575" man="1"/>
    <brk id="61" max="1048575" man="1"/>
    <brk id="62" max="1048575" man="1"/>
    <brk id="63" max="1048575" man="1"/>
    <brk id="64" max="1048575" man="1"/>
    <brk id="65" max="1048575" man="1"/>
    <brk id="66" max="1048575" man="1"/>
    <brk id="67" max="1048575" man="1"/>
    <brk id="68" max="1048575" man="1"/>
    <brk id="69" max="1048575" man="1"/>
    <brk id="70" max="1048575" man="1"/>
    <brk id="71" max="1048575" man="1"/>
    <brk id="72" max="1048575" man="1"/>
    <brk id="73" max="80" man="1"/>
    <brk id="74" max="80" man="1"/>
    <brk id="75" max="80" man="1"/>
    <brk id="76" max="80"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8BDEC0653D6204DB4E9E8901B172BDA" ma:contentTypeVersion="12" ma:contentTypeDescription="" ma:contentTypeScope="" ma:versionID="a62138672b42b0a00d8b2cb47fd6bcc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2024-01-03T08:00:00+00:00</OpenedDate>
    <SignificantOrder xmlns="dc463f71-b30c-4ab2-9473-d307f9d35888">false</SignificantOrder>
    <Date1 xmlns="dc463f71-b30c-4ab2-9473-d307f9d35888">2024-07-03T07:00:00+00:00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240006</DocketNumber>
    <DelegatedOrder xmlns="dc463f71-b30c-4ab2-9473-d307f9d35888">false</DelegatedOrder>
  </documentManagement>
</p:properties>
</file>

<file path=customXml/itemProps1.xml><?xml version="1.0" encoding="utf-8"?>
<ds:datastoreItem xmlns:ds="http://schemas.openxmlformats.org/officeDocument/2006/customXml" ds:itemID="{67ECB6DB-3DFF-4287-972B-750595246986}"/>
</file>

<file path=customXml/itemProps2.xml><?xml version="1.0" encoding="utf-8"?>
<ds:datastoreItem xmlns:ds="http://schemas.openxmlformats.org/officeDocument/2006/customXml" ds:itemID="{7D54BA41-1220-4B66-80C1-672CABA9A7A4}"/>
</file>

<file path=customXml/itemProps3.xml><?xml version="1.0" encoding="utf-8"?>
<ds:datastoreItem xmlns:ds="http://schemas.openxmlformats.org/officeDocument/2006/customXml" ds:itemID="{D716B62F-1FD0-45A4-8DD6-8D14C95AFC65}"/>
</file>

<file path=customXml/itemProps4.xml><?xml version="1.0" encoding="utf-8"?>
<ds:datastoreItem xmlns:ds="http://schemas.openxmlformats.org/officeDocument/2006/customXml" ds:itemID="{A81380D8-641E-428E-B5AB-822B79EE04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12</vt:i4>
      </vt:variant>
    </vt:vector>
  </HeadingPairs>
  <TitlesOfParts>
    <vt:vector size="28" baseType="lpstr">
      <vt:lpstr>Exh. BGM-3 (Sum)</vt:lpstr>
      <vt:lpstr>Exh. BGM-3 (Detail)</vt:lpstr>
      <vt:lpstr>Table 1</vt:lpstr>
      <vt:lpstr>Table 2</vt:lpstr>
      <vt:lpstr>AVA Model (Per Filing) -&gt;</vt:lpstr>
      <vt:lpstr>PROPOSED RATES-12.2024</vt:lpstr>
      <vt:lpstr>PROPOSED RATES-12.2025</vt:lpstr>
      <vt:lpstr>RR Summary</vt:lpstr>
      <vt:lpstr>CF </vt:lpstr>
      <vt:lpstr>ADJ DETAIL-INPUT</vt:lpstr>
      <vt:lpstr>ADJ SUMMARY</vt:lpstr>
      <vt:lpstr>CF WA Elec</vt:lpstr>
      <vt:lpstr>ROO INPUT 1.00</vt:lpstr>
      <vt:lpstr>DEBT CALC 2.14</vt:lpstr>
      <vt:lpstr>Recap Sum Comparison</vt:lpstr>
      <vt:lpstr>LEAD SHEETS-DO NOT ENTER</vt:lpstr>
      <vt:lpstr>'ADJ DETAIL-INPUT'!Print_Area</vt:lpstr>
      <vt:lpstr>'ADJ SUMMARY'!Print_Area</vt:lpstr>
      <vt:lpstr>'CF '!Print_Area</vt:lpstr>
      <vt:lpstr>'DEBT CALC 2.14'!Print_Area</vt:lpstr>
      <vt:lpstr>'Exh. BGM-3 (Detail)'!Print_Area</vt:lpstr>
      <vt:lpstr>'Exh. BGM-3 (Sum)'!Print_Area</vt:lpstr>
      <vt:lpstr>'LEAD SHEETS-DO NOT ENTER'!Print_Area</vt:lpstr>
      <vt:lpstr>'PROPOSED RATES-12.2025'!Print_Area</vt:lpstr>
      <vt:lpstr>'RR Summary'!Print_Area</vt:lpstr>
      <vt:lpstr>'ADJ DETAIL-INPUT'!Print_Titles</vt:lpstr>
      <vt:lpstr>'Exh. BGM-3 (Detail)'!Print_Titles</vt:lpstr>
      <vt:lpstr>'Exh. BGM-3 (Sum)'!Print_Titles</vt:lpstr>
    </vt:vector>
  </TitlesOfParts>
  <Company>Micron Electronics,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dc:title>
  <dc:creator>Preferred Customer</dc:creator>
  <cp:lastModifiedBy>Bradley Mullins</cp:lastModifiedBy>
  <cp:lastPrinted>2024-01-05T00:29:29Z</cp:lastPrinted>
  <dcterms:created xsi:type="dcterms:W3CDTF">1997-05-15T21:41:44Z</dcterms:created>
  <dcterms:modified xsi:type="dcterms:W3CDTF">2024-07-02T14:41:19Z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0x0101006E56B4D1795A2E4DB2F0B01679ED314A0088BDEC0653D6204DB4E9E8901B172BDA</vt:lpwstr>
  </property>
  <property fmtid="{D5CDD505-2E9C-101B-9397-08002B2CF9AE}" pid="3" name="_docset_NoMedatataSyncRequired">
    <vt:lpwstr>False</vt:lpwstr>
  </property>
</Properties>
</file>