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A ERM and REC Reports\2018\Final Report\09.2018\"/>
    </mc:Choice>
  </mc:AlternateContent>
  <bookViews>
    <workbookView xWindow="-15" yWindow="4530" windowWidth="12120" windowHeight="3300" tabRatio="796" firstSheet="4" activeTab="6"/>
  </bookViews>
  <sheets>
    <sheet name="WA bud vs auth" sheetId="8" state="hidden" r:id="rId1"/>
    <sheet name="WA act vs auth" sheetId="7" state="hidden" r:id="rId2"/>
    <sheet name="Directions" sheetId="11" state="hidden" r:id="rId3"/>
    <sheet name="Input Tab" sheetId="27" state="hidden" r:id="rId4"/>
    <sheet name="WA Summary " sheetId="10" r:id="rId5"/>
    <sheet name="WA Monthly" sheetId="6" r:id="rId6"/>
    <sheet name="WA RRC" sheetId="24" r:id="rId7"/>
    <sheet name="ID Rec Adjustment" sheetId="25" state="hidden" r:id="rId8"/>
    <sheet name="Notes" sheetId="19" state="hidden" r:id="rId9"/>
    <sheet name="Our Focus" sheetId="21" state="hidden" r:id="rId10"/>
    <sheet name="RRC Instructions" sheetId="22" state="hidden" r:id="rId11"/>
  </sheets>
  <definedNames>
    <definedName name="AVARpt">'WA Monthly'!$A$6:$P$135</definedName>
    <definedName name="DefRpt">'WA Monthly'!$P$81</definedName>
    <definedName name="GLAccts">'WA Monthly'!$B$83:$R$123</definedName>
    <definedName name="IDAVARpt">#REF!</definedName>
    <definedName name="IDRevRpt">#REF!</definedName>
    <definedName name="INputs">#REF!</definedName>
    <definedName name="_xlnm.Print_Area" localSheetId="9">'Our Focus'!$A$1:$E$33</definedName>
    <definedName name="_xlnm.Print_Area" localSheetId="1">'WA act vs auth'!$BN$1:$BR$77</definedName>
    <definedName name="_xlnm.Print_Area" localSheetId="0">'WA bud vs auth'!$AP$30:$AR$79</definedName>
    <definedName name="_xlnm.Print_Area" localSheetId="5">'WA Monthly'!$A$1:$R$137</definedName>
    <definedName name="_xlnm.Print_Area" localSheetId="6">'WA RRC'!$A$1:$N$15</definedName>
    <definedName name="_xlnm.Print_Area" localSheetId="4">'WA Summary '!$A$1:$Q$41</definedName>
    <definedName name="_xlnm.Print_Titles" localSheetId="1">'WA act vs auth'!$A:$A</definedName>
    <definedName name="_xlnm.Print_Titles" localSheetId="0">'WA bud vs auth'!$A:$A,'WA bud vs auth'!$1:$2</definedName>
    <definedName name="_xlnm.Print_Titles" localSheetId="5">'WA Monthly'!$A:$D,'WA Monthly'!$1:$5</definedName>
    <definedName name="WAAVARpt">'WA Monthly'!$A$6:$P$135</definedName>
  </definedNames>
  <calcPr calcId="152511" fullPrecision="0"/>
</workbook>
</file>

<file path=xl/calcChain.xml><?xml version="1.0" encoding="utf-8"?>
<calcChain xmlns="http://schemas.openxmlformats.org/spreadsheetml/2006/main">
  <c r="K38" i="27" l="1"/>
  <c r="K80" i="27"/>
  <c r="K79" i="27"/>
  <c r="K54" i="27"/>
  <c r="K53" i="27"/>
  <c r="K46" i="27" l="1"/>
  <c r="K45" i="27"/>
  <c r="J80" i="27" l="1"/>
  <c r="J79" i="27"/>
  <c r="J54" i="27"/>
  <c r="J53" i="27"/>
  <c r="J46" i="27" l="1"/>
  <c r="J45" i="27"/>
  <c r="J38" i="27"/>
  <c r="N41" i="27" l="1"/>
  <c r="M41" i="27"/>
  <c r="I38" i="27" l="1"/>
  <c r="I53" i="27" l="1"/>
  <c r="I79" i="27"/>
  <c r="I80" i="27"/>
  <c r="I54" i="27"/>
  <c r="I45" i="27" l="1"/>
  <c r="I46" i="27"/>
  <c r="H80" i="27" l="1"/>
  <c r="H54" i="27"/>
  <c r="H79" i="27" l="1"/>
  <c r="H53" i="27"/>
  <c r="H46" i="27" l="1"/>
  <c r="H45" i="27"/>
  <c r="H38" i="27"/>
  <c r="G80" i="27" l="1"/>
  <c r="G79" i="27"/>
  <c r="G54" i="27"/>
  <c r="G53" i="27" l="1"/>
  <c r="G46" i="27" l="1"/>
  <c r="G45" i="27"/>
  <c r="G38" i="27"/>
  <c r="F80" i="27" l="1"/>
  <c r="F54" i="27"/>
  <c r="F53" i="27" l="1"/>
  <c r="F79" i="27"/>
  <c r="F46" i="27" l="1"/>
  <c r="F45" i="27"/>
  <c r="F38" i="27"/>
  <c r="F22" i="27"/>
  <c r="E80" i="27" l="1"/>
  <c r="E54" i="27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 l="1"/>
  <c r="E45" i="27"/>
  <c r="E46" i="27"/>
  <c r="E53" i="27" l="1"/>
  <c r="E79" i="27"/>
  <c r="E38" i="27" l="1"/>
  <c r="E37" i="27"/>
  <c r="D79" i="27" l="1"/>
  <c r="D53" i="27"/>
  <c r="D80" i="27"/>
  <c r="D54" i="27"/>
  <c r="D46" i="27" l="1"/>
  <c r="D45" i="27"/>
  <c r="D38" i="27"/>
  <c r="C80" i="27" l="1"/>
  <c r="C79" i="27"/>
  <c r="C54" i="27"/>
  <c r="C53" i="27"/>
  <c r="C19" i="27" l="1"/>
  <c r="C46" i="27" l="1"/>
  <c r="C45" i="27"/>
  <c r="C38" i="27"/>
  <c r="P51" i="6"/>
  <c r="O51" i="6"/>
  <c r="N51" i="6"/>
  <c r="M51" i="6"/>
  <c r="L51" i="6"/>
  <c r="K51" i="6"/>
  <c r="J51" i="6"/>
  <c r="I51" i="6"/>
  <c r="H51" i="6"/>
  <c r="G51" i="6"/>
  <c r="F51" i="6"/>
  <c r="E51" i="6"/>
  <c r="B9" i="24" l="1"/>
  <c r="F41" i="27" l="1"/>
  <c r="E41" i="27"/>
  <c r="D41" i="27"/>
  <c r="C41" i="27"/>
  <c r="P42" i="6" l="1"/>
  <c r="M25" i="27"/>
  <c r="O14" i="6" s="1"/>
  <c r="O19" i="6"/>
  <c r="N42" i="6"/>
  <c r="N19" i="6"/>
  <c r="M43" i="6"/>
  <c r="K42" i="6"/>
  <c r="J43" i="6"/>
  <c r="F8" i="24"/>
  <c r="A4" i="8"/>
  <c r="B4" i="8"/>
  <c r="G4" i="8"/>
  <c r="C4" i="8"/>
  <c r="H4" i="8"/>
  <c r="K4" i="8"/>
  <c r="L4" i="8" s="1"/>
  <c r="O4" i="8"/>
  <c r="S4" i="8"/>
  <c r="T4" i="8" s="1"/>
  <c r="W4" i="8"/>
  <c r="X4" i="8"/>
  <c r="AA4" i="8"/>
  <c r="AB4" i="8" s="1"/>
  <c r="AE4" i="8"/>
  <c r="AE13" i="8" s="1"/>
  <c r="AE15" i="8" s="1"/>
  <c r="AI4" i="8"/>
  <c r="AJ4" i="8" s="1"/>
  <c r="AM4" i="8"/>
  <c r="AN4" i="8"/>
  <c r="AQ4" i="8"/>
  <c r="AR4" i="8" s="1"/>
  <c r="AU4" i="8"/>
  <c r="AY4" i="8"/>
  <c r="AZ4" i="8" s="1"/>
  <c r="A5" i="8"/>
  <c r="B5" i="8"/>
  <c r="G5" i="8"/>
  <c r="C5" i="8" s="1"/>
  <c r="H5" i="8"/>
  <c r="K5" i="8"/>
  <c r="L5" i="8"/>
  <c r="O5" i="8"/>
  <c r="P5" i="8" s="1"/>
  <c r="S5" i="8"/>
  <c r="T5" i="8"/>
  <c r="W5" i="8"/>
  <c r="X5" i="8" s="1"/>
  <c r="AA5" i="8"/>
  <c r="AB5" i="8"/>
  <c r="AE5" i="8"/>
  <c r="AF5" i="8" s="1"/>
  <c r="AI5" i="8"/>
  <c r="AJ5" i="8"/>
  <c r="AM5" i="8"/>
  <c r="AN5" i="8" s="1"/>
  <c r="AQ5" i="8"/>
  <c r="AR5" i="8"/>
  <c r="AU5" i="8"/>
  <c r="AV5" i="8" s="1"/>
  <c r="AY5" i="8"/>
  <c r="AZ5" i="8"/>
  <c r="A6" i="8"/>
  <c r="F6" i="8"/>
  <c r="G6" i="8"/>
  <c r="C6" i="8"/>
  <c r="H6" i="8"/>
  <c r="J6" i="8"/>
  <c r="K6" i="8"/>
  <c r="N6" i="8"/>
  <c r="O6" i="8"/>
  <c r="R6" i="8"/>
  <c r="S6" i="8"/>
  <c r="T6" i="8" s="1"/>
  <c r="W6" i="8"/>
  <c r="X6" i="8"/>
  <c r="AA6" i="8"/>
  <c r="AB6" i="8" s="1"/>
  <c r="AE6" i="8"/>
  <c r="AF6" i="8"/>
  <c r="AI6" i="8"/>
  <c r="AJ6" i="8" s="1"/>
  <c r="AM6" i="8"/>
  <c r="AN6" i="8"/>
  <c r="AQ6" i="8"/>
  <c r="AR6" i="8" s="1"/>
  <c r="AU6" i="8"/>
  <c r="AV6" i="8"/>
  <c r="AY6" i="8"/>
  <c r="AZ6" i="8" s="1"/>
  <c r="B7" i="8"/>
  <c r="G7" i="8"/>
  <c r="H7" i="8" s="1"/>
  <c r="C7" i="8"/>
  <c r="D7" i="8" s="1"/>
  <c r="K7" i="8"/>
  <c r="L7" i="8"/>
  <c r="O7" i="8"/>
  <c r="P7" i="8" s="1"/>
  <c r="S7" i="8"/>
  <c r="T7" i="8"/>
  <c r="W7" i="8"/>
  <c r="X7" i="8" s="1"/>
  <c r="AA7" i="8"/>
  <c r="AB7" i="8"/>
  <c r="AE7" i="8"/>
  <c r="AF7" i="8" s="1"/>
  <c r="AI7" i="8"/>
  <c r="AJ7" i="8"/>
  <c r="AM7" i="8"/>
  <c r="AN7" i="8" s="1"/>
  <c r="AQ7" i="8"/>
  <c r="AR7" i="8"/>
  <c r="AU7" i="8"/>
  <c r="AV7" i="8" s="1"/>
  <c r="AY7" i="8"/>
  <c r="AZ7" i="8"/>
  <c r="A8" i="8"/>
  <c r="B8" i="8"/>
  <c r="G8" i="8"/>
  <c r="H8" i="8" s="1"/>
  <c r="C8" i="8"/>
  <c r="D8" i="8" s="1"/>
  <c r="K8" i="8"/>
  <c r="L8" i="8"/>
  <c r="O8" i="8"/>
  <c r="P8" i="8" s="1"/>
  <c r="S8" i="8"/>
  <c r="T8" i="8"/>
  <c r="W8" i="8"/>
  <c r="X8" i="8" s="1"/>
  <c r="AA8" i="8"/>
  <c r="AB8" i="8"/>
  <c r="AE8" i="8"/>
  <c r="AF8" i="8" s="1"/>
  <c r="AI8" i="8"/>
  <c r="AJ8" i="8"/>
  <c r="AM8" i="8"/>
  <c r="AN8" i="8" s="1"/>
  <c r="AQ8" i="8"/>
  <c r="AR8" i="8"/>
  <c r="AU8" i="8"/>
  <c r="AV8" i="8" s="1"/>
  <c r="AY8" i="8"/>
  <c r="AZ8" i="8"/>
  <c r="B10" i="8"/>
  <c r="B11" i="8"/>
  <c r="A13" i="8"/>
  <c r="F13" i="8"/>
  <c r="G13" i="8"/>
  <c r="K13" i="8"/>
  <c r="K15" i="8" s="1"/>
  <c r="R13" i="8"/>
  <c r="S13" i="8"/>
  <c r="V13" i="8"/>
  <c r="W13" i="8"/>
  <c r="W15" i="8" s="1"/>
  <c r="Z13" i="8"/>
  <c r="AA13" i="8"/>
  <c r="AB13" i="8" s="1"/>
  <c r="AD13" i="8"/>
  <c r="AH13" i="8"/>
  <c r="AI13" i="8"/>
  <c r="AL13" i="8"/>
  <c r="AM13" i="8"/>
  <c r="AP13" i="8"/>
  <c r="AQ13" i="8"/>
  <c r="AR13" i="8"/>
  <c r="AT13" i="8"/>
  <c r="AX13" i="8"/>
  <c r="AY13" i="8"/>
  <c r="G15" i="8"/>
  <c r="R15" i="8"/>
  <c r="S15" i="8"/>
  <c r="V15" i="8"/>
  <c r="Z15" i="8"/>
  <c r="AD15" i="8"/>
  <c r="AF15" i="8"/>
  <c r="AF19" i="8" s="1"/>
  <c r="AF21" i="8" s="1"/>
  <c r="AI15" i="8"/>
  <c r="AM15" i="8"/>
  <c r="AP15" i="8"/>
  <c r="AQ15" i="8"/>
  <c r="AT15" i="8"/>
  <c r="AX15" i="8"/>
  <c r="AY15" i="8"/>
  <c r="B16" i="8"/>
  <c r="D16" i="8" s="1"/>
  <c r="H16" i="8"/>
  <c r="L16" i="8"/>
  <c r="P16" i="8"/>
  <c r="T16" i="8"/>
  <c r="X16" i="8"/>
  <c r="AB16" i="8"/>
  <c r="AF16" i="8"/>
  <c r="AJ16" i="8"/>
  <c r="AN16" i="8"/>
  <c r="AR16" i="8"/>
  <c r="AV16" i="8"/>
  <c r="AZ16" i="8"/>
  <c r="A17" i="8"/>
  <c r="B17" i="8"/>
  <c r="D17" i="8"/>
  <c r="H17" i="8"/>
  <c r="L17" i="8"/>
  <c r="P17" i="8"/>
  <c r="T17" i="8"/>
  <c r="X17" i="8"/>
  <c r="AB17" i="8"/>
  <c r="AF17" i="8"/>
  <c r="AJ17" i="8"/>
  <c r="AN17" i="8"/>
  <c r="AR17" i="8"/>
  <c r="AV17" i="8"/>
  <c r="AZ17" i="8"/>
  <c r="AY19" i="8"/>
  <c r="B30" i="8"/>
  <c r="B29" i="8"/>
  <c r="C30" i="8"/>
  <c r="C29" i="8" s="1"/>
  <c r="D30" i="8"/>
  <c r="H30" i="8"/>
  <c r="H54" i="8" s="1"/>
  <c r="L30" i="8"/>
  <c r="P30" i="8"/>
  <c r="T30" i="8"/>
  <c r="T54" i="8" s="1"/>
  <c r="X30" i="8"/>
  <c r="X54" i="8" s="1"/>
  <c r="AB30" i="8"/>
  <c r="AF30" i="8"/>
  <c r="AJ30" i="8"/>
  <c r="AJ54" i="8" s="1"/>
  <c r="AN30" i="8"/>
  <c r="AN54" i="8" s="1"/>
  <c r="AR30" i="8"/>
  <c r="AV30" i="8"/>
  <c r="AZ30" i="8"/>
  <c r="AZ54" i="8" s="1"/>
  <c r="C31" i="8"/>
  <c r="C28" i="8" s="1"/>
  <c r="F31" i="8"/>
  <c r="H31" i="8"/>
  <c r="H55" i="8" s="1"/>
  <c r="J31" i="8"/>
  <c r="L31" i="8" s="1"/>
  <c r="N31" i="8"/>
  <c r="P31" i="8"/>
  <c r="R31" i="8"/>
  <c r="T31" i="8" s="1"/>
  <c r="T55" i="8" s="1"/>
  <c r="V31" i="8"/>
  <c r="X31" i="8"/>
  <c r="X55" i="8" s="1"/>
  <c r="Z31" i="8"/>
  <c r="AB31" i="8" s="1"/>
  <c r="AB55" i="8" s="1"/>
  <c r="AD31" i="8"/>
  <c r="AF31" i="8"/>
  <c r="AH31" i="8"/>
  <c r="AJ31" i="8" s="1"/>
  <c r="AJ55" i="8" s="1"/>
  <c r="AL31" i="8"/>
  <c r="AN31" i="8"/>
  <c r="AN55" i="8" s="1"/>
  <c r="AP31" i="8"/>
  <c r="AR31" i="8" s="1"/>
  <c r="AT31" i="8"/>
  <c r="AV31" i="8"/>
  <c r="AV55" i="8" s="1"/>
  <c r="AX31" i="8"/>
  <c r="AZ31" i="8" s="1"/>
  <c r="AZ55" i="8" s="1"/>
  <c r="B33" i="8"/>
  <c r="C33" i="8"/>
  <c r="D33" i="8"/>
  <c r="H33" i="8"/>
  <c r="L33" i="8"/>
  <c r="P33" i="8"/>
  <c r="T33" i="8"/>
  <c r="X33" i="8"/>
  <c r="AB33" i="8"/>
  <c r="AF33" i="8"/>
  <c r="AJ33" i="8"/>
  <c r="AN33" i="8"/>
  <c r="AR33" i="8"/>
  <c r="AV33" i="8"/>
  <c r="AZ33" i="8"/>
  <c r="B34" i="8"/>
  <c r="C34" i="8"/>
  <c r="D34" i="8"/>
  <c r="H34" i="8"/>
  <c r="H66" i="8" s="1"/>
  <c r="L34" i="8"/>
  <c r="P34" i="8"/>
  <c r="T34" i="8"/>
  <c r="X34" i="8"/>
  <c r="AB34" i="8"/>
  <c r="AF34" i="8"/>
  <c r="AJ34" i="8"/>
  <c r="AN34" i="8"/>
  <c r="AR34" i="8"/>
  <c r="AV34" i="8"/>
  <c r="AZ34" i="8"/>
  <c r="B35" i="8"/>
  <c r="C35" i="8"/>
  <c r="H35" i="8"/>
  <c r="L35" i="8"/>
  <c r="P35" i="8"/>
  <c r="T35" i="8"/>
  <c r="X35" i="8"/>
  <c r="AB35" i="8"/>
  <c r="AF35" i="8"/>
  <c r="AJ35" i="8"/>
  <c r="AN35" i="8"/>
  <c r="AR35" i="8"/>
  <c r="AV35" i="8"/>
  <c r="AZ35" i="8"/>
  <c r="B36" i="8"/>
  <c r="C36" i="8"/>
  <c r="H36" i="8"/>
  <c r="L36" i="8"/>
  <c r="P36" i="8"/>
  <c r="T36" i="8"/>
  <c r="X36" i="8"/>
  <c r="AB36" i="8"/>
  <c r="AF36" i="8"/>
  <c r="AJ36" i="8"/>
  <c r="AN36" i="8"/>
  <c r="AR36" i="8"/>
  <c r="AV36" i="8"/>
  <c r="AZ36" i="8"/>
  <c r="B37" i="8"/>
  <c r="C37" i="8"/>
  <c r="D37" i="8"/>
  <c r="H37" i="8"/>
  <c r="L37" i="8"/>
  <c r="P37" i="8"/>
  <c r="T37" i="8"/>
  <c r="X37" i="8"/>
  <c r="AB37" i="8"/>
  <c r="AF37" i="8"/>
  <c r="AJ37" i="8"/>
  <c r="AN37" i="8"/>
  <c r="AR37" i="8"/>
  <c r="AV37" i="8"/>
  <c r="AZ37" i="8"/>
  <c r="B38" i="8"/>
  <c r="C38" i="8"/>
  <c r="D38" i="8"/>
  <c r="H38" i="8"/>
  <c r="H68" i="8" s="1"/>
  <c r="L38" i="8"/>
  <c r="P38" i="8"/>
  <c r="T38" i="8"/>
  <c r="X38" i="8"/>
  <c r="AB38" i="8"/>
  <c r="AF38" i="8"/>
  <c r="AJ38" i="8"/>
  <c r="AN38" i="8"/>
  <c r="AR38" i="8"/>
  <c r="AV38" i="8"/>
  <c r="AZ38" i="8"/>
  <c r="B39" i="8"/>
  <c r="C39" i="8"/>
  <c r="H39" i="8"/>
  <c r="H60" i="8" s="1"/>
  <c r="L39" i="8"/>
  <c r="P39" i="8"/>
  <c r="T39" i="8"/>
  <c r="X39" i="8"/>
  <c r="AB39" i="8"/>
  <c r="AF39" i="8"/>
  <c r="AJ39" i="8"/>
  <c r="AN39" i="8"/>
  <c r="AR39" i="8"/>
  <c r="AV39" i="8"/>
  <c r="AZ39" i="8"/>
  <c r="B40" i="8"/>
  <c r="F40" i="8"/>
  <c r="G40" i="8"/>
  <c r="H40" i="8"/>
  <c r="J40" i="8"/>
  <c r="K40" i="8"/>
  <c r="L40" i="8"/>
  <c r="N40" i="8"/>
  <c r="O40" i="8"/>
  <c r="R40" i="8"/>
  <c r="S40" i="8"/>
  <c r="V40" i="8"/>
  <c r="W40" i="8"/>
  <c r="X40" i="8"/>
  <c r="Z40" i="8"/>
  <c r="AA40" i="8"/>
  <c r="AB40" i="8"/>
  <c r="AD40" i="8"/>
  <c r="AE40" i="8"/>
  <c r="AH40" i="8"/>
  <c r="AI40" i="8"/>
  <c r="AL40" i="8"/>
  <c r="AM40" i="8"/>
  <c r="AN40" i="8"/>
  <c r="AP40" i="8"/>
  <c r="AQ40" i="8"/>
  <c r="AR40" i="8"/>
  <c r="AT40" i="8"/>
  <c r="AU40" i="8"/>
  <c r="AX40" i="8"/>
  <c r="AY40" i="8"/>
  <c r="H42" i="8"/>
  <c r="L42" i="8"/>
  <c r="P42" i="8"/>
  <c r="T42" i="8"/>
  <c r="X42" i="8"/>
  <c r="AB42" i="8"/>
  <c r="AF42" i="8"/>
  <c r="AJ42" i="8"/>
  <c r="AN42" i="8"/>
  <c r="AR42" i="8"/>
  <c r="AV42" i="8"/>
  <c r="AZ42" i="8"/>
  <c r="H43" i="8"/>
  <c r="L43" i="8"/>
  <c r="P43" i="8"/>
  <c r="T43" i="8"/>
  <c r="X43" i="8"/>
  <c r="AB43" i="8"/>
  <c r="AF43" i="8"/>
  <c r="AJ43" i="8"/>
  <c r="AN43" i="8"/>
  <c r="AR43" i="8"/>
  <c r="AV43" i="8"/>
  <c r="AZ43" i="8"/>
  <c r="B46" i="8"/>
  <c r="H47" i="8"/>
  <c r="L47" i="8"/>
  <c r="P47" i="8"/>
  <c r="T47" i="8"/>
  <c r="X47" i="8"/>
  <c r="AB47" i="8"/>
  <c r="AF47" i="8"/>
  <c r="AJ47" i="8"/>
  <c r="AN47" i="8"/>
  <c r="AR47" i="8"/>
  <c r="AV47" i="8"/>
  <c r="AZ47" i="8"/>
  <c r="F48" i="8"/>
  <c r="G48" i="8"/>
  <c r="G46" i="8"/>
  <c r="H46" i="8" s="1"/>
  <c r="H48" i="8"/>
  <c r="J48" i="8"/>
  <c r="K48" i="8"/>
  <c r="L48" i="8" s="1"/>
  <c r="N48" i="8"/>
  <c r="O48" i="8"/>
  <c r="O46" i="8" s="1"/>
  <c r="P46" i="8" s="1"/>
  <c r="R48" i="8"/>
  <c r="S48" i="8"/>
  <c r="S46" i="8" s="1"/>
  <c r="T46" i="8" s="1"/>
  <c r="T48" i="8"/>
  <c r="V48" i="8"/>
  <c r="W48" i="8"/>
  <c r="W46" i="8"/>
  <c r="X46" i="8"/>
  <c r="X48" i="8"/>
  <c r="Z48" i="8"/>
  <c r="AA48" i="8"/>
  <c r="AB48" i="8" s="1"/>
  <c r="AA46" i="8"/>
  <c r="AB46" i="8" s="1"/>
  <c r="AD48" i="8"/>
  <c r="AE48" i="8"/>
  <c r="AE46" i="8" s="1"/>
  <c r="AF46" i="8" s="1"/>
  <c r="AH48" i="8"/>
  <c r="AI48" i="8"/>
  <c r="AI46" i="8" s="1"/>
  <c r="AJ46" i="8"/>
  <c r="AL48" i="8"/>
  <c r="AM48" i="8"/>
  <c r="AM46" i="8"/>
  <c r="AN46" i="8" s="1"/>
  <c r="AN48" i="8"/>
  <c r="AP48" i="8"/>
  <c r="AQ48" i="8"/>
  <c r="AT48" i="8"/>
  <c r="AU48" i="8"/>
  <c r="AU46" i="8" s="1"/>
  <c r="AV46" i="8" s="1"/>
  <c r="AV48" i="8"/>
  <c r="AX48" i="8"/>
  <c r="AY48" i="8"/>
  <c r="AY46" i="8" s="1"/>
  <c r="AZ46" i="8" s="1"/>
  <c r="AZ48" i="8"/>
  <c r="L54" i="8"/>
  <c r="P54" i="8"/>
  <c r="AB54" i="8"/>
  <c r="AF54" i="8"/>
  <c r="AR54" i="8"/>
  <c r="AV54" i="8"/>
  <c r="L55" i="8"/>
  <c r="P55" i="8"/>
  <c r="AF55" i="8"/>
  <c r="AR55" i="8"/>
  <c r="L60" i="8"/>
  <c r="L61" i="8"/>
  <c r="H62" i="8"/>
  <c r="H64" i="8"/>
  <c r="L64" i="8"/>
  <c r="H65" i="8"/>
  <c r="L65" i="8"/>
  <c r="H67" i="8"/>
  <c r="H69" i="8"/>
  <c r="H70" i="8"/>
  <c r="H71" i="8"/>
  <c r="F78" i="8"/>
  <c r="H76" i="8" s="1"/>
  <c r="J78" i="8"/>
  <c r="L76" i="8"/>
  <c r="L84" i="8"/>
  <c r="N78" i="8"/>
  <c r="P76" i="8" s="1"/>
  <c r="R78" i="8"/>
  <c r="T76" i="8" s="1"/>
  <c r="V78" i="8"/>
  <c r="X76" i="8" s="1"/>
  <c r="Z78" i="8"/>
  <c r="AB76" i="8"/>
  <c r="AD78" i="8"/>
  <c r="AF76" i="8" s="1"/>
  <c r="AH78" i="8"/>
  <c r="AJ76" i="8" s="1"/>
  <c r="AL78" i="8"/>
  <c r="AN76" i="8" s="1"/>
  <c r="AP78" i="8"/>
  <c r="AR76" i="8"/>
  <c r="AT78" i="8"/>
  <c r="AV76" i="8" s="1"/>
  <c r="AX78" i="8"/>
  <c r="AZ76" i="8" s="1"/>
  <c r="F82" i="8"/>
  <c r="H80" i="8" s="1"/>
  <c r="N82" i="8"/>
  <c r="P80" i="8"/>
  <c r="R82" i="8"/>
  <c r="T80" i="8" s="1"/>
  <c r="A4" i="7"/>
  <c r="A5" i="7"/>
  <c r="A6" i="7"/>
  <c r="A7" i="7"/>
  <c r="A10" i="7"/>
  <c r="A11" i="7"/>
  <c r="A12" i="7"/>
  <c r="G12" i="7"/>
  <c r="H12" i="7"/>
  <c r="M12" i="7"/>
  <c r="N12" i="7" s="1"/>
  <c r="R12" i="7"/>
  <c r="S12" i="7"/>
  <c r="W12" i="7"/>
  <c r="X12" i="7" s="1"/>
  <c r="AB12" i="7"/>
  <c r="AC12" i="7"/>
  <c r="AH12" i="7"/>
  <c r="AI12" i="7" s="1"/>
  <c r="AM12" i="7"/>
  <c r="AN12" i="7"/>
  <c r="AR12" i="7"/>
  <c r="AS12" i="7" s="1"/>
  <c r="AX12" i="7"/>
  <c r="AY12" i="7"/>
  <c r="BC12" i="7"/>
  <c r="BD12" i="7" s="1"/>
  <c r="BI12" i="7"/>
  <c r="BJ12" i="7"/>
  <c r="BO12" i="7"/>
  <c r="BP12" i="7" s="1"/>
  <c r="F14" i="7"/>
  <c r="L14" i="7"/>
  <c r="M14" i="7"/>
  <c r="Q14" i="7"/>
  <c r="S14" i="7"/>
  <c r="V14" i="7"/>
  <c r="AA14" i="7"/>
  <c r="AG14" i="7"/>
  <c r="AL14" i="7"/>
  <c r="AQ14" i="7"/>
  <c r="AR14" i="7"/>
  <c r="AW14" i="7"/>
  <c r="AX14" i="7"/>
  <c r="BB14" i="7"/>
  <c r="BC14" i="7"/>
  <c r="BH14" i="7"/>
  <c r="BI14" i="7"/>
  <c r="BN14" i="7"/>
  <c r="A16" i="7"/>
  <c r="X19" i="7"/>
  <c r="AC19" i="7"/>
  <c r="AN19" i="7"/>
  <c r="A20" i="7"/>
  <c r="F24" i="7"/>
  <c r="H24" i="7"/>
  <c r="I24" i="7"/>
  <c r="J24" i="7" s="1"/>
  <c r="L24" i="7"/>
  <c r="N24" i="7"/>
  <c r="O24" i="7" s="1"/>
  <c r="P24" i="7" s="1"/>
  <c r="Q24" i="7"/>
  <c r="S24" i="7"/>
  <c r="T24" i="7"/>
  <c r="U24" i="7" s="1"/>
  <c r="V24" i="7"/>
  <c r="X24" i="7"/>
  <c r="Y24" i="7" s="1"/>
  <c r="Z24" i="7" s="1"/>
  <c r="AA24" i="7"/>
  <c r="AC24" i="7"/>
  <c r="AD24" i="7"/>
  <c r="AE24" i="7" s="1"/>
  <c r="AG24" i="7"/>
  <c r="AI24" i="7"/>
  <c r="AJ24" i="7" s="1"/>
  <c r="AK24" i="7" s="1"/>
  <c r="AL24" i="7"/>
  <c r="AN24" i="7"/>
  <c r="AO24" i="7"/>
  <c r="AP24" i="7" s="1"/>
  <c r="AQ24" i="7"/>
  <c r="AS24" i="7"/>
  <c r="AT24" i="7" s="1"/>
  <c r="AU24" i="7" s="1"/>
  <c r="AW24" i="7"/>
  <c r="AY24" i="7"/>
  <c r="AZ24" i="7"/>
  <c r="BA24" i="7" s="1"/>
  <c r="BB24" i="7"/>
  <c r="BD24" i="7"/>
  <c r="BE24" i="7" s="1"/>
  <c r="BF24" i="7" s="1"/>
  <c r="BH24" i="7"/>
  <c r="BJ24" i="7"/>
  <c r="BK24" i="7"/>
  <c r="BL24" i="7" s="1"/>
  <c r="BN24" i="7"/>
  <c r="BP24" i="7"/>
  <c r="BQ24" i="7" s="1"/>
  <c r="BR24" i="7" s="1"/>
  <c r="F25" i="7"/>
  <c r="G25" i="7"/>
  <c r="H25" i="7"/>
  <c r="L25" i="7"/>
  <c r="M25" i="7"/>
  <c r="N25" i="7"/>
  <c r="AB25" i="7"/>
  <c r="AN25" i="7"/>
  <c r="AS25" i="7"/>
  <c r="AX25" i="7"/>
  <c r="AY25" i="7"/>
  <c r="H26" i="7"/>
  <c r="N26" i="7"/>
  <c r="S26" i="7"/>
  <c r="X26" i="7"/>
  <c r="AC26" i="7"/>
  <c r="AI26" i="7"/>
  <c r="AN26" i="7"/>
  <c r="BD26" i="7"/>
  <c r="N27" i="7"/>
  <c r="S27" i="7"/>
  <c r="T27" i="7"/>
  <c r="U27" i="7"/>
  <c r="AC27" i="7"/>
  <c r="AS27" i="7"/>
  <c r="AY27" i="7"/>
  <c r="S28" i="7"/>
  <c r="T28" i="7" s="1"/>
  <c r="U28" i="7" s="1"/>
  <c r="AC28" i="7"/>
  <c r="AS28" i="7"/>
  <c r="AY28" i="7"/>
  <c r="F29" i="7"/>
  <c r="G29" i="7"/>
  <c r="H29" i="7"/>
  <c r="I29" i="7" s="1"/>
  <c r="J29" i="7" s="1"/>
  <c r="L29" i="7"/>
  <c r="M29" i="7"/>
  <c r="Q29" i="7"/>
  <c r="R29" i="7"/>
  <c r="W29" i="7"/>
  <c r="X29" i="7"/>
  <c r="Y29" i="7"/>
  <c r="Z29" i="7" s="1"/>
  <c r="AA29" i="7"/>
  <c r="AB29" i="7"/>
  <c r="AC29" i="7"/>
  <c r="AD29" i="7" s="1"/>
  <c r="AE29" i="7" s="1"/>
  <c r="AG29" i="7"/>
  <c r="AH29" i="7"/>
  <c r="AI29" i="7"/>
  <c r="AJ29" i="7" s="1"/>
  <c r="AK29" i="7" s="1"/>
  <c r="AM29" i="7"/>
  <c r="AN29" i="7"/>
  <c r="AO29" i="7" s="1"/>
  <c r="AP29" i="7" s="1"/>
  <c r="AR29" i="7"/>
  <c r="AS29" i="7"/>
  <c r="AT29" i="7" s="1"/>
  <c r="AU29" i="7" s="1"/>
  <c r="AX29" i="7"/>
  <c r="AY29" i="7"/>
  <c r="BB29" i="7"/>
  <c r="BC29" i="7"/>
  <c r="BI29" i="7"/>
  <c r="BJ29" i="7" s="1"/>
  <c r="BK29" i="7" s="1"/>
  <c r="BL29" i="7" s="1"/>
  <c r="BN29" i="7"/>
  <c r="BO29" i="7"/>
  <c r="H30" i="7"/>
  <c r="I30" i="7" s="1"/>
  <c r="J30" i="7" s="1"/>
  <c r="N30" i="7"/>
  <c r="O30" i="7" s="1"/>
  <c r="P30" i="7" s="1"/>
  <c r="S30" i="7"/>
  <c r="T30" i="7"/>
  <c r="U30" i="7" s="1"/>
  <c r="X30" i="7"/>
  <c r="Y30" i="7"/>
  <c r="Z30" i="7" s="1"/>
  <c r="AC30" i="7"/>
  <c r="AD30" i="7" s="1"/>
  <c r="AE30" i="7"/>
  <c r="AI30" i="7"/>
  <c r="AJ30" i="7"/>
  <c r="AK30" i="7" s="1"/>
  <c r="AN30" i="7"/>
  <c r="AO30" i="7" s="1"/>
  <c r="AP30" i="7"/>
  <c r="AS30" i="7"/>
  <c r="AT30" i="7"/>
  <c r="AU30" i="7" s="1"/>
  <c r="AY30" i="7"/>
  <c r="AZ30" i="7" s="1"/>
  <c r="BA30" i="7"/>
  <c r="BD30" i="7"/>
  <c r="BE30" i="7"/>
  <c r="BF30" i="7" s="1"/>
  <c r="BJ30" i="7"/>
  <c r="BK30" i="7" s="1"/>
  <c r="BL30" i="7"/>
  <c r="BP30" i="7"/>
  <c r="BQ30" i="7"/>
  <c r="BR30" i="7" s="1"/>
  <c r="H31" i="7"/>
  <c r="I31" i="7" s="1"/>
  <c r="J31" i="7"/>
  <c r="N31" i="7"/>
  <c r="O31" i="7"/>
  <c r="P31" i="7" s="1"/>
  <c r="S31" i="7"/>
  <c r="T31" i="7" s="1"/>
  <c r="U31" i="7"/>
  <c r="X31" i="7"/>
  <c r="Y31" i="7"/>
  <c r="Z31" i="7" s="1"/>
  <c r="AC31" i="7"/>
  <c r="AD31" i="7" s="1"/>
  <c r="AE31" i="7"/>
  <c r="AI31" i="7"/>
  <c r="AJ31" i="7"/>
  <c r="AK31" i="7" s="1"/>
  <c r="AN31" i="7"/>
  <c r="AO31" i="7" s="1"/>
  <c r="AP31" i="7"/>
  <c r="AS31" i="7"/>
  <c r="AT31" i="7"/>
  <c r="AU31" i="7" s="1"/>
  <c r="AY31" i="7"/>
  <c r="AZ31" i="7" s="1"/>
  <c r="BA31" i="7"/>
  <c r="BD31" i="7"/>
  <c r="BE31" i="7"/>
  <c r="BF31" i="7" s="1"/>
  <c r="BJ31" i="7"/>
  <c r="BK31" i="7" s="1"/>
  <c r="BL31" i="7"/>
  <c r="BP31" i="7"/>
  <c r="BQ31" i="7"/>
  <c r="BR31" i="7" s="1"/>
  <c r="H32" i="7"/>
  <c r="I32" i="7" s="1"/>
  <c r="J32" i="7"/>
  <c r="N32" i="7"/>
  <c r="O32" i="7"/>
  <c r="P32" i="7" s="1"/>
  <c r="S32" i="7"/>
  <c r="T32" i="7" s="1"/>
  <c r="U32" i="7"/>
  <c r="X32" i="7"/>
  <c r="Y32" i="7"/>
  <c r="Z32" i="7" s="1"/>
  <c r="AC32" i="7"/>
  <c r="AD32" i="7" s="1"/>
  <c r="AE32" i="7"/>
  <c r="AI32" i="7"/>
  <c r="AJ32" i="7"/>
  <c r="AK32" i="7" s="1"/>
  <c r="AN32" i="7"/>
  <c r="AO32" i="7" s="1"/>
  <c r="AP32" i="7"/>
  <c r="AS32" i="7"/>
  <c r="AT32" i="7"/>
  <c r="AU32" i="7" s="1"/>
  <c r="AY32" i="7"/>
  <c r="AZ32" i="7" s="1"/>
  <c r="BA32" i="7"/>
  <c r="BD32" i="7"/>
  <c r="BE32" i="7"/>
  <c r="BF32" i="7" s="1"/>
  <c r="BJ32" i="7"/>
  <c r="BK32" i="7" s="1"/>
  <c r="BL32" i="7"/>
  <c r="BP32" i="7"/>
  <c r="BQ32" i="7"/>
  <c r="BR32" i="7" s="1"/>
  <c r="H33" i="7"/>
  <c r="I33" i="7" s="1"/>
  <c r="J33" i="7"/>
  <c r="N33" i="7"/>
  <c r="O33" i="7"/>
  <c r="P33" i="7" s="1"/>
  <c r="S33" i="7"/>
  <c r="T33" i="7" s="1"/>
  <c r="U33" i="7"/>
  <c r="X33" i="7"/>
  <c r="Y33" i="7"/>
  <c r="Z33" i="7" s="1"/>
  <c r="AC33" i="7"/>
  <c r="AD33" i="7" s="1"/>
  <c r="AE33" i="7"/>
  <c r="AI33" i="7"/>
  <c r="AJ33" i="7"/>
  <c r="AK33" i="7" s="1"/>
  <c r="AN33" i="7"/>
  <c r="AO33" i="7" s="1"/>
  <c r="AP33" i="7"/>
  <c r="AS33" i="7"/>
  <c r="AT33" i="7"/>
  <c r="AU33" i="7" s="1"/>
  <c r="AY33" i="7"/>
  <c r="AZ33" i="7" s="1"/>
  <c r="BA33" i="7"/>
  <c r="BD33" i="7"/>
  <c r="BE33" i="7"/>
  <c r="BF33" i="7" s="1"/>
  <c r="BJ33" i="7"/>
  <c r="BK33" i="7" s="1"/>
  <c r="BL33" i="7"/>
  <c r="H34" i="7"/>
  <c r="I34" i="7"/>
  <c r="J34" i="7" s="1"/>
  <c r="N34" i="7"/>
  <c r="O34" i="7" s="1"/>
  <c r="P34" i="7"/>
  <c r="S34" i="7"/>
  <c r="T34" i="7"/>
  <c r="U34" i="7" s="1"/>
  <c r="X34" i="7"/>
  <c r="Y34" i="7" s="1"/>
  <c r="Z34" i="7"/>
  <c r="AC34" i="7"/>
  <c r="AD34" i="7"/>
  <c r="AE34" i="7" s="1"/>
  <c r="AI34" i="7"/>
  <c r="AJ34" i="7" s="1"/>
  <c r="AK34" i="7"/>
  <c r="AN34" i="7"/>
  <c r="AO34" i="7"/>
  <c r="AP34" i="7" s="1"/>
  <c r="AS34" i="7"/>
  <c r="AT34" i="7" s="1"/>
  <c r="AU34" i="7"/>
  <c r="AY34" i="7"/>
  <c r="AZ34" i="7"/>
  <c r="BA34" i="7" s="1"/>
  <c r="BD34" i="7"/>
  <c r="BE34" i="7" s="1"/>
  <c r="BF34" i="7"/>
  <c r="BJ34" i="7"/>
  <c r="BK34" i="7"/>
  <c r="BL34" i="7" s="1"/>
  <c r="BP34" i="7"/>
  <c r="BQ34" i="7" s="1"/>
  <c r="BR34" i="7"/>
  <c r="H35" i="7"/>
  <c r="I35" i="7"/>
  <c r="J35" i="7" s="1"/>
  <c r="N35" i="7"/>
  <c r="O35" i="7" s="1"/>
  <c r="P35" i="7"/>
  <c r="S35" i="7"/>
  <c r="T35" i="7"/>
  <c r="U35" i="7" s="1"/>
  <c r="X35" i="7"/>
  <c r="Y35" i="7" s="1"/>
  <c r="Z35" i="7"/>
  <c r="AC35" i="7"/>
  <c r="AD35" i="7"/>
  <c r="AE35" i="7" s="1"/>
  <c r="AI35" i="7"/>
  <c r="AJ35" i="7" s="1"/>
  <c r="AK35" i="7"/>
  <c r="AN35" i="7"/>
  <c r="AO35" i="7"/>
  <c r="AP35" i="7" s="1"/>
  <c r="AS35" i="7"/>
  <c r="AT35" i="7" s="1"/>
  <c r="AU35" i="7"/>
  <c r="AY35" i="7"/>
  <c r="AZ35" i="7"/>
  <c r="BA35" i="7" s="1"/>
  <c r="BD35" i="7"/>
  <c r="BE35" i="7" s="1"/>
  <c r="BF35" i="7"/>
  <c r="BJ35" i="7"/>
  <c r="BK35" i="7"/>
  <c r="BL35" i="7" s="1"/>
  <c r="BP35" i="7"/>
  <c r="BQ35" i="7" s="1"/>
  <c r="BR35" i="7"/>
  <c r="H36" i="7"/>
  <c r="I36" i="7"/>
  <c r="J36" i="7" s="1"/>
  <c r="N36" i="7"/>
  <c r="O36" i="7" s="1"/>
  <c r="P36" i="7"/>
  <c r="S36" i="7"/>
  <c r="T36" i="7"/>
  <c r="U36" i="7" s="1"/>
  <c r="X36" i="7"/>
  <c r="Y36" i="7" s="1"/>
  <c r="Z36" i="7"/>
  <c r="AC36" i="7"/>
  <c r="AD36" i="7"/>
  <c r="AE36" i="7" s="1"/>
  <c r="AI36" i="7"/>
  <c r="AJ36" i="7" s="1"/>
  <c r="AK36" i="7"/>
  <c r="AN36" i="7"/>
  <c r="AO36" i="7"/>
  <c r="AP36" i="7" s="1"/>
  <c r="AS36" i="7"/>
  <c r="AT36" i="7" s="1"/>
  <c r="AU36" i="7"/>
  <c r="AY36" i="7"/>
  <c r="AZ36" i="7"/>
  <c r="BA36" i="7" s="1"/>
  <c r="BD36" i="7"/>
  <c r="BE36" i="7" s="1"/>
  <c r="BF36" i="7"/>
  <c r="BJ36" i="7"/>
  <c r="BK36" i="7"/>
  <c r="BL36" i="7" s="1"/>
  <c r="BP36" i="7"/>
  <c r="BQ36" i="7" s="1"/>
  <c r="BR36" i="7"/>
  <c r="H37" i="7"/>
  <c r="I37" i="7"/>
  <c r="J37" i="7" s="1"/>
  <c r="N37" i="7"/>
  <c r="O37" i="7" s="1"/>
  <c r="P37" i="7"/>
  <c r="S37" i="7"/>
  <c r="T37" i="7"/>
  <c r="U37" i="7" s="1"/>
  <c r="X37" i="7"/>
  <c r="Y37" i="7" s="1"/>
  <c r="Z37" i="7"/>
  <c r="AC37" i="7"/>
  <c r="AD37" i="7"/>
  <c r="AE37" i="7" s="1"/>
  <c r="AI37" i="7"/>
  <c r="AJ37" i="7" s="1"/>
  <c r="AK37" i="7"/>
  <c r="AN37" i="7"/>
  <c r="AO37" i="7"/>
  <c r="AP37" i="7" s="1"/>
  <c r="AS37" i="7"/>
  <c r="AT37" i="7" s="1"/>
  <c r="AU37" i="7" s="1"/>
  <c r="AY37" i="7"/>
  <c r="AZ37" i="7"/>
  <c r="BA37" i="7" s="1"/>
  <c r="BD37" i="7"/>
  <c r="BE37" i="7" s="1"/>
  <c r="BF37" i="7" s="1"/>
  <c r="BJ37" i="7"/>
  <c r="BK37" i="7"/>
  <c r="BL37" i="7" s="1"/>
  <c r="BP37" i="7"/>
  <c r="BQ37" i="7" s="1"/>
  <c r="BR37" i="7" s="1"/>
  <c r="H38" i="7"/>
  <c r="I38" i="7"/>
  <c r="J38" i="7" s="1"/>
  <c r="M38" i="7"/>
  <c r="N38" i="7" s="1"/>
  <c r="O38" i="7" s="1"/>
  <c r="P38" i="7" s="1"/>
  <c r="R38" i="7"/>
  <c r="S38" i="7" s="1"/>
  <c r="T38" i="7"/>
  <c r="U38" i="7" s="1"/>
  <c r="X38" i="7"/>
  <c r="Y38" i="7" s="1"/>
  <c r="Z38" i="7" s="1"/>
  <c r="AC38" i="7"/>
  <c r="AD38" i="7"/>
  <c r="AE38" i="7" s="1"/>
  <c r="AI38" i="7"/>
  <c r="AJ38" i="7" s="1"/>
  <c r="AK38" i="7" s="1"/>
  <c r="AN38" i="7"/>
  <c r="AO38" i="7" s="1"/>
  <c r="AP38" i="7" s="1"/>
  <c r="AS38" i="7"/>
  <c r="AT38" i="7"/>
  <c r="AU38" i="7"/>
  <c r="AY38" i="7"/>
  <c r="AZ38" i="7" s="1"/>
  <c r="BA38" i="7"/>
  <c r="BD38" i="7"/>
  <c r="BE38" i="7" s="1"/>
  <c r="BF38" i="7" s="1"/>
  <c r="BJ38" i="7"/>
  <c r="BK38" i="7" s="1"/>
  <c r="BL38" i="7" s="1"/>
  <c r="BP38" i="7"/>
  <c r="BQ38" i="7"/>
  <c r="BR38" i="7"/>
  <c r="H39" i="7"/>
  <c r="I39" i="7" s="1"/>
  <c r="J39" i="7"/>
  <c r="N39" i="7"/>
  <c r="O39" i="7" s="1"/>
  <c r="P39" i="7" s="1"/>
  <c r="S39" i="7"/>
  <c r="T39" i="7" s="1"/>
  <c r="U39" i="7" s="1"/>
  <c r="X39" i="7"/>
  <c r="Y39" i="7"/>
  <c r="Z39" i="7"/>
  <c r="AC39" i="7"/>
  <c r="AD39" i="7" s="1"/>
  <c r="AE39" i="7"/>
  <c r="AI39" i="7"/>
  <c r="AJ39" i="7" s="1"/>
  <c r="AK39" i="7" s="1"/>
  <c r="AN39" i="7"/>
  <c r="AO39" i="7" s="1"/>
  <c r="AP39" i="7" s="1"/>
  <c r="AS39" i="7"/>
  <c r="AT39" i="7"/>
  <c r="AU39" i="7"/>
  <c r="AY39" i="7"/>
  <c r="AZ39" i="7" s="1"/>
  <c r="BA39" i="7"/>
  <c r="BD39" i="7"/>
  <c r="BE39" i="7" s="1"/>
  <c r="BF39" i="7" s="1"/>
  <c r="BJ39" i="7"/>
  <c r="BK39" i="7" s="1"/>
  <c r="BL39" i="7" s="1"/>
  <c r="BP39" i="7"/>
  <c r="BQ39" i="7"/>
  <c r="BR39" i="7"/>
  <c r="H40" i="7"/>
  <c r="I40" i="7" s="1"/>
  <c r="J40" i="7"/>
  <c r="N40" i="7"/>
  <c r="O40" i="7" s="1"/>
  <c r="P40" i="7" s="1"/>
  <c r="S40" i="7"/>
  <c r="T40" i="7" s="1"/>
  <c r="U40" i="7" s="1"/>
  <c r="X40" i="7"/>
  <c r="Y40" i="7"/>
  <c r="Z40" i="7"/>
  <c r="AC40" i="7"/>
  <c r="AD40" i="7" s="1"/>
  <c r="AE40" i="7"/>
  <c r="AI40" i="7"/>
  <c r="AJ40" i="7" s="1"/>
  <c r="AK40" i="7" s="1"/>
  <c r="AN40" i="7"/>
  <c r="AO40" i="7" s="1"/>
  <c r="AP40" i="7" s="1"/>
  <c r="AS40" i="7"/>
  <c r="AT40" i="7"/>
  <c r="AU40" i="7"/>
  <c r="AY40" i="7"/>
  <c r="AZ40" i="7" s="1"/>
  <c r="BA40" i="7"/>
  <c r="BD40" i="7"/>
  <c r="BE40" i="7" s="1"/>
  <c r="BF40" i="7" s="1"/>
  <c r="BJ40" i="7"/>
  <c r="BK40" i="7" s="1"/>
  <c r="BL40" i="7" s="1"/>
  <c r="BP40" i="7"/>
  <c r="BQ40" i="7"/>
  <c r="BR40" i="7"/>
  <c r="H41" i="7"/>
  <c r="I41" i="7" s="1"/>
  <c r="J41" i="7"/>
  <c r="N41" i="7"/>
  <c r="O41" i="7" s="1"/>
  <c r="P41" i="7" s="1"/>
  <c r="S41" i="7"/>
  <c r="T41" i="7" s="1"/>
  <c r="U41" i="7" s="1"/>
  <c r="X41" i="7"/>
  <c r="Y41" i="7"/>
  <c r="Z41" i="7"/>
  <c r="AC41" i="7"/>
  <c r="AD41" i="7" s="1"/>
  <c r="AE41" i="7"/>
  <c r="AI41" i="7"/>
  <c r="AJ41" i="7" s="1"/>
  <c r="AK41" i="7" s="1"/>
  <c r="AN41" i="7"/>
  <c r="AO41" i="7" s="1"/>
  <c r="AP41" i="7" s="1"/>
  <c r="AS41" i="7"/>
  <c r="AT41" i="7"/>
  <c r="AU41" i="7"/>
  <c r="AY41" i="7"/>
  <c r="AZ41" i="7" s="1"/>
  <c r="BA41" i="7"/>
  <c r="BD41" i="7"/>
  <c r="BE41" i="7" s="1"/>
  <c r="BF41" i="7" s="1"/>
  <c r="BJ41" i="7"/>
  <c r="BK41" i="7" s="1"/>
  <c r="BL41" i="7" s="1"/>
  <c r="BP41" i="7"/>
  <c r="BQ41" i="7"/>
  <c r="BR41" i="7"/>
  <c r="H42" i="7"/>
  <c r="I42" i="7" s="1"/>
  <c r="J42" i="7"/>
  <c r="N42" i="7"/>
  <c r="O42" i="7" s="1"/>
  <c r="P42" i="7" s="1"/>
  <c r="S42" i="7"/>
  <c r="T42" i="7" s="1"/>
  <c r="U42" i="7" s="1"/>
  <c r="X42" i="7"/>
  <c r="Y42" i="7"/>
  <c r="Z42" i="7"/>
  <c r="AC42" i="7"/>
  <c r="AD42" i="7" s="1"/>
  <c r="AE42" i="7"/>
  <c r="AI42" i="7"/>
  <c r="AJ42" i="7" s="1"/>
  <c r="AK42" i="7" s="1"/>
  <c r="AN42" i="7"/>
  <c r="AO42" i="7" s="1"/>
  <c r="AP42" i="7" s="1"/>
  <c r="AS42" i="7"/>
  <c r="AT42" i="7"/>
  <c r="AU42" i="7"/>
  <c r="AY42" i="7"/>
  <c r="AZ42" i="7" s="1"/>
  <c r="BA42" i="7"/>
  <c r="BD42" i="7"/>
  <c r="BE42" i="7" s="1"/>
  <c r="BF42" i="7" s="1"/>
  <c r="BJ42" i="7"/>
  <c r="BK42" i="7" s="1"/>
  <c r="BL42" i="7" s="1"/>
  <c r="BP42" i="7"/>
  <c r="BQ42" i="7"/>
  <c r="BR42" i="7"/>
  <c r="H43" i="7"/>
  <c r="I43" i="7" s="1"/>
  <c r="J43" i="7"/>
  <c r="N43" i="7"/>
  <c r="O43" i="7" s="1"/>
  <c r="P43" i="7" s="1"/>
  <c r="S43" i="7"/>
  <c r="T43" i="7" s="1"/>
  <c r="U43" i="7" s="1"/>
  <c r="X43" i="7"/>
  <c r="Y43" i="7"/>
  <c r="Z43" i="7"/>
  <c r="AC43" i="7"/>
  <c r="AD43" i="7" s="1"/>
  <c r="AE43" i="7"/>
  <c r="AI43" i="7"/>
  <c r="AJ43" i="7" s="1"/>
  <c r="AK43" i="7" s="1"/>
  <c r="AN43" i="7"/>
  <c r="AO43" i="7" s="1"/>
  <c r="AP43" i="7" s="1"/>
  <c r="AS43" i="7"/>
  <c r="AT43" i="7"/>
  <c r="AU43" i="7"/>
  <c r="AY43" i="7"/>
  <c r="AZ43" i="7" s="1"/>
  <c r="BA43" i="7"/>
  <c r="BD43" i="7"/>
  <c r="BE43" i="7" s="1"/>
  <c r="BF43" i="7" s="1"/>
  <c r="BJ43" i="7"/>
  <c r="BK43" i="7" s="1"/>
  <c r="BL43" i="7" s="1"/>
  <c r="BP43" i="7"/>
  <c r="BQ43" i="7"/>
  <c r="BR43" i="7"/>
  <c r="H44" i="7"/>
  <c r="I44" i="7" s="1"/>
  <c r="J44" i="7"/>
  <c r="N44" i="7"/>
  <c r="O44" i="7" s="1"/>
  <c r="P44" i="7" s="1"/>
  <c r="S44" i="7"/>
  <c r="T44" i="7" s="1"/>
  <c r="U44" i="7" s="1"/>
  <c r="X44" i="7"/>
  <c r="Y44" i="7"/>
  <c r="Z44" i="7"/>
  <c r="AC44" i="7"/>
  <c r="AD44" i="7" s="1"/>
  <c r="AE44" i="7"/>
  <c r="AI44" i="7"/>
  <c r="AJ44" i="7" s="1"/>
  <c r="AK44" i="7" s="1"/>
  <c r="AN44" i="7"/>
  <c r="AO44" i="7" s="1"/>
  <c r="AP44" i="7" s="1"/>
  <c r="AS44" i="7"/>
  <c r="AT44" i="7"/>
  <c r="AU44" i="7"/>
  <c r="AY44" i="7"/>
  <c r="AZ44" i="7" s="1"/>
  <c r="BA44" i="7"/>
  <c r="BD44" i="7"/>
  <c r="BE44" i="7" s="1"/>
  <c r="BF44" i="7" s="1"/>
  <c r="BJ44" i="7"/>
  <c r="BK44" i="7" s="1"/>
  <c r="BL44" i="7" s="1"/>
  <c r="BP44" i="7"/>
  <c r="BQ44" i="7"/>
  <c r="BR44" i="7"/>
  <c r="G46" i="7"/>
  <c r="N46" i="7"/>
  <c r="X46" i="7"/>
  <c r="AN46" i="7"/>
  <c r="H47" i="7"/>
  <c r="I28" i="7" s="1"/>
  <c r="J28" i="7"/>
  <c r="N47" i="7"/>
  <c r="S47" i="7"/>
  <c r="X47" i="7"/>
  <c r="AN47" i="7"/>
  <c r="H48" i="7"/>
  <c r="I27" i="7" s="1"/>
  <c r="J27" i="7" s="1"/>
  <c r="N48" i="7"/>
  <c r="X48" i="7"/>
  <c r="AN48" i="7"/>
  <c r="F49" i="7"/>
  <c r="G49" i="7"/>
  <c r="L49" i="7"/>
  <c r="Q49" i="7"/>
  <c r="V49" i="7"/>
  <c r="AA49" i="7"/>
  <c r="AL49" i="7"/>
  <c r="AN49" i="7" s="1"/>
  <c r="AW49" i="7"/>
  <c r="BB49" i="7"/>
  <c r="BH49" i="7"/>
  <c r="F51" i="7"/>
  <c r="H51" i="7" s="1"/>
  <c r="I51" i="7"/>
  <c r="J51" i="7"/>
  <c r="N51" i="7"/>
  <c r="O51" i="7" s="1"/>
  <c r="S51" i="7"/>
  <c r="T51" i="7"/>
  <c r="X51" i="7"/>
  <c r="Y51" i="7" s="1"/>
  <c r="AC51" i="7"/>
  <c r="AD51" i="7" s="1"/>
  <c r="AI51" i="7"/>
  <c r="AJ51" i="7" s="1"/>
  <c r="AN51" i="7"/>
  <c r="AO51" i="7"/>
  <c r="AY51" i="7"/>
  <c r="AZ51" i="7" s="1"/>
  <c r="BD51" i="7"/>
  <c r="BE51" i="7"/>
  <c r="BJ51" i="7"/>
  <c r="BK51" i="7" s="1"/>
  <c r="BP51" i="7"/>
  <c r="BQ51" i="7"/>
  <c r="H52" i="7"/>
  <c r="I52" i="7" s="1"/>
  <c r="J52" i="7"/>
  <c r="N52" i="7"/>
  <c r="O52" i="7" s="1"/>
  <c r="S52" i="7"/>
  <c r="T52" i="7"/>
  <c r="X52" i="7"/>
  <c r="Y52" i="7" s="1"/>
  <c r="AC52" i="7"/>
  <c r="AD52" i="7"/>
  <c r="AI52" i="7"/>
  <c r="AJ52" i="7" s="1"/>
  <c r="AN52" i="7"/>
  <c r="AO52" i="7"/>
  <c r="AY52" i="7"/>
  <c r="AZ52" i="7" s="1"/>
  <c r="BD52" i="7"/>
  <c r="BE52" i="7"/>
  <c r="BJ52" i="7"/>
  <c r="BK52" i="7" s="1"/>
  <c r="BP52" i="7"/>
  <c r="BQ52" i="7"/>
  <c r="H53" i="7"/>
  <c r="I53" i="7" s="1"/>
  <c r="J53" i="7" s="1"/>
  <c r="N53" i="7"/>
  <c r="O53" i="7"/>
  <c r="S53" i="7"/>
  <c r="T53" i="7" s="1"/>
  <c r="X53" i="7"/>
  <c r="Y53" i="7" s="1"/>
  <c r="AC53" i="7"/>
  <c r="AD53" i="7" s="1"/>
  <c r="AI53" i="7"/>
  <c r="AJ53" i="7"/>
  <c r="AN53" i="7"/>
  <c r="AO53" i="7" s="1"/>
  <c r="AY53" i="7"/>
  <c r="AZ53" i="7"/>
  <c r="BD53" i="7"/>
  <c r="BE53" i="7" s="1"/>
  <c r="BJ53" i="7"/>
  <c r="BK53" i="7"/>
  <c r="BP53" i="7"/>
  <c r="BQ53" i="7" s="1"/>
  <c r="H54" i="7"/>
  <c r="I54" i="7" s="1"/>
  <c r="J54" i="7" s="1"/>
  <c r="N54" i="7"/>
  <c r="O54" i="7"/>
  <c r="S54" i="7"/>
  <c r="T54" i="7" s="1"/>
  <c r="X54" i="7"/>
  <c r="Y54" i="7"/>
  <c r="AC54" i="7"/>
  <c r="AD54" i="7" s="1"/>
  <c r="AI54" i="7"/>
  <c r="AJ54" i="7"/>
  <c r="AN54" i="7"/>
  <c r="AO54" i="7" s="1"/>
  <c r="AS54" i="7"/>
  <c r="AT54" i="7"/>
  <c r="AY54" i="7"/>
  <c r="AZ54" i="7" s="1"/>
  <c r="BD54" i="7"/>
  <c r="BE54" i="7"/>
  <c r="BJ54" i="7"/>
  <c r="BK54" i="7" s="1"/>
  <c r="BP54" i="7"/>
  <c r="BQ54" i="7"/>
  <c r="H55" i="7"/>
  <c r="I55" i="7" s="1"/>
  <c r="J55" i="7" s="1"/>
  <c r="N55" i="7"/>
  <c r="O55" i="7" s="1"/>
  <c r="S55" i="7"/>
  <c r="T55" i="7" s="1"/>
  <c r="X55" i="7"/>
  <c r="Y55" i="7"/>
  <c r="AC55" i="7"/>
  <c r="AD55" i="7" s="1"/>
  <c r="AI55" i="7"/>
  <c r="AJ55" i="7"/>
  <c r="AN55" i="7"/>
  <c r="AO55" i="7" s="1"/>
  <c r="AY55" i="7"/>
  <c r="AZ55" i="7"/>
  <c r="BD55" i="7"/>
  <c r="BE55" i="7" s="1"/>
  <c r="BJ55" i="7"/>
  <c r="BK55" i="7" s="1"/>
  <c r="BP55" i="7"/>
  <c r="BQ55" i="7" s="1"/>
  <c r="H56" i="7"/>
  <c r="I56" i="7"/>
  <c r="J56" i="7" s="1"/>
  <c r="N56" i="7"/>
  <c r="O56" i="7"/>
  <c r="S56" i="7"/>
  <c r="T56" i="7" s="1"/>
  <c r="X56" i="7"/>
  <c r="Y56" i="7"/>
  <c r="AC56" i="7"/>
  <c r="AD56" i="7" s="1"/>
  <c r="AI56" i="7"/>
  <c r="AJ56" i="7"/>
  <c r="AN56" i="7"/>
  <c r="AO56" i="7" s="1"/>
  <c r="AY56" i="7"/>
  <c r="AZ56" i="7"/>
  <c r="BD56" i="7"/>
  <c r="BE56" i="7" s="1"/>
  <c r="BJ56" i="7"/>
  <c r="BK56" i="7"/>
  <c r="BP56" i="7"/>
  <c r="BQ56" i="7" s="1"/>
  <c r="H57" i="7"/>
  <c r="I57" i="7"/>
  <c r="J57" i="7"/>
  <c r="N57" i="7"/>
  <c r="O57" i="7" s="1"/>
  <c r="S57" i="7"/>
  <c r="T57" i="7" s="1"/>
  <c r="X57" i="7"/>
  <c r="Y57" i="7" s="1"/>
  <c r="AC57" i="7"/>
  <c r="AD57" i="7"/>
  <c r="AI57" i="7"/>
  <c r="AJ57" i="7" s="1"/>
  <c r="AN57" i="7"/>
  <c r="AO57" i="7"/>
  <c r="AY57" i="7"/>
  <c r="AZ57" i="7" s="1"/>
  <c r="BD57" i="7"/>
  <c r="BE57" i="7"/>
  <c r="BJ57" i="7"/>
  <c r="BK57" i="7" s="1"/>
  <c r="BP57" i="7"/>
  <c r="BQ57" i="7" s="1"/>
  <c r="H58" i="7"/>
  <c r="I58" i="7" s="1"/>
  <c r="J58" i="7"/>
  <c r="N58" i="7"/>
  <c r="O58" i="7" s="1"/>
  <c r="S58" i="7"/>
  <c r="T58" i="7"/>
  <c r="X58" i="7"/>
  <c r="Y58" i="7" s="1"/>
  <c r="AC58" i="7"/>
  <c r="AD58" i="7"/>
  <c r="AI58" i="7"/>
  <c r="AJ58" i="7" s="1"/>
  <c r="AN58" i="7"/>
  <c r="AO58" i="7"/>
  <c r="AY58" i="7"/>
  <c r="AZ58" i="7" s="1"/>
  <c r="BD58" i="7"/>
  <c r="BE58" i="7"/>
  <c r="BJ58" i="7"/>
  <c r="BK58" i="7" s="1"/>
  <c r="H59" i="7"/>
  <c r="I59" i="7"/>
  <c r="J59" i="7"/>
  <c r="N59" i="7"/>
  <c r="O59" i="7" s="1"/>
  <c r="S59" i="7"/>
  <c r="T59" i="7"/>
  <c r="X59" i="7"/>
  <c r="Y59" i="7" s="1"/>
  <c r="AC59" i="7"/>
  <c r="AD59" i="7" s="1"/>
  <c r="AI59" i="7"/>
  <c r="AJ59" i="7" s="1"/>
  <c r="AN59" i="7"/>
  <c r="AO59" i="7"/>
  <c r="AS59" i="7"/>
  <c r="AT59" i="7" s="1"/>
  <c r="AY59" i="7"/>
  <c r="AZ59" i="7"/>
  <c r="BD59" i="7"/>
  <c r="BE59" i="7" s="1"/>
  <c r="BJ59" i="7"/>
  <c r="BK59" i="7"/>
  <c r="BP59" i="7"/>
  <c r="BQ59" i="7" s="1"/>
  <c r="F60" i="7"/>
  <c r="H60" i="7" s="1"/>
  <c r="I60" i="7" s="1"/>
  <c r="Q60" i="7"/>
  <c r="S60" i="7"/>
  <c r="T60" i="7"/>
  <c r="X60" i="7"/>
  <c r="Y60" i="7" s="1"/>
  <c r="AC60" i="7"/>
  <c r="AD60" i="7"/>
  <c r="AI60" i="7"/>
  <c r="AJ60" i="7" s="1"/>
  <c r="H61" i="7"/>
  <c r="I61" i="7" s="1"/>
  <c r="J61" i="7"/>
  <c r="N61" i="7"/>
  <c r="O61" i="7" s="1"/>
  <c r="S61" i="7"/>
  <c r="T61" i="7"/>
  <c r="X61" i="7"/>
  <c r="AC61" i="7"/>
  <c r="AD61" i="7" s="1"/>
  <c r="AI61" i="7"/>
  <c r="AJ61" i="7"/>
  <c r="AN61" i="7"/>
  <c r="AO61" i="7" s="1"/>
  <c r="BP61" i="7"/>
  <c r="BQ61" i="7"/>
  <c r="H62" i="7"/>
  <c r="I62" i="7" s="1"/>
  <c r="J62" i="7"/>
  <c r="N62" i="7"/>
  <c r="O62" i="7" s="1"/>
  <c r="S62" i="7"/>
  <c r="T62" i="7"/>
  <c r="X62" i="7"/>
  <c r="Y62" i="7" s="1"/>
  <c r="AC62" i="7"/>
  <c r="AD62" i="7"/>
  <c r="AI62" i="7"/>
  <c r="AJ62" i="7" s="1"/>
  <c r="AN62" i="7"/>
  <c r="AO62" i="7"/>
  <c r="AY62" i="7"/>
  <c r="AZ62" i="7" s="1"/>
  <c r="BP62" i="7"/>
  <c r="BQ62" i="7"/>
  <c r="H63" i="7"/>
  <c r="I63" i="7" s="1"/>
  <c r="J63" i="7" s="1"/>
  <c r="N63" i="7"/>
  <c r="O63" i="7"/>
  <c r="S63" i="7"/>
  <c r="T63" i="7" s="1"/>
  <c r="X63" i="7"/>
  <c r="Y63" i="7"/>
  <c r="AC63" i="7"/>
  <c r="AD63" i="7" s="1"/>
  <c r="AI63" i="7"/>
  <c r="AJ63" i="7" s="1"/>
  <c r="AN63" i="7"/>
  <c r="AO63" i="7" s="1"/>
  <c r="AY63" i="7"/>
  <c r="AZ63" i="7"/>
  <c r="BP63" i="7"/>
  <c r="BQ63" i="7" s="1"/>
  <c r="H64" i="7"/>
  <c r="I64" i="7"/>
  <c r="N64" i="7"/>
  <c r="O64" i="7" s="1"/>
  <c r="S64" i="7"/>
  <c r="T64" i="7"/>
  <c r="X64" i="7"/>
  <c r="Y64" i="7" s="1"/>
  <c r="AC64" i="7"/>
  <c r="AD64" i="7" s="1"/>
  <c r="AI64" i="7"/>
  <c r="AJ64" i="7" s="1"/>
  <c r="AY64" i="7"/>
  <c r="AZ64" i="7"/>
  <c r="BD64" i="7"/>
  <c r="BE64" i="7" s="1"/>
  <c r="BJ64" i="7"/>
  <c r="BK64" i="7"/>
  <c r="BP64" i="7"/>
  <c r="BQ64" i="7" s="1"/>
  <c r="F65" i="7"/>
  <c r="H65" i="7"/>
  <c r="I65" i="7" s="1"/>
  <c r="L65" i="7"/>
  <c r="N65" i="7"/>
  <c r="O65" i="7" s="1"/>
  <c r="Q65" i="7"/>
  <c r="S65" i="7" s="1"/>
  <c r="T65" i="7"/>
  <c r="X65" i="7"/>
  <c r="Y65" i="7" s="1"/>
  <c r="AC65" i="7"/>
  <c r="AD65" i="7"/>
  <c r="AI65" i="7"/>
  <c r="AJ65" i="7" s="1"/>
  <c r="AL65" i="7"/>
  <c r="AN65" i="7"/>
  <c r="AO65" i="7"/>
  <c r="AQ65" i="7"/>
  <c r="AY65" i="7"/>
  <c r="AZ65" i="7"/>
  <c r="BK65" i="7"/>
  <c r="BN65" i="7"/>
  <c r="BP65" i="7" s="1"/>
  <c r="BQ65" i="7"/>
  <c r="H66" i="7"/>
  <c r="I66" i="7" s="1"/>
  <c r="N66" i="7"/>
  <c r="O66" i="7"/>
  <c r="S66" i="7"/>
  <c r="T66" i="7" s="1"/>
  <c r="Y66" i="7"/>
  <c r="AC66" i="7"/>
  <c r="AD66" i="7"/>
  <c r="AI66" i="7"/>
  <c r="AJ66" i="7" s="1"/>
  <c r="AN66" i="7"/>
  <c r="AO66" i="7"/>
  <c r="AZ66" i="7"/>
  <c r="BD66" i="7"/>
  <c r="BE66" i="7"/>
  <c r="BJ66" i="7"/>
  <c r="BK66" i="7" s="1"/>
  <c r="BP66" i="7"/>
  <c r="BQ66" i="7"/>
  <c r="F67" i="7"/>
  <c r="H67" i="7" s="1"/>
  <c r="I67" i="7" s="1"/>
  <c r="Y67" i="7"/>
  <c r="AC67" i="7"/>
  <c r="AD67" i="7" s="1"/>
  <c r="AJ67" i="7"/>
  <c r="H68" i="7"/>
  <c r="I68" i="7"/>
  <c r="J68" i="7" s="1"/>
  <c r="S68" i="7"/>
  <c r="T68" i="7"/>
  <c r="X68" i="7"/>
  <c r="Y68" i="7" s="1"/>
  <c r="AC68" i="7"/>
  <c r="AD68" i="7"/>
  <c r="AJ68" i="7"/>
  <c r="AN68" i="7"/>
  <c r="AO68" i="7" s="1"/>
  <c r="AY68" i="7"/>
  <c r="AZ68" i="7"/>
  <c r="BD68" i="7"/>
  <c r="BE68" i="7" s="1"/>
  <c r="F69" i="7"/>
  <c r="H69" i="7"/>
  <c r="I69" i="7"/>
  <c r="J69" i="7" s="1"/>
  <c r="N69" i="7"/>
  <c r="O69" i="7" s="1"/>
  <c r="S69" i="7"/>
  <c r="T69" i="7" s="1"/>
  <c r="V69" i="7"/>
  <c r="X69" i="7"/>
  <c r="Y69" i="7" s="1"/>
  <c r="AC69" i="7"/>
  <c r="AD69" i="7"/>
  <c r="AJ69" i="7"/>
  <c r="AZ69" i="7"/>
  <c r="BD69" i="7"/>
  <c r="BE69" i="7"/>
  <c r="BJ69" i="7"/>
  <c r="BK69" i="7" s="1"/>
  <c r="BP69" i="7"/>
  <c r="BQ69" i="7"/>
  <c r="H70" i="7"/>
  <c r="I70" i="7" s="1"/>
  <c r="N70" i="7"/>
  <c r="O70" i="7"/>
  <c r="S70" i="7"/>
  <c r="T70" i="7" s="1"/>
  <c r="X70" i="7"/>
  <c r="Y70" i="7"/>
  <c r="AC70" i="7"/>
  <c r="AD70" i="7" s="1"/>
  <c r="AI70" i="7"/>
  <c r="AJ70" i="7"/>
  <c r="AN70" i="7"/>
  <c r="AO70" i="7" s="1"/>
  <c r="AQ70" i="7"/>
  <c r="BD70" i="7"/>
  <c r="BE70" i="7"/>
  <c r="BJ70" i="7"/>
  <c r="BK70" i="7" s="1"/>
  <c r="BO70" i="7"/>
  <c r="BP70" i="7"/>
  <c r="BQ70" i="7"/>
  <c r="H71" i="7"/>
  <c r="I71" i="7"/>
  <c r="N71" i="7"/>
  <c r="O71" i="7"/>
  <c r="S71" i="7"/>
  <c r="T71" i="7"/>
  <c r="X71" i="7"/>
  <c r="Y71" i="7"/>
  <c r="AA71" i="7"/>
  <c r="AC71" i="7"/>
  <c r="AD71" i="7"/>
  <c r="AI71" i="7"/>
  <c r="AJ71" i="7" s="1"/>
  <c r="AN71" i="7"/>
  <c r="AO71" i="7"/>
  <c r="AQ71" i="7"/>
  <c r="BD71" i="7"/>
  <c r="BE71" i="7"/>
  <c r="BJ71" i="7"/>
  <c r="BK71" i="7"/>
  <c r="BO71" i="7"/>
  <c r="BP71" i="7"/>
  <c r="BQ71" i="7"/>
  <c r="H72" i="7"/>
  <c r="I72" i="7" s="1"/>
  <c r="N72" i="7"/>
  <c r="O72" i="7" s="1"/>
  <c r="S72" i="7"/>
  <c r="T72" i="7" s="1"/>
  <c r="X72" i="7"/>
  <c r="Y72" i="7"/>
  <c r="AC72" i="7"/>
  <c r="AD72" i="7" s="1"/>
  <c r="AI72" i="7"/>
  <c r="AJ72" i="7"/>
  <c r="AN72" i="7"/>
  <c r="AO72" i="7" s="1"/>
  <c r="BD72" i="7"/>
  <c r="BE72" i="7"/>
  <c r="BJ72" i="7"/>
  <c r="BK72" i="7" s="1"/>
  <c r="BO72" i="7"/>
  <c r="BP72" i="7" s="1"/>
  <c r="BQ72" i="7" s="1"/>
  <c r="G73" i="7"/>
  <c r="H73" i="7"/>
  <c r="I73" i="7" s="1"/>
  <c r="L73" i="7"/>
  <c r="M73" i="7"/>
  <c r="N73" i="7"/>
  <c r="O73" i="7" s="1"/>
  <c r="R73" i="7"/>
  <c r="S73" i="7" s="1"/>
  <c r="T73" i="7"/>
  <c r="W73" i="7"/>
  <c r="X73" i="7" s="1"/>
  <c r="Y73" i="7" s="1"/>
  <c r="AA73" i="7"/>
  <c r="AB73" i="7"/>
  <c r="AC73" i="7"/>
  <c r="AD73" i="7" s="1"/>
  <c r="AH73" i="7"/>
  <c r="AI73" i="7"/>
  <c r="AJ73" i="7"/>
  <c r="AM73" i="7"/>
  <c r="AN73" i="7"/>
  <c r="AO73" i="7"/>
  <c r="AY73" i="7"/>
  <c r="AZ73" i="7" s="1"/>
  <c r="BC73" i="7"/>
  <c r="BD73" i="7" s="1"/>
  <c r="BE73" i="7" s="1"/>
  <c r="BI73" i="7"/>
  <c r="BJ73" i="7"/>
  <c r="BK73" i="7" s="1"/>
  <c r="BO73" i="7"/>
  <c r="BP73" i="7" s="1"/>
  <c r="BQ73" i="7"/>
  <c r="H74" i="7"/>
  <c r="I74" i="7" s="1"/>
  <c r="X74" i="7"/>
  <c r="Y74" i="7"/>
  <c r="AC74" i="7"/>
  <c r="AD74" i="7" s="1"/>
  <c r="AI74" i="7"/>
  <c r="AJ74" i="7"/>
  <c r="BP74" i="7"/>
  <c r="BQ74" i="7" s="1"/>
  <c r="H75" i="7"/>
  <c r="I75" i="7"/>
  <c r="J75" i="7"/>
  <c r="N75" i="7"/>
  <c r="O75" i="7" s="1"/>
  <c r="S75" i="7"/>
  <c r="T75" i="7"/>
  <c r="X75" i="7"/>
  <c r="Y75" i="7" s="1"/>
  <c r="AC75" i="7"/>
  <c r="AD75" i="7"/>
  <c r="AI75" i="7"/>
  <c r="AJ75" i="7" s="1"/>
  <c r="AN75" i="7"/>
  <c r="AO75" i="7" s="1"/>
  <c r="AS75" i="7"/>
  <c r="AU75" i="7" s="1"/>
  <c r="AY75" i="7"/>
  <c r="AZ75" i="7"/>
  <c r="BD75" i="7"/>
  <c r="BE75" i="7" s="1"/>
  <c r="BJ75" i="7"/>
  <c r="BK75" i="7"/>
  <c r="BP75" i="7"/>
  <c r="BQ75" i="7" s="1"/>
  <c r="S76" i="7"/>
  <c r="T76" i="7"/>
  <c r="S77" i="7"/>
  <c r="T77" i="7" s="1"/>
  <c r="U79" i="7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E14" i="6" s="1"/>
  <c r="D25" i="27"/>
  <c r="F14" i="6" s="1"/>
  <c r="E25" i="27"/>
  <c r="G14" i="6" s="1"/>
  <c r="F25" i="27"/>
  <c r="H14" i="6" s="1"/>
  <c r="G25" i="27"/>
  <c r="I14" i="6" s="1"/>
  <c r="H25" i="27"/>
  <c r="J14" i="6" s="1"/>
  <c r="I25" i="27"/>
  <c r="K14" i="6" s="1"/>
  <c r="J25" i="27"/>
  <c r="L14" i="6" s="1"/>
  <c r="AQ61" i="7" s="1"/>
  <c r="AS61" i="7" s="1"/>
  <c r="K25" i="27"/>
  <c r="M14" i="6" s="1"/>
  <c r="L25" i="27"/>
  <c r="N25" i="27"/>
  <c r="P14" i="6" s="1"/>
  <c r="E19" i="6"/>
  <c r="I19" i="6"/>
  <c r="H36" i="6"/>
  <c r="H42" i="6"/>
  <c r="G43" i="6"/>
  <c r="D8" i="24"/>
  <c r="D10" i="24"/>
  <c r="G5" i="10"/>
  <c r="G14" i="10" s="1"/>
  <c r="A7" i="10"/>
  <c r="A8" i="10"/>
  <c r="A9" i="10"/>
  <c r="A10" i="10"/>
  <c r="A11" i="10" s="1"/>
  <c r="A12" i="10" s="1"/>
  <c r="A13" i="10" s="1"/>
  <c r="F14" i="10"/>
  <c r="A15" i="10"/>
  <c r="F15" i="10"/>
  <c r="G4" i="7"/>
  <c r="G15" i="10"/>
  <c r="H15" i="10"/>
  <c r="R4" i="7"/>
  <c r="I15" i="10"/>
  <c r="I17" i="21" s="1"/>
  <c r="J15" i="10"/>
  <c r="AB4" i="7" s="1"/>
  <c r="K15" i="10"/>
  <c r="K17" i="21" s="1"/>
  <c r="L15" i="10"/>
  <c r="AM4" i="7" s="1"/>
  <c r="M15" i="10"/>
  <c r="AR4" i="7" s="1"/>
  <c r="N15" i="10"/>
  <c r="N17" i="21" s="1"/>
  <c r="O15" i="10"/>
  <c r="P15" i="10"/>
  <c r="BI4" i="7"/>
  <c r="Q15" i="10"/>
  <c r="Q17" i="21" s="1"/>
  <c r="F16" i="10"/>
  <c r="G16" i="10"/>
  <c r="M7" i="7"/>
  <c r="H16" i="10"/>
  <c r="H18" i="21" s="1"/>
  <c r="I16" i="10"/>
  <c r="W7" i="7" s="1"/>
  <c r="J16" i="10"/>
  <c r="J18" i="21" s="1"/>
  <c r="K16" i="10"/>
  <c r="AH7" i="7" s="1"/>
  <c r="L16" i="10"/>
  <c r="L18" i="21" s="1"/>
  <c r="M16" i="10"/>
  <c r="AR7" i="7" s="1"/>
  <c r="N16" i="10"/>
  <c r="N18" i="21" s="1"/>
  <c r="O16" i="10"/>
  <c r="BC7" i="7" s="1"/>
  <c r="P16" i="10"/>
  <c r="P18" i="21" s="1"/>
  <c r="Q16" i="10"/>
  <c r="Q18" i="21" s="1"/>
  <c r="F17" i="10"/>
  <c r="G5" i="7"/>
  <c r="G17" i="10"/>
  <c r="M5" i="7" s="1"/>
  <c r="H17" i="10"/>
  <c r="R5" i="7" s="1"/>
  <c r="I17" i="10"/>
  <c r="W5" i="7" s="1"/>
  <c r="J17" i="10"/>
  <c r="AB5" i="7" s="1"/>
  <c r="K17" i="10"/>
  <c r="AH5" i="7" s="1"/>
  <c r="L17" i="10"/>
  <c r="AM5" i="7" s="1"/>
  <c r="M17" i="10"/>
  <c r="AR5" i="7" s="1"/>
  <c r="N17" i="10"/>
  <c r="N20" i="21" s="1"/>
  <c r="AX5" i="7"/>
  <c r="O17" i="10"/>
  <c r="BC5" i="7" s="1"/>
  <c r="P17" i="10"/>
  <c r="BI5" i="7" s="1"/>
  <c r="Q17" i="10"/>
  <c r="BO5" i="7" s="1"/>
  <c r="F18" i="10"/>
  <c r="G18" i="10"/>
  <c r="M6" i="7"/>
  <c r="H18" i="10"/>
  <c r="R6" i="7" s="1"/>
  <c r="I18" i="10"/>
  <c r="W6" i="7" s="1"/>
  <c r="J18" i="10"/>
  <c r="AB6" i="7" s="1"/>
  <c r="K18" i="10"/>
  <c r="AH6" i="7" s="1"/>
  <c r="L18" i="10"/>
  <c r="AM6" i="7" s="1"/>
  <c r="M18" i="10"/>
  <c r="M21" i="21" s="1"/>
  <c r="N18" i="10"/>
  <c r="AX6" i="7" s="1"/>
  <c r="O18" i="10"/>
  <c r="BC6" i="7" s="1"/>
  <c r="P18" i="10"/>
  <c r="BI6" i="7" s="1"/>
  <c r="Q18" i="10"/>
  <c r="BO6" i="7" s="1"/>
  <c r="F19" i="10"/>
  <c r="G19" i="10"/>
  <c r="M9" i="7" s="1"/>
  <c r="H19" i="10"/>
  <c r="R9" i="7"/>
  <c r="I19" i="10"/>
  <c r="W9" i="7" s="1"/>
  <c r="J19" i="10"/>
  <c r="AB9" i="7" s="1"/>
  <c r="K19" i="10"/>
  <c r="AH9" i="7" s="1"/>
  <c r="L19" i="10"/>
  <c r="AM9" i="7" s="1"/>
  <c r="M19" i="10"/>
  <c r="N19" i="10"/>
  <c r="AX9" i="7" s="1"/>
  <c r="O19" i="10"/>
  <c r="BC9" i="7" s="1"/>
  <c r="P19" i="10"/>
  <c r="BI9" i="7" s="1"/>
  <c r="Q19" i="10"/>
  <c r="BO9" i="7" s="1"/>
  <c r="F20" i="10"/>
  <c r="G20" i="10"/>
  <c r="M8" i="7" s="1"/>
  <c r="H20" i="10"/>
  <c r="R8" i="7" s="1"/>
  <c r="I20" i="10"/>
  <c r="W8" i="7" s="1"/>
  <c r="J20" i="10"/>
  <c r="AB8" i="7" s="1"/>
  <c r="K20" i="10"/>
  <c r="AH8" i="7" s="1"/>
  <c r="L20" i="10"/>
  <c r="AM8" i="7" s="1"/>
  <c r="M20" i="10"/>
  <c r="M23" i="21" s="1"/>
  <c r="N20" i="10"/>
  <c r="AX8" i="7" s="1"/>
  <c r="O20" i="10"/>
  <c r="BC8" i="7" s="1"/>
  <c r="P20" i="10"/>
  <c r="BI8" i="7" s="1"/>
  <c r="Q20" i="10"/>
  <c r="BO8" i="7" s="1"/>
  <c r="F21" i="10"/>
  <c r="G11" i="7"/>
  <c r="G21" i="10"/>
  <c r="H21" i="10"/>
  <c r="R11" i="7"/>
  <c r="I21" i="10"/>
  <c r="W11" i="7" s="1"/>
  <c r="J21" i="10"/>
  <c r="AB11" i="7" s="1"/>
  <c r="K21" i="10"/>
  <c r="AH11" i="7" s="1"/>
  <c r="L21" i="10"/>
  <c r="AM11" i="7" s="1"/>
  <c r="M21" i="10"/>
  <c r="AR11" i="7" s="1"/>
  <c r="N21" i="10"/>
  <c r="N24" i="21" s="1"/>
  <c r="O21" i="10"/>
  <c r="P21" i="10"/>
  <c r="BI11" i="7" s="1"/>
  <c r="Q21" i="10"/>
  <c r="BO11" i="7" s="1"/>
  <c r="F22" i="10"/>
  <c r="G22" i="10"/>
  <c r="H22" i="10"/>
  <c r="I22" i="10"/>
  <c r="J22" i="10"/>
  <c r="K22" i="10"/>
  <c r="L22" i="10"/>
  <c r="M22" i="10"/>
  <c r="N22" i="10"/>
  <c r="O22" i="10"/>
  <c r="P22" i="10"/>
  <c r="Q22" i="10"/>
  <c r="E24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35" i="10"/>
  <c r="C36" i="10"/>
  <c r="F5" i="6"/>
  <c r="G5" i="6"/>
  <c r="H5" i="6" s="1"/>
  <c r="I5" i="6" s="1"/>
  <c r="J5" i="6" s="1"/>
  <c r="K5" i="6"/>
  <c r="L5" i="6" s="1"/>
  <c r="M5" i="6" s="1"/>
  <c r="N5" i="6" s="1"/>
  <c r="O5" i="6" s="1"/>
  <c r="P5" i="6" s="1"/>
  <c r="A7" i="6"/>
  <c r="E8" i="6"/>
  <c r="F8" i="6"/>
  <c r="G8" i="6"/>
  <c r="H8" i="6"/>
  <c r="I8" i="6"/>
  <c r="J8" i="6"/>
  <c r="K8" i="6"/>
  <c r="L8" i="6"/>
  <c r="M8" i="6"/>
  <c r="N8" i="6"/>
  <c r="O8" i="6"/>
  <c r="P8" i="6"/>
  <c r="E9" i="6"/>
  <c r="F9" i="6"/>
  <c r="G9" i="6"/>
  <c r="H9" i="6"/>
  <c r="I9" i="6"/>
  <c r="J9" i="6"/>
  <c r="K9" i="6"/>
  <c r="L9" i="6"/>
  <c r="M9" i="6"/>
  <c r="N9" i="6"/>
  <c r="O9" i="6"/>
  <c r="P9" i="6"/>
  <c r="E10" i="6"/>
  <c r="F10" i="6"/>
  <c r="G10" i="6"/>
  <c r="H10" i="6"/>
  <c r="I10" i="6"/>
  <c r="J10" i="6"/>
  <c r="K10" i="6"/>
  <c r="L10" i="6"/>
  <c r="AQ72" i="7" s="1"/>
  <c r="M10" i="6"/>
  <c r="N10" i="6"/>
  <c r="O10" i="6"/>
  <c r="P10" i="6"/>
  <c r="E11" i="6"/>
  <c r="F11" i="6"/>
  <c r="G11" i="6"/>
  <c r="H11" i="6"/>
  <c r="I11" i="6"/>
  <c r="J11" i="6"/>
  <c r="K11" i="6"/>
  <c r="L11" i="6"/>
  <c r="AQ73" i="7"/>
  <c r="AS73" i="7"/>
  <c r="AU73" i="7" s="1"/>
  <c r="M11" i="6"/>
  <c r="N11" i="6"/>
  <c r="O11" i="6"/>
  <c r="P11" i="6"/>
  <c r="A12" i="6"/>
  <c r="A23" i="27"/>
  <c r="E12" i="6"/>
  <c r="F12" i="6"/>
  <c r="G12" i="6"/>
  <c r="H12" i="6"/>
  <c r="I12" i="6"/>
  <c r="J12" i="6"/>
  <c r="K12" i="6"/>
  <c r="L12" i="6"/>
  <c r="M12" i="6"/>
  <c r="N12" i="6"/>
  <c r="O12" i="6"/>
  <c r="P12" i="6"/>
  <c r="BN76" i="7" s="1"/>
  <c r="BP76" i="7" s="1"/>
  <c r="BQ76" i="7" s="1"/>
  <c r="A13" i="6"/>
  <c r="E13" i="6"/>
  <c r="F13" i="6"/>
  <c r="G13" i="6"/>
  <c r="H13" i="6"/>
  <c r="I13" i="6"/>
  <c r="J13" i="6"/>
  <c r="K13" i="6"/>
  <c r="L13" i="6"/>
  <c r="M13" i="6"/>
  <c r="N13" i="6"/>
  <c r="O13" i="6"/>
  <c r="P13" i="6"/>
  <c r="N14" i="6"/>
  <c r="E15" i="6"/>
  <c r="F15" i="6"/>
  <c r="G15" i="6"/>
  <c r="H15" i="6"/>
  <c r="I15" i="6"/>
  <c r="J15" i="6"/>
  <c r="K15" i="6"/>
  <c r="L15" i="6"/>
  <c r="AQ63" i="7" s="1"/>
  <c r="M15" i="6"/>
  <c r="N15" i="6"/>
  <c r="O15" i="6"/>
  <c r="P15" i="6"/>
  <c r="E16" i="6"/>
  <c r="F16" i="6"/>
  <c r="G16" i="6"/>
  <c r="H16" i="6"/>
  <c r="I16" i="6"/>
  <c r="J16" i="6"/>
  <c r="K16" i="6"/>
  <c r="L16" i="6"/>
  <c r="AQ62" i="7" s="1"/>
  <c r="M16" i="6"/>
  <c r="N16" i="6"/>
  <c r="O16" i="6"/>
  <c r="P16" i="6"/>
  <c r="E17" i="6"/>
  <c r="F17" i="6"/>
  <c r="G17" i="6"/>
  <c r="H17" i="6"/>
  <c r="I17" i="6"/>
  <c r="J17" i="6"/>
  <c r="K17" i="6"/>
  <c r="L17" i="6"/>
  <c r="M17" i="6"/>
  <c r="N17" i="6"/>
  <c r="O17" i="6"/>
  <c r="P17" i="6"/>
  <c r="E18" i="6"/>
  <c r="F18" i="6"/>
  <c r="G18" i="6"/>
  <c r="H18" i="6"/>
  <c r="I18" i="6"/>
  <c r="J18" i="6"/>
  <c r="K18" i="6"/>
  <c r="L18" i="6"/>
  <c r="AQ68" i="7" s="1"/>
  <c r="M18" i="6"/>
  <c r="N18" i="6"/>
  <c r="O18" i="6"/>
  <c r="P18" i="6"/>
  <c r="F19" i="6"/>
  <c r="G19" i="6"/>
  <c r="H19" i="6"/>
  <c r="J19" i="6"/>
  <c r="K19" i="6"/>
  <c r="L19" i="6"/>
  <c r="M19" i="6"/>
  <c r="P19" i="6"/>
  <c r="E20" i="6"/>
  <c r="F20" i="6"/>
  <c r="G20" i="6"/>
  <c r="H20" i="6"/>
  <c r="I20" i="6"/>
  <c r="J20" i="6"/>
  <c r="K20" i="6"/>
  <c r="L20" i="6"/>
  <c r="M20" i="6"/>
  <c r="N20" i="6"/>
  <c r="O20" i="6"/>
  <c r="P20" i="6"/>
  <c r="E36" i="6"/>
  <c r="F36" i="6"/>
  <c r="G36" i="6"/>
  <c r="I36" i="6"/>
  <c r="J36" i="6"/>
  <c r="K36" i="6"/>
  <c r="L36" i="6"/>
  <c r="M36" i="6"/>
  <c r="N36" i="6"/>
  <c r="O36" i="6"/>
  <c r="P36" i="6"/>
  <c r="E41" i="6"/>
  <c r="F41" i="6"/>
  <c r="G41" i="6"/>
  <c r="H41" i="6"/>
  <c r="I41" i="6"/>
  <c r="J41" i="6"/>
  <c r="K41" i="6"/>
  <c r="L41" i="6"/>
  <c r="M41" i="6"/>
  <c r="N41" i="6"/>
  <c r="O41" i="6"/>
  <c r="P41" i="6"/>
  <c r="E42" i="6"/>
  <c r="F42" i="6"/>
  <c r="G42" i="6"/>
  <c r="I42" i="6"/>
  <c r="J42" i="6"/>
  <c r="L42" i="6"/>
  <c r="M42" i="6"/>
  <c r="O42" i="6"/>
  <c r="E43" i="6"/>
  <c r="F43" i="6"/>
  <c r="H43" i="6"/>
  <c r="I43" i="6"/>
  <c r="K43" i="6"/>
  <c r="L43" i="6"/>
  <c r="N43" i="6"/>
  <c r="O43" i="6"/>
  <c r="P43" i="6"/>
  <c r="E65" i="6"/>
  <c r="F65" i="6"/>
  <c r="G65" i="6"/>
  <c r="H65" i="6"/>
  <c r="I65" i="6"/>
  <c r="I69" i="6" s="1"/>
  <c r="J65" i="6"/>
  <c r="K65" i="6"/>
  <c r="L65" i="6"/>
  <c r="M65" i="6"/>
  <c r="N65" i="6"/>
  <c r="O65" i="6"/>
  <c r="P65" i="6"/>
  <c r="E66" i="6"/>
  <c r="F66" i="6"/>
  <c r="G66" i="6"/>
  <c r="H66" i="6"/>
  <c r="I66" i="6"/>
  <c r="J66" i="6"/>
  <c r="K66" i="6"/>
  <c r="L66" i="6"/>
  <c r="M66" i="6"/>
  <c r="N66" i="6"/>
  <c r="O66" i="6"/>
  <c r="P66" i="6"/>
  <c r="A87" i="6"/>
  <c r="A88" i="6"/>
  <c r="A89" i="6"/>
  <c r="A90" i="6"/>
  <c r="A91" i="6" s="1"/>
  <c r="A92" i="6" s="1"/>
  <c r="A95" i="6"/>
  <c r="A96" i="6" s="1"/>
  <c r="A97" i="6" s="1"/>
  <c r="A98" i="6" s="1"/>
  <c r="A101" i="6" s="1"/>
  <c r="A102" i="6" s="1"/>
  <c r="A103" i="6" s="1"/>
  <c r="A104" i="6" s="1"/>
  <c r="A105" i="6" s="1"/>
  <c r="A108" i="6" s="1"/>
  <c r="A109" i="6" s="1"/>
  <c r="A110" i="6" s="1"/>
  <c r="A111" i="6" s="1"/>
  <c r="A112" i="6" s="1"/>
  <c r="A113" i="6" s="1"/>
  <c r="A114" i="6" s="1"/>
  <c r="D126" i="6"/>
  <c r="R126" i="6"/>
  <c r="Q133" i="6"/>
  <c r="C7" i="24"/>
  <c r="D7" i="24"/>
  <c r="D18" i="24" s="1"/>
  <c r="E7" i="24"/>
  <c r="F7" i="24" s="1"/>
  <c r="B8" i="24"/>
  <c r="C8" i="24"/>
  <c r="E8" i="24"/>
  <c r="G8" i="24"/>
  <c r="H8" i="24"/>
  <c r="I8" i="24"/>
  <c r="J8" i="24"/>
  <c r="K8" i="24"/>
  <c r="L8" i="24"/>
  <c r="M8" i="24"/>
  <c r="M9" i="24" s="1"/>
  <c r="B10" i="24"/>
  <c r="C10" i="24"/>
  <c r="E10" i="24"/>
  <c r="F10" i="24"/>
  <c r="G10" i="24"/>
  <c r="H10" i="24"/>
  <c r="I10" i="24"/>
  <c r="J10" i="24"/>
  <c r="K10" i="24"/>
  <c r="L9" i="24"/>
  <c r="L10" i="24"/>
  <c r="M10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B18" i="24"/>
  <c r="C18" i="24"/>
  <c r="N18" i="24"/>
  <c r="B21" i="24"/>
  <c r="C21" i="24"/>
  <c r="D21" i="24"/>
  <c r="E21" i="24"/>
  <c r="E22" i="24" s="1"/>
  <c r="F21" i="24"/>
  <c r="F22" i="24" s="1"/>
  <c r="G21" i="24"/>
  <c r="H21" i="24"/>
  <c r="H22" i="24" s="1"/>
  <c r="I21" i="24"/>
  <c r="I22" i="24" s="1"/>
  <c r="J21" i="24"/>
  <c r="J22" i="24" s="1"/>
  <c r="K21" i="24"/>
  <c r="L21" i="24"/>
  <c r="L22" i="24" s="1"/>
  <c r="M21" i="24"/>
  <c r="M22" i="24" s="1"/>
  <c r="B22" i="24"/>
  <c r="C22" i="24"/>
  <c r="D22" i="24"/>
  <c r="G22" i="24"/>
  <c r="K22" i="24"/>
  <c r="E6" i="25"/>
  <c r="G6" i="25"/>
  <c r="H6" i="25"/>
  <c r="E7" i="25"/>
  <c r="G7" i="25" s="1"/>
  <c r="E8" i="25"/>
  <c r="G8" i="25" s="1"/>
  <c r="H8" i="25" s="1"/>
  <c r="E9" i="25"/>
  <c r="G9" i="25"/>
  <c r="H9" i="25" s="1"/>
  <c r="E10" i="25"/>
  <c r="G10" i="25"/>
  <c r="H10" i="25"/>
  <c r="E11" i="25"/>
  <c r="G11" i="25" s="1"/>
  <c r="H11" i="25" s="1"/>
  <c r="E12" i="25"/>
  <c r="G12" i="25" s="1"/>
  <c r="H12" i="25" s="1"/>
  <c r="E13" i="25"/>
  <c r="G13" i="25"/>
  <c r="H13" i="25" s="1"/>
  <c r="E14" i="25"/>
  <c r="G14" i="25"/>
  <c r="H14" i="25"/>
  <c r="E15" i="25"/>
  <c r="G15" i="25" s="1"/>
  <c r="H15" i="25" s="1"/>
  <c r="E16" i="25"/>
  <c r="E17" i="25"/>
  <c r="G17" i="25"/>
  <c r="H17" i="25" s="1"/>
  <c r="C18" i="25"/>
  <c r="D18" i="25"/>
  <c r="E23" i="25"/>
  <c r="G23" i="25"/>
  <c r="E24" i="25"/>
  <c r="G24" i="25"/>
  <c r="H24" i="25"/>
  <c r="E25" i="25"/>
  <c r="G25" i="25" s="1"/>
  <c r="H25" i="25" s="1"/>
  <c r="C26" i="25"/>
  <c r="C27" i="25"/>
  <c r="E27" i="25" s="1"/>
  <c r="C28" i="25"/>
  <c r="C29" i="25"/>
  <c r="C30" i="25"/>
  <c r="E30" i="25" s="1"/>
  <c r="C31" i="25"/>
  <c r="E31" i="25" s="1"/>
  <c r="C32" i="25"/>
  <c r="C33" i="25"/>
  <c r="C34" i="25"/>
  <c r="E34" i="25" s="1"/>
  <c r="D35" i="25"/>
  <c r="C40" i="25"/>
  <c r="D40" i="25"/>
  <c r="E40" i="25"/>
  <c r="G40" i="25"/>
  <c r="H40" i="25"/>
  <c r="C41" i="25"/>
  <c r="D41" i="25"/>
  <c r="E41" i="25"/>
  <c r="G41" i="25"/>
  <c r="H41" i="25" s="1"/>
  <c r="C42" i="25"/>
  <c r="D42" i="25"/>
  <c r="E42" i="25"/>
  <c r="G42" i="25" s="1"/>
  <c r="H42" i="25" s="1"/>
  <c r="C43" i="25"/>
  <c r="D43" i="25"/>
  <c r="C44" i="25"/>
  <c r="D44" i="25"/>
  <c r="D45" i="25"/>
  <c r="D46" i="25"/>
  <c r="C47" i="25"/>
  <c r="D47" i="25"/>
  <c r="C48" i="25"/>
  <c r="D48" i="25"/>
  <c r="D49" i="25"/>
  <c r="D50" i="25"/>
  <c r="C51" i="25"/>
  <c r="D51" i="25"/>
  <c r="A7" i="21"/>
  <c r="A8" i="21"/>
  <c r="D8" i="21"/>
  <c r="F8" i="21"/>
  <c r="G8" i="21"/>
  <c r="H8" i="21"/>
  <c r="I8" i="21"/>
  <c r="J8" i="21"/>
  <c r="K8" i="21"/>
  <c r="L8" i="21"/>
  <c r="M8" i="21"/>
  <c r="N8" i="21"/>
  <c r="O8" i="21"/>
  <c r="P8" i="21"/>
  <c r="Q8" i="21"/>
  <c r="A9" i="21"/>
  <c r="A10" i="21"/>
  <c r="A11" i="21" s="1"/>
  <c r="A12" i="21" s="1"/>
  <c r="A13" i="21" s="1"/>
  <c r="A14" i="21" s="1"/>
  <c r="A15" i="21" s="1"/>
  <c r="A17" i="21" s="1"/>
  <c r="A18" i="21" s="1"/>
  <c r="A19" i="21" s="1"/>
  <c r="A20" i="21" s="1"/>
  <c r="A21" i="21" s="1"/>
  <c r="A22" i="21" s="1"/>
  <c r="A23" i="21" s="1"/>
  <c r="D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D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G17" i="21"/>
  <c r="H17" i="21"/>
  <c r="O17" i="21"/>
  <c r="P17" i="21"/>
  <c r="G18" i="21"/>
  <c r="M18" i="21"/>
  <c r="D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G20" i="21"/>
  <c r="L20" i="21"/>
  <c r="M20" i="21"/>
  <c r="O20" i="21"/>
  <c r="P20" i="21"/>
  <c r="F21" i="21"/>
  <c r="G21" i="21"/>
  <c r="I21" i="21"/>
  <c r="L21" i="21"/>
  <c r="Q21" i="21"/>
  <c r="G23" i="21"/>
  <c r="H23" i="21"/>
  <c r="I23" i="21"/>
  <c r="N23" i="21"/>
  <c r="O23" i="21"/>
  <c r="Q23" i="21"/>
  <c r="A24" i="21"/>
  <c r="A25" i="21" s="1"/>
  <c r="A26" i="21" s="1"/>
  <c r="A27" i="21" s="1"/>
  <c r="A28" i="21" s="1"/>
  <c r="A29" i="21" s="1"/>
  <c r="A30" i="21" s="1"/>
  <c r="A31" i="21" s="1"/>
  <c r="A32" i="21" s="1"/>
  <c r="A33" i="21" s="1"/>
  <c r="F24" i="21"/>
  <c r="H24" i="21"/>
  <c r="K24" i="21"/>
  <c r="M24" i="21"/>
  <c r="Q24" i="21"/>
  <c r="E26" i="21"/>
  <c r="O33" i="21"/>
  <c r="P33" i="21"/>
  <c r="Q33" i="21"/>
  <c r="C35" i="21"/>
  <c r="C36" i="21"/>
  <c r="C44" i="7"/>
  <c r="B44" i="7"/>
  <c r="C43" i="7"/>
  <c r="B43" i="7"/>
  <c r="C42" i="7"/>
  <c r="B42" i="7"/>
  <c r="C41" i="7"/>
  <c r="B41" i="7"/>
  <c r="D41" i="7" s="1"/>
  <c r="C40" i="7"/>
  <c r="B40" i="7"/>
  <c r="C39" i="7"/>
  <c r="B39" i="7"/>
  <c r="B38" i="7"/>
  <c r="C38" i="7"/>
  <c r="C37" i="7"/>
  <c r="B37" i="7"/>
  <c r="D37" i="7" s="1"/>
  <c r="C36" i="7"/>
  <c r="B36" i="7"/>
  <c r="C35" i="7"/>
  <c r="B35" i="7"/>
  <c r="C34" i="7"/>
  <c r="B34" i="7"/>
  <c r="C33" i="7"/>
  <c r="B33" i="7"/>
  <c r="D33" i="7" s="1"/>
  <c r="C32" i="7"/>
  <c r="B32" i="7"/>
  <c r="C31" i="7"/>
  <c r="B31" i="7"/>
  <c r="C30" i="7"/>
  <c r="B30" i="7"/>
  <c r="C29" i="7"/>
  <c r="B14" i="7"/>
  <c r="D55" i="8"/>
  <c r="D54" i="8"/>
  <c r="B31" i="8"/>
  <c r="B6" i="8"/>
  <c r="D6" i="8" s="1"/>
  <c r="F9" i="24"/>
  <c r="F11" i="24" s="1"/>
  <c r="D43" i="7"/>
  <c r="D39" i="7"/>
  <c r="D35" i="7"/>
  <c r="D31" i="7"/>
  <c r="H84" i="8"/>
  <c r="B28" i="8"/>
  <c r="D28" i="8" s="1"/>
  <c r="D31" i="8"/>
  <c r="D29" i="8"/>
  <c r="B13" i="8"/>
  <c r="D4" i="8"/>
  <c r="C13" i="8"/>
  <c r="C15" i="8"/>
  <c r="D38" i="7"/>
  <c r="G9" i="24"/>
  <c r="I9" i="24"/>
  <c r="I11" i="24" s="1"/>
  <c r="D36" i="6"/>
  <c r="L11" i="24"/>
  <c r="L13" i="24"/>
  <c r="L15" i="24"/>
  <c r="L19" i="24"/>
  <c r="J9" i="24" l="1"/>
  <c r="N12" i="24"/>
  <c r="D22" i="10"/>
  <c r="D21" i="10"/>
  <c r="D20" i="10"/>
  <c r="D19" i="10"/>
  <c r="D18" i="10"/>
  <c r="D17" i="10"/>
  <c r="D16" i="10"/>
  <c r="D15" i="10"/>
  <c r="I13" i="24"/>
  <c r="I15" i="24" s="1"/>
  <c r="I19" i="24" s="1"/>
  <c r="I20" i="24" s="1"/>
  <c r="F13" i="24"/>
  <c r="F15" i="24" s="1"/>
  <c r="F19" i="24" s="1"/>
  <c r="J24" i="21"/>
  <c r="L24" i="21"/>
  <c r="P23" i="21"/>
  <c r="BO7" i="7"/>
  <c r="P21" i="21"/>
  <c r="M17" i="21"/>
  <c r="J17" i="21"/>
  <c r="AX4" i="7"/>
  <c r="N8" i="24"/>
  <c r="A115" i="6"/>
  <c r="A116" i="6" s="1"/>
  <c r="A117" i="6" s="1"/>
  <c r="A118" i="6" s="1"/>
  <c r="A119" i="6" s="1"/>
  <c r="A122" i="6" s="1"/>
  <c r="A123" i="6" s="1"/>
  <c r="A126" i="6" s="1"/>
  <c r="A127" i="6" s="1"/>
  <c r="A128" i="6" s="1"/>
  <c r="A130" i="6" s="1"/>
  <c r="A131" i="6" s="1"/>
  <c r="A132" i="6" s="1"/>
  <c r="A133" i="6" s="1"/>
  <c r="A135" i="6" s="1"/>
  <c r="A137" i="6" s="1"/>
  <c r="R36" i="6"/>
  <c r="R16" i="6"/>
  <c r="D11" i="6"/>
  <c r="R13" i="6"/>
  <c r="D18" i="6"/>
  <c r="D65" i="6"/>
  <c r="R12" i="6"/>
  <c r="F23" i="21"/>
  <c r="D20" i="21"/>
  <c r="D18" i="21"/>
  <c r="R41" i="6"/>
  <c r="D19" i="6"/>
  <c r="R20" i="6"/>
  <c r="D16" i="6"/>
  <c r="R65" i="6"/>
  <c r="K20" i="21"/>
  <c r="F18" i="21"/>
  <c r="O21" i="21"/>
  <c r="H21" i="21"/>
  <c r="J20" i="21"/>
  <c r="AX11" i="7"/>
  <c r="AR6" i="7"/>
  <c r="P24" i="21"/>
  <c r="L23" i="21"/>
  <c r="N21" i="21"/>
  <c r="H20" i="21"/>
  <c r="O18" i="21"/>
  <c r="O25" i="21" s="1"/>
  <c r="I18" i="21"/>
  <c r="AR8" i="7"/>
  <c r="G9" i="7"/>
  <c r="I25" i="21"/>
  <c r="K21" i="21"/>
  <c r="J23" i="21"/>
  <c r="J21" i="21"/>
  <c r="F20" i="21"/>
  <c r="K18" i="21"/>
  <c r="K25" i="21" s="1"/>
  <c r="Q25" i="21"/>
  <c r="M25" i="21"/>
  <c r="K23" i="21"/>
  <c r="L17" i="21"/>
  <c r="L25" i="21" s="1"/>
  <c r="I24" i="21"/>
  <c r="Q20" i="21"/>
  <c r="I20" i="21"/>
  <c r="F17" i="21"/>
  <c r="G8" i="7"/>
  <c r="D23" i="21"/>
  <c r="G6" i="7"/>
  <c r="D21" i="21"/>
  <c r="E18" i="24"/>
  <c r="H5" i="10"/>
  <c r="M15" i="24"/>
  <c r="M19" i="24" s="1"/>
  <c r="Q30" i="10" s="1"/>
  <c r="BN19" i="7" s="1"/>
  <c r="BP19" i="7" s="1"/>
  <c r="J11" i="24"/>
  <c r="J13" i="24" s="1"/>
  <c r="J15" i="24" s="1"/>
  <c r="J19" i="24" s="1"/>
  <c r="N30" i="10" s="1"/>
  <c r="D9" i="24"/>
  <c r="D11" i="24" s="1"/>
  <c r="D13" i="24" s="1"/>
  <c r="D15" i="24" s="1"/>
  <c r="D19" i="24" s="1"/>
  <c r="M13" i="24"/>
  <c r="C9" i="24"/>
  <c r="C11" i="24" s="1"/>
  <c r="C13" i="24" s="1"/>
  <c r="C15" i="24" s="1"/>
  <c r="C19" i="24" s="1"/>
  <c r="R66" i="6"/>
  <c r="R42" i="6"/>
  <c r="R43" i="6"/>
  <c r="D43" i="6"/>
  <c r="D41" i="6"/>
  <c r="R17" i="6"/>
  <c r="D14" i="6"/>
  <c r="R14" i="6"/>
  <c r="D12" i="6"/>
  <c r="R9" i="6"/>
  <c r="D9" i="6"/>
  <c r="D8" i="6"/>
  <c r="R8" i="6"/>
  <c r="D17" i="21"/>
  <c r="B15" i="8"/>
  <c r="D15" i="8" s="1"/>
  <c r="D13" i="8"/>
  <c r="P30" i="10"/>
  <c r="BH19" i="7" s="1"/>
  <c r="BJ19" i="7" s="1"/>
  <c r="L20" i="24"/>
  <c r="J30" i="10"/>
  <c r="J31" i="21" s="1"/>
  <c r="F20" i="24"/>
  <c r="G16" i="25"/>
  <c r="H16" i="25" s="1"/>
  <c r="E18" i="25"/>
  <c r="H9" i="24"/>
  <c r="H11" i="24" s="1"/>
  <c r="H13" i="24" s="1"/>
  <c r="H15" i="24" s="1"/>
  <c r="H19" i="24" s="1"/>
  <c r="G11" i="24"/>
  <c r="G13" i="24" s="1"/>
  <c r="G15" i="24" s="1"/>
  <c r="G19" i="24" s="1"/>
  <c r="N10" i="24"/>
  <c r="N25" i="21"/>
  <c r="J25" i="21"/>
  <c r="F25" i="21"/>
  <c r="G34" i="25"/>
  <c r="H34" i="25" s="1"/>
  <c r="E51" i="25"/>
  <c r="G51" i="25" s="1"/>
  <c r="H51" i="25" s="1"/>
  <c r="G30" i="25"/>
  <c r="H30" i="25" s="1"/>
  <c r="E47" i="25"/>
  <c r="G47" i="25" s="1"/>
  <c r="H47" i="25" s="1"/>
  <c r="E26" i="25"/>
  <c r="C35" i="25"/>
  <c r="BC11" i="7"/>
  <c r="O24" i="21"/>
  <c r="M11" i="7"/>
  <c r="D24" i="21"/>
  <c r="G24" i="21"/>
  <c r="D32" i="7"/>
  <c r="D36" i="7"/>
  <c r="C50" i="25"/>
  <c r="E33" i="25"/>
  <c r="C46" i="25"/>
  <c r="E29" i="25"/>
  <c r="H23" i="25"/>
  <c r="D52" i="25"/>
  <c r="E32" i="25"/>
  <c r="C49" i="25"/>
  <c r="E28" i="25"/>
  <c r="C45" i="25"/>
  <c r="BI7" i="7"/>
  <c r="BI16" i="7" s="1"/>
  <c r="BI18" i="7" s="1"/>
  <c r="P23" i="10"/>
  <c r="R7" i="7"/>
  <c r="R13" i="7" s="1"/>
  <c r="R16" i="7" s="1"/>
  <c r="R18" i="7" s="1"/>
  <c r="H23" i="10"/>
  <c r="BO4" i="7"/>
  <c r="BO16" i="7" s="1"/>
  <c r="BO18" i="7" s="1"/>
  <c r="Q23" i="10"/>
  <c r="W4" i="7"/>
  <c r="W13" i="7" s="1"/>
  <c r="W16" i="7" s="1"/>
  <c r="W18" i="7" s="1"/>
  <c r="I23" i="10"/>
  <c r="E48" i="25"/>
  <c r="G48" i="25" s="1"/>
  <c r="H48" i="25" s="1"/>
  <c r="G31" i="25"/>
  <c r="H31" i="25" s="1"/>
  <c r="E44" i="25"/>
  <c r="G44" i="25" s="1"/>
  <c r="H44" i="25" s="1"/>
  <c r="G27" i="25"/>
  <c r="H27" i="25" s="1"/>
  <c r="H7" i="25"/>
  <c r="H18" i="25" s="1"/>
  <c r="A24" i="27"/>
  <c r="A14" i="6"/>
  <c r="AR9" i="7"/>
  <c r="M23" i="10"/>
  <c r="R19" i="6"/>
  <c r="N21" i="24"/>
  <c r="N22" i="24" s="1"/>
  <c r="K9" i="24"/>
  <c r="K11" i="24" s="1"/>
  <c r="K13" i="24" s="1"/>
  <c r="K15" i="24" s="1"/>
  <c r="K19" i="24" s="1"/>
  <c r="AM7" i="7"/>
  <c r="AM16" i="7" s="1"/>
  <c r="AM18" i="7" s="1"/>
  <c r="L23" i="10"/>
  <c r="A5" i="27"/>
  <c r="A16" i="10"/>
  <c r="E9" i="24"/>
  <c r="R18" i="6"/>
  <c r="R10" i="6"/>
  <c r="AX7" i="7"/>
  <c r="AX16" i="7" s="1"/>
  <c r="AX18" i="7" s="1"/>
  <c r="N23" i="10"/>
  <c r="G7" i="7"/>
  <c r="F23" i="10"/>
  <c r="BC4" i="7"/>
  <c r="O23" i="10"/>
  <c r="M4" i="7"/>
  <c r="M16" i="7" s="1"/>
  <c r="M18" i="7" s="1"/>
  <c r="G23" i="10"/>
  <c r="AZ29" i="7"/>
  <c r="BA29" i="7" s="1"/>
  <c r="AY60" i="7"/>
  <c r="AZ60" i="7" s="1"/>
  <c r="B11" i="24"/>
  <c r="G7" i="24"/>
  <c r="F18" i="24"/>
  <c r="D17" i="6"/>
  <c r="AB7" i="7"/>
  <c r="J23" i="10"/>
  <c r="AH4" i="7"/>
  <c r="AH13" i="7" s="1"/>
  <c r="AH16" i="7" s="1"/>
  <c r="AH18" i="7" s="1"/>
  <c r="K23" i="10"/>
  <c r="AU13" i="8"/>
  <c r="AV4" i="8"/>
  <c r="AF48" i="8"/>
  <c r="AQ19" i="8"/>
  <c r="AR15" i="8"/>
  <c r="AR19" i="8" s="1"/>
  <c r="X15" i="8"/>
  <c r="X19" i="8" s="1"/>
  <c r="X21" i="8" s="1"/>
  <c r="AN13" i="8"/>
  <c r="AL15" i="8"/>
  <c r="AN15" i="8" s="1"/>
  <c r="AN19" i="8" s="1"/>
  <c r="AR48" i="8"/>
  <c r="AQ46" i="8"/>
  <c r="AR46" i="8" s="1"/>
  <c r="H13" i="8"/>
  <c r="F15" i="8"/>
  <c r="H15" i="8" s="1"/>
  <c r="H19" i="8" s="1"/>
  <c r="O13" i="8"/>
  <c r="O15" i="8" s="1"/>
  <c r="P4" i="8"/>
  <c r="K46" i="8"/>
  <c r="L46" i="8" s="1"/>
  <c r="AH15" i="8"/>
  <c r="AJ15" i="8" s="1"/>
  <c r="AJ19" i="8" s="1"/>
  <c r="AA15" i="8"/>
  <c r="AB15" i="8" s="1"/>
  <c r="AB19" i="8" s="1"/>
  <c r="AB21" i="8" s="1"/>
  <c r="X13" i="8"/>
  <c r="L6" i="8"/>
  <c r="J13" i="8"/>
  <c r="AF4" i="8"/>
  <c r="D39" i="8"/>
  <c r="D48" i="8" s="1"/>
  <c r="B44" i="8"/>
  <c r="C45" i="8" s="1"/>
  <c r="C46" i="8" s="1"/>
  <c r="D46" i="8" s="1"/>
  <c r="D47" i="8" s="1"/>
  <c r="D49" i="8" s="1"/>
  <c r="BD29" i="7"/>
  <c r="N29" i="7"/>
  <c r="O29" i="7" s="1"/>
  <c r="P29" i="7" s="1"/>
  <c r="AF13" i="8"/>
  <c r="P6" i="8"/>
  <c r="N13" i="8"/>
  <c r="P70" i="6"/>
  <c r="O70" i="6"/>
  <c r="N70" i="6"/>
  <c r="P69" i="6"/>
  <c r="O69" i="6"/>
  <c r="N69" i="6"/>
  <c r="M30" i="10" l="1"/>
  <c r="AQ19" i="7" s="1"/>
  <c r="AS19" i="7" s="1"/>
  <c r="C20" i="24"/>
  <c r="G30" i="10"/>
  <c r="G31" i="21" s="1"/>
  <c r="D25" i="21"/>
  <c r="A63" i="27"/>
  <c r="E35" i="25"/>
  <c r="D30" i="7"/>
  <c r="D34" i="7"/>
  <c r="D40" i="7"/>
  <c r="D42" i="7"/>
  <c r="D44" i="7"/>
  <c r="G25" i="21"/>
  <c r="P25" i="21"/>
  <c r="H25" i="21"/>
  <c r="M11" i="24"/>
  <c r="D66" i="6"/>
  <c r="D42" i="6"/>
  <c r="D20" i="6"/>
  <c r="D15" i="6"/>
  <c r="R15" i="6"/>
  <c r="D13" i="6"/>
  <c r="R11" i="6"/>
  <c r="D10" i="6"/>
  <c r="BP29" i="7"/>
  <c r="BQ29" i="7" s="1"/>
  <c r="BR29" i="7" s="1"/>
  <c r="S29" i="7"/>
  <c r="T29" i="7" s="1"/>
  <c r="U29" i="7" s="1"/>
  <c r="N14" i="7"/>
  <c r="AJ48" i="8"/>
  <c r="P48" i="8"/>
  <c r="AZ40" i="8"/>
  <c r="AV40" i="8"/>
  <c r="AJ40" i="8"/>
  <c r="AF40" i="8"/>
  <c r="T40" i="8"/>
  <c r="P40" i="8"/>
  <c r="D36" i="8"/>
  <c r="D35" i="8"/>
  <c r="C40" i="8"/>
  <c r="D40" i="8" s="1"/>
  <c r="AZ15" i="8"/>
  <c r="AZ19" i="8" s="1"/>
  <c r="T15" i="8"/>
  <c r="T19" i="8" s="1"/>
  <c r="T21" i="8" s="1"/>
  <c r="AZ13" i="8"/>
  <c r="AJ13" i="8"/>
  <c r="T13" i="8"/>
  <c r="D5" i="8"/>
  <c r="J20" i="24"/>
  <c r="M20" i="24"/>
  <c r="AR16" i="7"/>
  <c r="AR18" i="7" s="1"/>
  <c r="G16" i="7"/>
  <c r="G18" i="7" s="1"/>
  <c r="H14" i="10"/>
  <c r="I5" i="10"/>
  <c r="H30" i="10"/>
  <c r="D20" i="24"/>
  <c r="J15" i="8"/>
  <c r="L15" i="8" s="1"/>
  <c r="L19" i="8" s="1"/>
  <c r="L21" i="8" s="1"/>
  <c r="L13" i="8"/>
  <c r="B13" i="24"/>
  <c r="E11" i="24"/>
  <c r="E13" i="24" s="1"/>
  <c r="E15" i="24" s="1"/>
  <c r="E19" i="24" s="1"/>
  <c r="N9" i="24"/>
  <c r="G29" i="25"/>
  <c r="H29" i="25" s="1"/>
  <c r="E46" i="25"/>
  <c r="G46" i="25" s="1"/>
  <c r="H46" i="25" s="1"/>
  <c r="N31" i="21"/>
  <c r="AW19" i="7"/>
  <c r="AY19" i="7" s="1"/>
  <c r="H7" i="24"/>
  <c r="G18" i="24"/>
  <c r="BC16" i="7"/>
  <c r="BC18" i="7" s="1"/>
  <c r="A6" i="27"/>
  <c r="A17" i="10"/>
  <c r="K20" i="24"/>
  <c r="O30" i="10"/>
  <c r="BB19" i="7" s="1"/>
  <c r="BD19" i="7" s="1"/>
  <c r="A25" i="27"/>
  <c r="A15" i="6"/>
  <c r="G18" i="25"/>
  <c r="C52" i="25"/>
  <c r="G26" i="25"/>
  <c r="E43" i="25"/>
  <c r="BE29" i="7"/>
  <c r="BF29" i="7" s="1"/>
  <c r="B29" i="7"/>
  <c r="D29" i="7" s="1"/>
  <c r="H21" i="8"/>
  <c r="K30" i="10"/>
  <c r="G20" i="24"/>
  <c r="M31" i="21"/>
  <c r="G32" i="25"/>
  <c r="H32" i="25" s="1"/>
  <c r="E49" i="25"/>
  <c r="G49" i="25" s="1"/>
  <c r="H49" i="25" s="1"/>
  <c r="L30" i="10"/>
  <c r="L31" i="21" s="1"/>
  <c r="H20" i="24"/>
  <c r="D23" i="10"/>
  <c r="N15" i="8"/>
  <c r="P15" i="8" s="1"/>
  <c r="P19" i="8" s="1"/>
  <c r="P21" i="8" s="1"/>
  <c r="P13" i="8"/>
  <c r="AU15" i="8"/>
  <c r="AV13" i="8"/>
  <c r="AB13" i="7"/>
  <c r="AB16" i="7"/>
  <c r="AB18" i="7" s="1"/>
  <c r="G28" i="25"/>
  <c r="H28" i="25" s="1"/>
  <c r="E45" i="25"/>
  <c r="G45" i="25" s="1"/>
  <c r="H45" i="25" s="1"/>
  <c r="G33" i="25"/>
  <c r="H33" i="25" s="1"/>
  <c r="E50" i="25"/>
  <c r="G50" i="25" s="1"/>
  <c r="H50" i="25" s="1"/>
  <c r="L19" i="7"/>
  <c r="N19" i="7" s="1"/>
  <c r="D56" i="8"/>
  <c r="D57" i="8" s="1"/>
  <c r="D19" i="8"/>
  <c r="A64" i="27"/>
  <c r="D51" i="6" l="1"/>
  <c r="R51" i="6"/>
  <c r="N11" i="24"/>
  <c r="J5" i="10"/>
  <c r="I14" i="10"/>
  <c r="Q19" i="7"/>
  <c r="S19" i="7" s="1"/>
  <c r="H31" i="21"/>
  <c r="G43" i="25"/>
  <c r="E52" i="25"/>
  <c r="AV15" i="8"/>
  <c r="AV19" i="8" s="1"/>
  <c r="AZ21" i="8" s="1"/>
  <c r="AU19" i="8"/>
  <c r="H18" i="24"/>
  <c r="I7" i="24"/>
  <c r="E20" i="24"/>
  <c r="I30" i="10"/>
  <c r="I31" i="21" s="1"/>
  <c r="B15" i="24"/>
  <c r="N13" i="24"/>
  <c r="A65" i="27"/>
  <c r="AG19" i="7"/>
  <c r="AI19" i="7" s="1"/>
  <c r="K31" i="21"/>
  <c r="H26" i="25"/>
  <c r="H35" i="25" s="1"/>
  <c r="G35" i="25"/>
  <c r="A16" i="6"/>
  <c r="A34" i="27"/>
  <c r="A7" i="27"/>
  <c r="A18" i="10"/>
  <c r="J14" i="10" l="1"/>
  <c r="K5" i="10"/>
  <c r="A35" i="27"/>
  <c r="A17" i="6"/>
  <c r="A8" i="27"/>
  <c r="A19" i="10"/>
  <c r="I18" i="24"/>
  <c r="J7" i="24"/>
  <c r="A66" i="27"/>
  <c r="N15" i="24"/>
  <c r="N19" i="24" s="1"/>
  <c r="N20" i="24" s="1"/>
  <c r="B19" i="24"/>
  <c r="H43" i="25"/>
  <c r="H52" i="25" s="1"/>
  <c r="G52" i="25"/>
  <c r="K14" i="10" l="1"/>
  <c r="L5" i="10"/>
  <c r="A67" i="27"/>
  <c r="F30" i="10"/>
  <c r="B20" i="24"/>
  <c r="K7" i="24"/>
  <c r="J18" i="24"/>
  <c r="A9" i="27"/>
  <c r="A20" i="10"/>
  <c r="A36" i="27"/>
  <c r="A18" i="6"/>
  <c r="M5" i="10" l="1"/>
  <c r="L14" i="10"/>
  <c r="L7" i="24"/>
  <c r="K18" i="24"/>
  <c r="A10" i="27"/>
  <c r="A21" i="10"/>
  <c r="A37" i="27"/>
  <c r="A19" i="6"/>
  <c r="F31" i="21"/>
  <c r="D31" i="21" s="1"/>
  <c r="D30" i="10"/>
  <c r="F19" i="7"/>
  <c r="A68" i="27"/>
  <c r="M14" i="10" l="1"/>
  <c r="N5" i="10"/>
  <c r="B19" i="7"/>
  <c r="D19" i="7" s="1"/>
  <c r="H19" i="7"/>
  <c r="M7" i="24"/>
  <c r="M18" i="24" s="1"/>
  <c r="L18" i="24"/>
  <c r="A69" i="27"/>
  <c r="A38" i="27"/>
  <c r="A20" i="6"/>
  <c r="A11" i="27"/>
  <c r="A22" i="10"/>
  <c r="O5" i="10" l="1"/>
  <c r="N14" i="10"/>
  <c r="A70" i="27"/>
  <c r="A21" i="6"/>
  <c r="A22" i="6" s="1"/>
  <c r="A23" i="6" s="1"/>
  <c r="A40" i="6" s="1"/>
  <c r="A41" i="6" s="1"/>
  <c r="A39" i="27"/>
  <c r="A12" i="27"/>
  <c r="A23" i="10"/>
  <c r="A24" i="10" s="1"/>
  <c r="A25" i="10" s="1"/>
  <c r="A26" i="10" s="1"/>
  <c r="A27" i="10" s="1"/>
  <c r="O14" i="10" l="1"/>
  <c r="P5" i="10"/>
  <c r="A72" i="27"/>
  <c r="A13" i="27"/>
  <c r="A28" i="10"/>
  <c r="A29" i="10" s="1"/>
  <c r="A30" i="10" s="1"/>
  <c r="A31" i="10" s="1"/>
  <c r="A32" i="10" s="1"/>
  <c r="A33" i="10" s="1"/>
  <c r="A42" i="6"/>
  <c r="A44" i="27"/>
  <c r="P14" i="10" l="1"/>
  <c r="Q5" i="10"/>
  <c r="Q14" i="10" s="1"/>
  <c r="A45" i="27"/>
  <c r="A43" i="6"/>
  <c r="A44" i="6" l="1"/>
  <c r="A45" i="6" s="1"/>
  <c r="A58" i="6" s="1"/>
  <c r="A59" i="6" s="1"/>
  <c r="A60" i="6" s="1"/>
  <c r="A61" i="6" s="1"/>
  <c r="A62" i="6" s="1"/>
  <c r="A65" i="6" s="1"/>
  <c r="A46" i="27"/>
  <c r="A49" i="27" l="1"/>
  <c r="A66" i="6"/>
  <c r="A69" i="6" l="1"/>
  <c r="A70" i="6" s="1"/>
  <c r="A73" i="6" s="1"/>
  <c r="A74" i="6" s="1"/>
  <c r="A75" i="6" s="1"/>
  <c r="A76" i="6" s="1"/>
  <c r="A77" i="6" s="1"/>
  <c r="A78" i="6" s="1"/>
  <c r="A79" i="6" s="1"/>
  <c r="A81" i="6" s="1"/>
  <c r="A85" i="6" s="1"/>
  <c r="A50" i="27"/>
  <c r="G27" i="6" l="1"/>
  <c r="K27" i="6"/>
  <c r="O27" i="6"/>
  <c r="G28" i="6"/>
  <c r="K28" i="6"/>
  <c r="O28" i="6"/>
  <c r="G29" i="6"/>
  <c r="K29" i="6"/>
  <c r="O29" i="6"/>
  <c r="G30" i="6"/>
  <c r="K30" i="6"/>
  <c r="O30" i="6"/>
  <c r="G31" i="6"/>
  <c r="K31" i="6"/>
  <c r="O31" i="6"/>
  <c r="G32" i="6"/>
  <c r="K32" i="6"/>
  <c r="O32" i="6"/>
  <c r="G33" i="6"/>
  <c r="K33" i="6"/>
  <c r="O33" i="6"/>
  <c r="G34" i="6"/>
  <c r="K34" i="6"/>
  <c r="O34" i="6"/>
  <c r="G35" i="6"/>
  <c r="K35" i="6"/>
  <c r="O35" i="6"/>
  <c r="G49" i="6"/>
  <c r="K49" i="6"/>
  <c r="O49" i="6"/>
  <c r="G50" i="6"/>
  <c r="K50" i="6"/>
  <c r="O50" i="6"/>
  <c r="G52" i="6"/>
  <c r="K52" i="6"/>
  <c r="O52" i="6"/>
  <c r="G53" i="6"/>
  <c r="K53" i="6"/>
  <c r="O53" i="6"/>
  <c r="G54" i="6"/>
  <c r="K54" i="6"/>
  <c r="O54" i="6"/>
  <c r="G58" i="6"/>
  <c r="K58" i="6"/>
  <c r="O58" i="6"/>
  <c r="G59" i="6"/>
  <c r="K59" i="6"/>
  <c r="O59" i="6"/>
  <c r="G60" i="6"/>
  <c r="K60" i="6"/>
  <c r="O60" i="6"/>
  <c r="G61" i="6"/>
  <c r="K61" i="6"/>
  <c r="O61" i="6"/>
  <c r="G73" i="6"/>
  <c r="K73" i="6"/>
  <c r="O73" i="6"/>
  <c r="G74" i="6"/>
  <c r="K74" i="6"/>
  <c r="O74" i="6"/>
  <c r="G75" i="6"/>
  <c r="K75" i="6"/>
  <c r="O75" i="6"/>
  <c r="G76" i="6"/>
  <c r="K76" i="6"/>
  <c r="O76" i="6"/>
  <c r="G77" i="6"/>
  <c r="K77" i="6"/>
  <c r="O77" i="6"/>
  <c r="G78" i="6"/>
  <c r="K78" i="6"/>
  <c r="O78" i="6"/>
  <c r="G85" i="6"/>
  <c r="K85" i="6"/>
  <c r="O85" i="6"/>
  <c r="G86" i="6"/>
  <c r="K86" i="6"/>
  <c r="O86" i="6"/>
  <c r="G87" i="6"/>
  <c r="K87" i="6"/>
  <c r="O87" i="6"/>
  <c r="G88" i="6"/>
  <c r="K88" i="6"/>
  <c r="O88" i="6"/>
  <c r="G89" i="6"/>
  <c r="K89" i="6"/>
  <c r="O89" i="6"/>
  <c r="G90" i="6"/>
  <c r="K90" i="6"/>
  <c r="O90" i="6"/>
  <c r="G91" i="6"/>
  <c r="K91" i="6"/>
  <c r="O91" i="6"/>
  <c r="G95" i="6"/>
  <c r="K95" i="6"/>
  <c r="O95" i="6"/>
  <c r="G96" i="6"/>
  <c r="K96" i="6"/>
  <c r="O96" i="6"/>
  <c r="G97" i="6"/>
  <c r="K97" i="6"/>
  <c r="O97" i="6"/>
  <c r="G101" i="6"/>
  <c r="K101" i="6"/>
  <c r="O101" i="6"/>
  <c r="G102" i="6"/>
  <c r="K102" i="6"/>
  <c r="O102" i="6"/>
  <c r="G103" i="6"/>
  <c r="K103" i="6"/>
  <c r="O103" i="6"/>
  <c r="G104" i="6"/>
  <c r="H27" i="6"/>
  <c r="L27" i="6"/>
  <c r="P27" i="6"/>
  <c r="H28" i="6"/>
  <c r="L28" i="6"/>
  <c r="P28" i="6"/>
  <c r="H29" i="6"/>
  <c r="L29" i="6"/>
  <c r="P29" i="6"/>
  <c r="H30" i="6"/>
  <c r="L30" i="6"/>
  <c r="P30" i="6"/>
  <c r="H31" i="6"/>
  <c r="L31" i="6"/>
  <c r="P31" i="6"/>
  <c r="H32" i="6"/>
  <c r="L32" i="6"/>
  <c r="P32" i="6"/>
  <c r="H33" i="6"/>
  <c r="L33" i="6"/>
  <c r="P33" i="6"/>
  <c r="H34" i="6"/>
  <c r="L34" i="6"/>
  <c r="P34" i="6"/>
  <c r="H35" i="6"/>
  <c r="L35" i="6"/>
  <c r="P35" i="6"/>
  <c r="H49" i="6"/>
  <c r="L49" i="6"/>
  <c r="P49" i="6"/>
  <c r="H50" i="6"/>
  <c r="L50" i="6"/>
  <c r="P50" i="6"/>
  <c r="H52" i="6"/>
  <c r="L52" i="6"/>
  <c r="P52" i="6"/>
  <c r="H53" i="6"/>
  <c r="L53" i="6"/>
  <c r="P53" i="6"/>
  <c r="H54" i="6"/>
  <c r="L54" i="6"/>
  <c r="P54" i="6"/>
  <c r="H58" i="6"/>
  <c r="L58" i="6"/>
  <c r="P58" i="6"/>
  <c r="H59" i="6"/>
  <c r="L59" i="6"/>
  <c r="P59" i="6"/>
  <c r="H60" i="6"/>
  <c r="L60" i="6"/>
  <c r="P60" i="6"/>
  <c r="H61" i="6"/>
  <c r="L61" i="6"/>
  <c r="P61" i="6"/>
  <c r="H73" i="6"/>
  <c r="L73" i="6"/>
  <c r="P73" i="6"/>
  <c r="H74" i="6"/>
  <c r="L74" i="6"/>
  <c r="P74" i="6"/>
  <c r="H75" i="6"/>
  <c r="L75" i="6"/>
  <c r="P75" i="6"/>
  <c r="H76" i="6"/>
  <c r="L76" i="6"/>
  <c r="P76" i="6"/>
  <c r="H77" i="6"/>
  <c r="L77" i="6"/>
  <c r="P77" i="6"/>
  <c r="H78" i="6"/>
  <c r="L78" i="6"/>
  <c r="P78" i="6"/>
  <c r="H85" i="6"/>
  <c r="L85" i="6"/>
  <c r="P85" i="6"/>
  <c r="H86" i="6"/>
  <c r="L86" i="6"/>
  <c r="P86" i="6"/>
  <c r="H87" i="6"/>
  <c r="L87" i="6"/>
  <c r="P87" i="6"/>
  <c r="H88" i="6"/>
  <c r="L88" i="6"/>
  <c r="P88" i="6"/>
  <c r="H89" i="6"/>
  <c r="L89" i="6"/>
  <c r="P89" i="6"/>
  <c r="H90" i="6"/>
  <c r="L90" i="6"/>
  <c r="P90" i="6"/>
  <c r="H91" i="6"/>
  <c r="L91" i="6"/>
  <c r="P91" i="6"/>
  <c r="H95" i="6"/>
  <c r="L95" i="6"/>
  <c r="P95" i="6"/>
  <c r="H96" i="6"/>
  <c r="L96" i="6"/>
  <c r="P96" i="6"/>
  <c r="H97" i="6"/>
  <c r="L97" i="6"/>
  <c r="P97" i="6"/>
  <c r="H101" i="6"/>
  <c r="L101" i="6"/>
  <c r="P101" i="6"/>
  <c r="H102" i="6"/>
  <c r="L102" i="6"/>
  <c r="P102" i="6"/>
  <c r="H103" i="6"/>
  <c r="L103" i="6"/>
  <c r="P103" i="6"/>
  <c r="H104" i="6"/>
  <c r="L104" i="6"/>
  <c r="E27" i="6"/>
  <c r="I27" i="6"/>
  <c r="M27" i="6"/>
  <c r="E28" i="6"/>
  <c r="I28" i="6"/>
  <c r="M28" i="6"/>
  <c r="E29" i="6"/>
  <c r="I29" i="6"/>
  <c r="M29" i="6"/>
  <c r="E30" i="6"/>
  <c r="I30" i="6"/>
  <c r="M30" i="6"/>
  <c r="E31" i="6"/>
  <c r="I31" i="6"/>
  <c r="M31" i="6"/>
  <c r="E32" i="6"/>
  <c r="I32" i="6"/>
  <c r="M32" i="6"/>
  <c r="E33" i="6"/>
  <c r="I33" i="6"/>
  <c r="M33" i="6"/>
  <c r="E34" i="6"/>
  <c r="I34" i="6"/>
  <c r="M34" i="6"/>
  <c r="E35" i="6"/>
  <c r="I35" i="6"/>
  <c r="M35" i="6"/>
  <c r="E49" i="6"/>
  <c r="I49" i="6"/>
  <c r="M49" i="6"/>
  <c r="E50" i="6"/>
  <c r="I50" i="6"/>
  <c r="M50" i="6"/>
  <c r="E52" i="6"/>
  <c r="I52" i="6"/>
  <c r="M52" i="6"/>
  <c r="E53" i="6"/>
  <c r="I53" i="6"/>
  <c r="M53" i="6"/>
  <c r="E54" i="6"/>
  <c r="I54" i="6"/>
  <c r="M54" i="6"/>
  <c r="E58" i="6"/>
  <c r="I58" i="6"/>
  <c r="M58" i="6"/>
  <c r="E59" i="6"/>
  <c r="I59" i="6"/>
  <c r="M59" i="6"/>
  <c r="E60" i="6"/>
  <c r="I60" i="6"/>
  <c r="M60" i="6"/>
  <c r="E61" i="6"/>
  <c r="I61" i="6"/>
  <c r="M61" i="6"/>
  <c r="E73" i="6"/>
  <c r="I73" i="6"/>
  <c r="M73" i="6"/>
  <c r="E74" i="6"/>
  <c r="I74" i="6"/>
  <c r="M74" i="6"/>
  <c r="E75" i="6"/>
  <c r="I75" i="6"/>
  <c r="M75" i="6"/>
  <c r="E76" i="6"/>
  <c r="I76" i="6"/>
  <c r="M76" i="6"/>
  <c r="E77" i="6"/>
  <c r="I77" i="6"/>
  <c r="M77" i="6"/>
  <c r="E78" i="6"/>
  <c r="I78" i="6"/>
  <c r="M78" i="6"/>
  <c r="E85" i="6"/>
  <c r="I85" i="6"/>
  <c r="M85" i="6"/>
  <c r="E86" i="6"/>
  <c r="F27" i="6"/>
  <c r="J28" i="6"/>
  <c r="N29" i="6"/>
  <c r="F31" i="6"/>
  <c r="J32" i="6"/>
  <c r="N33" i="6"/>
  <c r="F35" i="6"/>
  <c r="J49" i="6"/>
  <c r="N50" i="6"/>
  <c r="F52" i="6"/>
  <c r="J53" i="6"/>
  <c r="N54" i="6"/>
  <c r="F59" i="6"/>
  <c r="J60" i="6"/>
  <c r="N61" i="6"/>
  <c r="F74" i="6"/>
  <c r="J75" i="6"/>
  <c r="N76" i="6"/>
  <c r="F78" i="6"/>
  <c r="J85" i="6"/>
  <c r="J86" i="6"/>
  <c r="F87" i="6"/>
  <c r="N87" i="6"/>
  <c r="J88" i="6"/>
  <c r="F89" i="6"/>
  <c r="N89" i="6"/>
  <c r="J90" i="6"/>
  <c r="F91" i="6"/>
  <c r="N91" i="6"/>
  <c r="J95" i="6"/>
  <c r="F96" i="6"/>
  <c r="N96" i="6"/>
  <c r="J97" i="6"/>
  <c r="F101" i="6"/>
  <c r="N101" i="6"/>
  <c r="J102" i="6"/>
  <c r="F103" i="6"/>
  <c r="N103" i="6"/>
  <c r="J104" i="6"/>
  <c r="O104" i="6"/>
  <c r="G108" i="6"/>
  <c r="K108" i="6"/>
  <c r="O108" i="6"/>
  <c r="G109" i="6"/>
  <c r="K109" i="6"/>
  <c r="O109" i="6"/>
  <c r="G110" i="6"/>
  <c r="K110" i="6"/>
  <c r="O110" i="6"/>
  <c r="G111" i="6"/>
  <c r="K111" i="6"/>
  <c r="O111" i="6"/>
  <c r="G112" i="6"/>
  <c r="K112" i="6"/>
  <c r="O112" i="6"/>
  <c r="G113" i="6"/>
  <c r="K113" i="6"/>
  <c r="O113" i="6"/>
  <c r="G114" i="6"/>
  <c r="K114" i="6"/>
  <c r="O114" i="6"/>
  <c r="G116" i="6"/>
  <c r="K116" i="6"/>
  <c r="O116" i="6"/>
  <c r="G117" i="6"/>
  <c r="K117" i="6"/>
  <c r="O117" i="6"/>
  <c r="G118" i="6"/>
  <c r="K118" i="6"/>
  <c r="O118" i="6"/>
  <c r="G122" i="6"/>
  <c r="K122" i="6"/>
  <c r="O122" i="6"/>
  <c r="G127" i="6"/>
  <c r="K127" i="6"/>
  <c r="O127" i="6"/>
  <c r="G130" i="6"/>
  <c r="K130" i="6"/>
  <c r="O130" i="6"/>
  <c r="G131" i="6"/>
  <c r="K131" i="6"/>
  <c r="O131" i="6"/>
  <c r="G132" i="6"/>
  <c r="K132" i="6"/>
  <c r="O132" i="6"/>
  <c r="J27" i="6"/>
  <c r="N28" i="6"/>
  <c r="F30" i="6"/>
  <c r="J31" i="6"/>
  <c r="N32" i="6"/>
  <c r="F34" i="6"/>
  <c r="J35" i="6"/>
  <c r="N49" i="6"/>
  <c r="J52" i="6"/>
  <c r="N53" i="6"/>
  <c r="F58" i="6"/>
  <c r="J59" i="6"/>
  <c r="N60" i="6"/>
  <c r="F73" i="6"/>
  <c r="J74" i="6"/>
  <c r="N75" i="6"/>
  <c r="F77" i="6"/>
  <c r="J78" i="6"/>
  <c r="N85" i="6"/>
  <c r="M86" i="6"/>
  <c r="I87" i="6"/>
  <c r="E88" i="6"/>
  <c r="M88" i="6"/>
  <c r="I89" i="6"/>
  <c r="E90" i="6"/>
  <c r="M90" i="6"/>
  <c r="I91" i="6"/>
  <c r="E95" i="6"/>
  <c r="M95" i="6"/>
  <c r="I96" i="6"/>
  <c r="E97" i="6"/>
  <c r="M97" i="6"/>
  <c r="I101" i="6"/>
  <c r="E102" i="6"/>
  <c r="M102" i="6"/>
  <c r="I103" i="6"/>
  <c r="E104" i="6"/>
  <c r="K104" i="6"/>
  <c r="P104" i="6"/>
  <c r="H108" i="6"/>
  <c r="L108" i="6"/>
  <c r="P108" i="6"/>
  <c r="H109" i="6"/>
  <c r="L109" i="6"/>
  <c r="P109" i="6"/>
  <c r="H110" i="6"/>
  <c r="L110" i="6"/>
  <c r="P110" i="6"/>
  <c r="H111" i="6"/>
  <c r="L111" i="6"/>
  <c r="P111" i="6"/>
  <c r="H112" i="6"/>
  <c r="L112" i="6"/>
  <c r="P112" i="6"/>
  <c r="H113" i="6"/>
  <c r="L113" i="6"/>
  <c r="P113" i="6"/>
  <c r="H114" i="6"/>
  <c r="L114" i="6"/>
  <c r="P114" i="6"/>
  <c r="H116" i="6"/>
  <c r="L116" i="6"/>
  <c r="P116" i="6"/>
  <c r="H117" i="6"/>
  <c r="L117" i="6"/>
  <c r="P117" i="6"/>
  <c r="H118" i="6"/>
  <c r="L118" i="6"/>
  <c r="P118" i="6"/>
  <c r="H122" i="6"/>
  <c r="L122" i="6"/>
  <c r="P122" i="6"/>
  <c r="H127" i="6"/>
  <c r="L127" i="6"/>
  <c r="P127" i="6"/>
  <c r="H130" i="6"/>
  <c r="L130" i="6"/>
  <c r="P130" i="6"/>
  <c r="H131" i="6"/>
  <c r="L131" i="6"/>
  <c r="P131" i="6"/>
  <c r="H132" i="6"/>
  <c r="L132" i="6"/>
  <c r="P132" i="6"/>
  <c r="N27" i="6"/>
  <c r="F29" i="6"/>
  <c r="J30" i="6"/>
  <c r="N31" i="6"/>
  <c r="F33" i="6"/>
  <c r="J34" i="6"/>
  <c r="N35" i="6"/>
  <c r="F50" i="6"/>
  <c r="N52" i="6"/>
  <c r="F54" i="6"/>
  <c r="J58" i="6"/>
  <c r="N59" i="6"/>
  <c r="F61" i="6"/>
  <c r="J73" i="6"/>
  <c r="N74" i="6"/>
  <c r="F76" i="6"/>
  <c r="J77" i="6"/>
  <c r="N78" i="6"/>
  <c r="F86" i="6"/>
  <c r="N86" i="6"/>
  <c r="J87" i="6"/>
  <c r="F88" i="6"/>
  <c r="N88" i="6"/>
  <c r="J89" i="6"/>
  <c r="F90" i="6"/>
  <c r="N90" i="6"/>
  <c r="J91" i="6"/>
  <c r="F95" i="6"/>
  <c r="N95" i="6"/>
  <c r="J96" i="6"/>
  <c r="F97" i="6"/>
  <c r="N97" i="6"/>
  <c r="J101" i="6"/>
  <c r="F102" i="6"/>
  <c r="N102" i="6"/>
  <c r="J103" i="6"/>
  <c r="F104" i="6"/>
  <c r="M104" i="6"/>
  <c r="E108" i="6"/>
  <c r="I108" i="6"/>
  <c r="M108" i="6"/>
  <c r="E109" i="6"/>
  <c r="I109" i="6"/>
  <c r="M109" i="6"/>
  <c r="E110" i="6"/>
  <c r="I110" i="6"/>
  <c r="M110" i="6"/>
  <c r="E111" i="6"/>
  <c r="I111" i="6"/>
  <c r="M111" i="6"/>
  <c r="E112" i="6"/>
  <c r="I112" i="6"/>
  <c r="M112" i="6"/>
  <c r="E113" i="6"/>
  <c r="I113" i="6"/>
  <c r="M113" i="6"/>
  <c r="E114" i="6"/>
  <c r="I114" i="6"/>
  <c r="M114" i="6"/>
  <c r="E116" i="6"/>
  <c r="I116" i="6"/>
  <c r="M116" i="6"/>
  <c r="E117" i="6"/>
  <c r="I117" i="6"/>
  <c r="M117" i="6"/>
  <c r="E118" i="6"/>
  <c r="I118" i="6"/>
  <c r="M118" i="6"/>
  <c r="E122" i="6"/>
  <c r="I122" i="6"/>
  <c r="M122" i="6"/>
  <c r="E127" i="6"/>
  <c r="I127" i="6"/>
  <c r="M127" i="6"/>
  <c r="E130" i="6"/>
  <c r="I130" i="6"/>
  <c r="M130" i="6"/>
  <c r="E131" i="6"/>
  <c r="I131" i="6"/>
  <c r="M131" i="6"/>
  <c r="E132" i="6"/>
  <c r="I132" i="6"/>
  <c r="M132" i="6"/>
  <c r="N30" i="6"/>
  <c r="F49" i="6"/>
  <c r="J54" i="6"/>
  <c r="N73" i="6"/>
  <c r="F85" i="6"/>
  <c r="I88" i="6"/>
  <c r="E91" i="6"/>
  <c r="M96" i="6"/>
  <c r="I102" i="6"/>
  <c r="N104" i="6"/>
  <c r="F109" i="6"/>
  <c r="J110" i="6"/>
  <c r="N111" i="6"/>
  <c r="F113" i="6"/>
  <c r="J114" i="6"/>
  <c r="N116" i="6"/>
  <c r="F118" i="6"/>
  <c r="J122" i="6"/>
  <c r="N127" i="6"/>
  <c r="F131" i="6"/>
  <c r="J132" i="6"/>
  <c r="I95" i="6"/>
  <c r="J108" i="6"/>
  <c r="F116" i="6"/>
  <c r="F127" i="6"/>
  <c r="F32" i="6"/>
  <c r="J50" i="6"/>
  <c r="N58" i="6"/>
  <c r="F75" i="6"/>
  <c r="I86" i="6"/>
  <c r="E89" i="6"/>
  <c r="M91" i="6"/>
  <c r="I97" i="6"/>
  <c r="E103" i="6"/>
  <c r="F108" i="6"/>
  <c r="J109" i="6"/>
  <c r="N110" i="6"/>
  <c r="F112" i="6"/>
  <c r="J113" i="6"/>
  <c r="N114" i="6"/>
  <c r="F117" i="6"/>
  <c r="J118" i="6"/>
  <c r="N122" i="6"/>
  <c r="F130" i="6"/>
  <c r="J131" i="6"/>
  <c r="N132" i="6"/>
  <c r="F28" i="6"/>
  <c r="F60" i="6"/>
  <c r="M89" i="6"/>
  <c r="E101" i="6"/>
  <c r="F111" i="6"/>
  <c r="N113" i="6"/>
  <c r="N118" i="6"/>
  <c r="J130" i="6"/>
  <c r="J29" i="6"/>
  <c r="N34" i="6"/>
  <c r="F53" i="6"/>
  <c r="J61" i="6"/>
  <c r="N77" i="6"/>
  <c r="M87" i="6"/>
  <c r="I90" i="6"/>
  <c r="E96" i="6"/>
  <c r="M101" i="6"/>
  <c r="I104" i="6"/>
  <c r="N108" i="6"/>
  <c r="F110" i="6"/>
  <c r="J111" i="6"/>
  <c r="N112" i="6"/>
  <c r="F114" i="6"/>
  <c r="J116" i="6"/>
  <c r="N117" i="6"/>
  <c r="F122" i="6"/>
  <c r="J127" i="6"/>
  <c r="N130" i="6"/>
  <c r="F132" i="6"/>
  <c r="J33" i="6"/>
  <c r="J76" i="6"/>
  <c r="E87" i="6"/>
  <c r="M103" i="6"/>
  <c r="N109" i="6"/>
  <c r="J112" i="6"/>
  <c r="J117" i="6"/>
  <c r="N131" i="6"/>
  <c r="M70" i="6" l="1"/>
  <c r="M69" i="6"/>
  <c r="D87" i="6"/>
  <c r="R87" i="6"/>
  <c r="J22" i="6"/>
  <c r="N133" i="6"/>
  <c r="O29" i="10" s="1"/>
  <c r="J128" i="6"/>
  <c r="N119" i="6"/>
  <c r="M105" i="6"/>
  <c r="N12" i="10" s="1"/>
  <c r="D96" i="6"/>
  <c r="R96" i="6"/>
  <c r="J133" i="6"/>
  <c r="K29" i="10" s="1"/>
  <c r="D101" i="6"/>
  <c r="E105" i="6"/>
  <c r="F12" i="10" s="1"/>
  <c r="F70" i="6"/>
  <c r="F133" i="6"/>
  <c r="G29" i="10" s="1"/>
  <c r="F119" i="6"/>
  <c r="D103" i="6"/>
  <c r="D89" i="6"/>
  <c r="R89" i="6"/>
  <c r="N62" i="6"/>
  <c r="O8" i="10" s="1"/>
  <c r="F128" i="6"/>
  <c r="J119" i="6"/>
  <c r="I98" i="6"/>
  <c r="J11" i="10" s="1"/>
  <c r="N128" i="6"/>
  <c r="D91" i="6"/>
  <c r="R91" i="6"/>
  <c r="F92" i="6"/>
  <c r="G10" i="10" s="1"/>
  <c r="L9" i="7" s="1"/>
  <c r="N9" i="7" s="1"/>
  <c r="N79" i="6"/>
  <c r="O9" i="10" s="1"/>
  <c r="J44" i="6"/>
  <c r="F55" i="6"/>
  <c r="F45" i="6" s="1"/>
  <c r="D132" i="6"/>
  <c r="R132" i="6"/>
  <c r="D131" i="6"/>
  <c r="M133" i="6"/>
  <c r="N29" i="10" s="1"/>
  <c r="I133" i="6"/>
  <c r="J29" i="10" s="1"/>
  <c r="D130" i="6"/>
  <c r="R130" i="6"/>
  <c r="R133" i="6" s="1"/>
  <c r="E133" i="6"/>
  <c r="M128" i="6"/>
  <c r="I128" i="6"/>
  <c r="D127" i="6"/>
  <c r="R127" i="6"/>
  <c r="E128" i="6"/>
  <c r="D122" i="6"/>
  <c r="R122" i="6"/>
  <c r="D118" i="6"/>
  <c r="R118" i="6"/>
  <c r="D117" i="6"/>
  <c r="R117" i="6"/>
  <c r="D116" i="6"/>
  <c r="R116" i="6"/>
  <c r="D114" i="6"/>
  <c r="R114" i="6"/>
  <c r="D113" i="6"/>
  <c r="R113" i="6"/>
  <c r="D112" i="6"/>
  <c r="R112" i="6"/>
  <c r="D111" i="6"/>
  <c r="R111" i="6"/>
  <c r="D110" i="6"/>
  <c r="R110" i="6"/>
  <c r="D109" i="6"/>
  <c r="R109" i="6"/>
  <c r="M119" i="6"/>
  <c r="I119" i="6"/>
  <c r="D108" i="6"/>
  <c r="R108" i="6"/>
  <c r="R119" i="6" s="1"/>
  <c r="E119" i="6"/>
  <c r="J105" i="6"/>
  <c r="K12" i="10" s="1"/>
  <c r="N98" i="6"/>
  <c r="O11" i="10" s="1"/>
  <c r="F98" i="6"/>
  <c r="G11" i="10" s="1"/>
  <c r="J79" i="6"/>
  <c r="K9" i="10" s="1"/>
  <c r="J69" i="6"/>
  <c r="J62" i="6"/>
  <c r="K8" i="10" s="1"/>
  <c r="F44" i="6"/>
  <c r="N21" i="6"/>
  <c r="F22" i="6"/>
  <c r="N37" i="6"/>
  <c r="N23" i="6" s="1"/>
  <c r="P133" i="6"/>
  <c r="Q29" i="10" s="1"/>
  <c r="L133" i="6"/>
  <c r="M29" i="10" s="1"/>
  <c r="H133" i="6"/>
  <c r="I29" i="10" s="1"/>
  <c r="P128" i="6"/>
  <c r="L128" i="6"/>
  <c r="H128" i="6"/>
  <c r="P119" i="6"/>
  <c r="L119" i="6"/>
  <c r="H119" i="6"/>
  <c r="D104" i="6"/>
  <c r="D102" i="6"/>
  <c r="I105" i="6"/>
  <c r="J12" i="10" s="1"/>
  <c r="D97" i="6"/>
  <c r="R97" i="6"/>
  <c r="M98" i="6"/>
  <c r="N11" i="10" s="1"/>
  <c r="D95" i="6"/>
  <c r="R95" i="6"/>
  <c r="E98" i="6"/>
  <c r="D90" i="6"/>
  <c r="R90" i="6"/>
  <c r="D88" i="6"/>
  <c r="R88" i="6"/>
  <c r="N92" i="6"/>
  <c r="O10" i="10" s="1"/>
  <c r="BB9" i="7" s="1"/>
  <c r="BD9" i="7" s="1"/>
  <c r="F79" i="6"/>
  <c r="G9" i="10" s="1"/>
  <c r="F69" i="6"/>
  <c r="F62" i="6"/>
  <c r="G8" i="10" s="1"/>
  <c r="N55" i="6"/>
  <c r="N45" i="6" s="1"/>
  <c r="J21" i="6"/>
  <c r="J37" i="6"/>
  <c r="J23" i="6" s="1"/>
  <c r="O133" i="6"/>
  <c r="P29" i="10" s="1"/>
  <c r="K133" i="6"/>
  <c r="L29" i="10" s="1"/>
  <c r="G133" i="6"/>
  <c r="H29" i="10" s="1"/>
  <c r="O128" i="6"/>
  <c r="K128" i="6"/>
  <c r="G128" i="6"/>
  <c r="O119" i="6"/>
  <c r="K119" i="6"/>
  <c r="G119" i="6"/>
  <c r="N105" i="6"/>
  <c r="O12" i="10" s="1"/>
  <c r="F105" i="6"/>
  <c r="G12" i="10" s="1"/>
  <c r="J98" i="6"/>
  <c r="K11" i="10" s="1"/>
  <c r="J92" i="6"/>
  <c r="K10" i="10" s="1"/>
  <c r="AG9" i="7" s="1"/>
  <c r="AI9" i="7" s="1"/>
  <c r="J70" i="6"/>
  <c r="N44" i="6"/>
  <c r="J55" i="6"/>
  <c r="J45" i="6" s="1"/>
  <c r="F21" i="6"/>
  <c r="N22" i="6"/>
  <c r="F37" i="6"/>
  <c r="F23" i="6" s="1"/>
  <c r="D86" i="6"/>
  <c r="R86" i="6"/>
  <c r="M92" i="6"/>
  <c r="N10" i="10" s="1"/>
  <c r="AW9" i="7" s="1"/>
  <c r="AY9" i="7" s="1"/>
  <c r="I92" i="6"/>
  <c r="J10" i="10" s="1"/>
  <c r="AA9" i="7" s="1"/>
  <c r="AC9" i="7" s="1"/>
  <c r="D85" i="6"/>
  <c r="R85" i="6"/>
  <c r="E92" i="6"/>
  <c r="D78" i="6"/>
  <c r="R78" i="6"/>
  <c r="D77" i="6"/>
  <c r="R77" i="6"/>
  <c r="D76" i="6"/>
  <c r="R76" i="6"/>
  <c r="D75" i="6"/>
  <c r="R75" i="6"/>
  <c r="D74" i="6"/>
  <c r="R74" i="6"/>
  <c r="M79" i="6"/>
  <c r="N9" i="10" s="1"/>
  <c r="I79" i="6"/>
  <c r="J9" i="10" s="1"/>
  <c r="D73" i="6"/>
  <c r="R73" i="6"/>
  <c r="R79" i="6" s="1"/>
  <c r="E79" i="6"/>
  <c r="D61" i="6"/>
  <c r="R61" i="6"/>
  <c r="I70" i="6"/>
  <c r="E70" i="6"/>
  <c r="D60" i="6"/>
  <c r="R60" i="6"/>
  <c r="R70" i="6" s="1"/>
  <c r="D59" i="6"/>
  <c r="R59" i="6"/>
  <c r="M62" i="6"/>
  <c r="N8" i="10" s="1"/>
  <c r="I62" i="6"/>
  <c r="J8" i="10" s="1"/>
  <c r="E69" i="6"/>
  <c r="D58" i="6"/>
  <c r="R58" i="6"/>
  <c r="R69" i="6" s="1"/>
  <c r="E62" i="6"/>
  <c r="M44" i="6"/>
  <c r="I44" i="6"/>
  <c r="E44" i="6"/>
  <c r="D54" i="6"/>
  <c r="R54" i="6"/>
  <c r="D53" i="6"/>
  <c r="R53" i="6"/>
  <c r="D52" i="6"/>
  <c r="R52" i="6"/>
  <c r="D50" i="6"/>
  <c r="R50" i="6"/>
  <c r="M55" i="6"/>
  <c r="M45" i="6" s="1"/>
  <c r="I55" i="6"/>
  <c r="I45" i="6" s="1"/>
  <c r="D49" i="6"/>
  <c r="R49" i="6"/>
  <c r="R55" i="6" s="1"/>
  <c r="E55" i="6"/>
  <c r="M21" i="6"/>
  <c r="I21" i="6"/>
  <c r="E21" i="6"/>
  <c r="D35" i="6"/>
  <c r="R35" i="6"/>
  <c r="D34" i="6"/>
  <c r="R34" i="6"/>
  <c r="M22" i="6"/>
  <c r="I22" i="6"/>
  <c r="E22" i="6"/>
  <c r="D33" i="6"/>
  <c r="R33" i="6"/>
  <c r="D32" i="6"/>
  <c r="R32" i="6"/>
  <c r="D31" i="6"/>
  <c r="R31" i="6"/>
  <c r="D30" i="6"/>
  <c r="R30" i="6"/>
  <c r="D29" i="6"/>
  <c r="R29" i="6"/>
  <c r="D28" i="6"/>
  <c r="M37" i="6"/>
  <c r="M23" i="6" s="1"/>
  <c r="I37" i="6"/>
  <c r="I23" i="6" s="1"/>
  <c r="D27" i="6"/>
  <c r="R27" i="6"/>
  <c r="R37" i="6" s="1"/>
  <c r="E37" i="6"/>
  <c r="P105" i="6"/>
  <c r="Q12" i="10" s="1"/>
  <c r="L105" i="6"/>
  <c r="M12" i="10" s="1"/>
  <c r="H105" i="6"/>
  <c r="I12" i="10" s="1"/>
  <c r="P98" i="6"/>
  <c r="Q11" i="10" s="1"/>
  <c r="L98" i="6"/>
  <c r="M11" i="10" s="1"/>
  <c r="H98" i="6"/>
  <c r="I11" i="10" s="1"/>
  <c r="P92" i="6"/>
  <c r="Q10" i="10" s="1"/>
  <c r="BN9" i="7" s="1"/>
  <c r="BP9" i="7" s="1"/>
  <c r="L92" i="6"/>
  <c r="M10" i="10" s="1"/>
  <c r="AQ9" i="7" s="1"/>
  <c r="AS9" i="7" s="1"/>
  <c r="H92" i="6"/>
  <c r="I10" i="10" s="1"/>
  <c r="V9" i="7" s="1"/>
  <c r="X9" i="7" s="1"/>
  <c r="AQ57" i="7"/>
  <c r="AS57" i="7" s="1"/>
  <c r="AT57" i="7" s="1"/>
  <c r="AQ55" i="7"/>
  <c r="AS55" i="7" s="1"/>
  <c r="AT55" i="7" s="1"/>
  <c r="AQ56" i="7"/>
  <c r="AS56" i="7" s="1"/>
  <c r="AT56" i="7" s="1"/>
  <c r="P79" i="6"/>
  <c r="Q9" i="10" s="1"/>
  <c r="AQ58" i="7"/>
  <c r="AS58" i="7" s="1"/>
  <c r="AT58" i="7" s="1"/>
  <c r="L79" i="6"/>
  <c r="M9" i="10" s="1"/>
  <c r="H79" i="6"/>
  <c r="I9" i="10" s="1"/>
  <c r="AQ53" i="7"/>
  <c r="AS53" i="7" s="1"/>
  <c r="AT53" i="7" s="1"/>
  <c r="L70" i="6"/>
  <c r="AQ52" i="7"/>
  <c r="AS52" i="7" s="1"/>
  <c r="AT52" i="7" s="1"/>
  <c r="H70" i="6"/>
  <c r="P62" i="6"/>
  <c r="Q8" i="10" s="1"/>
  <c r="L69" i="6"/>
  <c r="AQ51" i="7"/>
  <c r="AS51" i="7" s="1"/>
  <c r="AT51" i="7" s="1"/>
  <c r="L62" i="6"/>
  <c r="M8" i="10" s="1"/>
  <c r="H69" i="6"/>
  <c r="H62" i="6"/>
  <c r="I8" i="10" s="1"/>
  <c r="P44" i="6"/>
  <c r="L44" i="6"/>
  <c r="H44" i="6"/>
  <c r="P55" i="6"/>
  <c r="P45" i="6" s="1"/>
  <c r="L55" i="6"/>
  <c r="L45" i="6" s="1"/>
  <c r="H55" i="6"/>
  <c r="H45" i="6" s="1"/>
  <c r="P21" i="6"/>
  <c r="L21" i="6"/>
  <c r="H21" i="6"/>
  <c r="P22" i="6"/>
  <c r="L22" i="6"/>
  <c r="H22" i="6"/>
  <c r="P37" i="6"/>
  <c r="P23" i="6" s="1"/>
  <c r="L37" i="6"/>
  <c r="L23" i="6" s="1"/>
  <c r="H37" i="6"/>
  <c r="H23" i="6" s="1"/>
  <c r="O105" i="6"/>
  <c r="P12" i="10" s="1"/>
  <c r="K105" i="6"/>
  <c r="L12" i="10" s="1"/>
  <c r="G105" i="6"/>
  <c r="H12" i="10" s="1"/>
  <c r="O98" i="6"/>
  <c r="P11" i="10" s="1"/>
  <c r="K98" i="6"/>
  <c r="L11" i="10" s="1"/>
  <c r="G98" i="6"/>
  <c r="H11" i="10" s="1"/>
  <c r="O92" i="6"/>
  <c r="P10" i="10" s="1"/>
  <c r="BH9" i="7" s="1"/>
  <c r="BJ9" i="7" s="1"/>
  <c r="K92" i="6"/>
  <c r="L10" i="10" s="1"/>
  <c r="AL9" i="7" s="1"/>
  <c r="AN9" i="7" s="1"/>
  <c r="G92" i="6"/>
  <c r="H10" i="10" s="1"/>
  <c r="Q9" i="7" s="1"/>
  <c r="S9" i="7" s="1"/>
  <c r="O79" i="6"/>
  <c r="P9" i="10" s="1"/>
  <c r="K79" i="6"/>
  <c r="L9" i="10" s="1"/>
  <c r="G79" i="6"/>
  <c r="H9" i="10" s="1"/>
  <c r="K70" i="6"/>
  <c r="G70" i="6"/>
  <c r="O62" i="6"/>
  <c r="P8" i="10" s="1"/>
  <c r="K69" i="6"/>
  <c r="K62" i="6"/>
  <c r="L8" i="10" s="1"/>
  <c r="G69" i="6"/>
  <c r="G62" i="6"/>
  <c r="H8" i="10" s="1"/>
  <c r="O44" i="6"/>
  <c r="K44" i="6"/>
  <c r="G44" i="6"/>
  <c r="O55" i="6"/>
  <c r="O45" i="6" s="1"/>
  <c r="K55" i="6"/>
  <c r="K45" i="6" s="1"/>
  <c r="G55" i="6"/>
  <c r="G45" i="6" s="1"/>
  <c r="O21" i="6"/>
  <c r="K21" i="6"/>
  <c r="G21" i="6"/>
  <c r="O22" i="6"/>
  <c r="K22" i="6"/>
  <c r="G22" i="6"/>
  <c r="O37" i="6"/>
  <c r="O23" i="6" s="1"/>
  <c r="K37" i="6"/>
  <c r="K23" i="6" s="1"/>
  <c r="G37" i="6"/>
  <c r="G23" i="6" s="1"/>
  <c r="D119" i="6" l="1"/>
  <c r="D105" i="6"/>
  <c r="H6" i="10"/>
  <c r="G7" i="6"/>
  <c r="G81" i="6"/>
  <c r="G123" i="6"/>
  <c r="G135" i="6" s="1"/>
  <c r="H25" i="10" s="1"/>
  <c r="G137" i="6"/>
  <c r="L6" i="10"/>
  <c r="K7" i="6"/>
  <c r="K81" i="6"/>
  <c r="K123" i="6"/>
  <c r="K135" i="6" s="1"/>
  <c r="K137" i="6"/>
  <c r="O123" i="6"/>
  <c r="O135" i="6" s="1"/>
  <c r="P6" i="10"/>
  <c r="O7" i="6"/>
  <c r="O81" i="6"/>
  <c r="O137" i="6"/>
  <c r="H7" i="10"/>
  <c r="G40" i="6"/>
  <c r="L7" i="10"/>
  <c r="K40" i="6"/>
  <c r="P7" i="10"/>
  <c r="O40" i="6"/>
  <c r="Q5" i="7"/>
  <c r="S5" i="7" s="1"/>
  <c r="H9" i="21"/>
  <c r="AL5" i="7"/>
  <c r="AN5" i="7" s="1"/>
  <c r="L9" i="21"/>
  <c r="BH5" i="7"/>
  <c r="BJ5" i="7" s="1"/>
  <c r="P9" i="21"/>
  <c r="Q6" i="7"/>
  <c r="S6" i="7" s="1"/>
  <c r="H10" i="21"/>
  <c r="AL6" i="7"/>
  <c r="AN6" i="7" s="1"/>
  <c r="L10" i="21"/>
  <c r="BH6" i="7"/>
  <c r="BJ6" i="7" s="1"/>
  <c r="P10" i="21"/>
  <c r="Q8" i="7"/>
  <c r="S8" i="7" s="1"/>
  <c r="H12" i="21"/>
  <c r="AL8" i="7"/>
  <c r="AN8" i="7" s="1"/>
  <c r="L12" i="21"/>
  <c r="BH8" i="7"/>
  <c r="BJ8" i="7" s="1"/>
  <c r="P12" i="21"/>
  <c r="Q11" i="7"/>
  <c r="S11" i="7" s="1"/>
  <c r="H13" i="21"/>
  <c r="AL11" i="7"/>
  <c r="AN11" i="7" s="1"/>
  <c r="L13" i="21"/>
  <c r="BH11" i="7"/>
  <c r="BJ11" i="7" s="1"/>
  <c r="P13" i="21"/>
  <c r="I6" i="10"/>
  <c r="H7" i="6"/>
  <c r="H81" i="6"/>
  <c r="H123" i="6"/>
  <c r="H135" i="6" s="1"/>
  <c r="I25" i="10" s="1"/>
  <c r="H137" i="6"/>
  <c r="M6" i="10"/>
  <c r="L7" i="6"/>
  <c r="L81" i="6"/>
  <c r="L123" i="6"/>
  <c r="L135" i="6"/>
  <c r="L137" i="6"/>
  <c r="P7" i="6"/>
  <c r="P81" i="6"/>
  <c r="P123" i="6"/>
  <c r="P135" i="6" s="1"/>
  <c r="Q6" i="10"/>
  <c r="P137" i="6"/>
  <c r="AQ64" i="7"/>
  <c r="I7" i="10"/>
  <c r="H40" i="6"/>
  <c r="M7" i="10"/>
  <c r="L40" i="6"/>
  <c r="Q7" i="10"/>
  <c r="P40" i="6"/>
  <c r="V5" i="7"/>
  <c r="X5" i="7" s="1"/>
  <c r="I9" i="21"/>
  <c r="AQ5" i="7"/>
  <c r="AS5" i="7" s="1"/>
  <c r="M9" i="21"/>
  <c r="BN5" i="7"/>
  <c r="BP5" i="7" s="1"/>
  <c r="Q9" i="21"/>
  <c r="V6" i="7"/>
  <c r="X6" i="7" s="1"/>
  <c r="I10" i="21"/>
  <c r="AQ6" i="7"/>
  <c r="AS6" i="7" s="1"/>
  <c r="M10" i="21"/>
  <c r="BN6" i="7"/>
  <c r="BP6" i="7" s="1"/>
  <c r="Q10" i="21"/>
  <c r="V8" i="7"/>
  <c r="X8" i="7" s="1"/>
  <c r="I12" i="21"/>
  <c r="AQ8" i="7"/>
  <c r="AS8" i="7" s="1"/>
  <c r="M12" i="21"/>
  <c r="BN8" i="7"/>
  <c r="BP8" i="7" s="1"/>
  <c r="Q12" i="21"/>
  <c r="V11" i="7"/>
  <c r="X11" i="7" s="1"/>
  <c r="I13" i="21"/>
  <c r="AQ11" i="7"/>
  <c r="M13" i="21"/>
  <c r="BN11" i="7"/>
  <c r="BP11" i="7" s="1"/>
  <c r="Q13" i="21"/>
  <c r="E23" i="6"/>
  <c r="D37" i="6"/>
  <c r="J6" i="10"/>
  <c r="I7" i="6"/>
  <c r="I81" i="6"/>
  <c r="I123" i="6"/>
  <c r="I135" i="6"/>
  <c r="J25" i="10" s="1"/>
  <c r="I137" i="6"/>
  <c r="N6" i="10"/>
  <c r="M7" i="6"/>
  <c r="M81" i="6"/>
  <c r="M137" i="6" s="1"/>
  <c r="M123" i="6"/>
  <c r="M135" i="6"/>
  <c r="D22" i="6"/>
  <c r="R22" i="6"/>
  <c r="D21" i="6"/>
  <c r="R21" i="6"/>
  <c r="E45" i="6"/>
  <c r="D55" i="6"/>
  <c r="J7" i="10"/>
  <c r="I40" i="6"/>
  <c r="N7" i="10"/>
  <c r="M40" i="6"/>
  <c r="D44" i="6"/>
  <c r="R44" i="6"/>
  <c r="F8" i="10"/>
  <c r="D62" i="6"/>
  <c r="R62" i="6"/>
  <c r="AA5" i="7"/>
  <c r="AC5" i="7" s="1"/>
  <c r="J9" i="21"/>
  <c r="AW5" i="7"/>
  <c r="AY5" i="7" s="1"/>
  <c r="N9" i="21"/>
  <c r="F9" i="10"/>
  <c r="D79" i="6"/>
  <c r="AA6" i="7"/>
  <c r="AC6" i="7" s="1"/>
  <c r="J10" i="21"/>
  <c r="AW6" i="7"/>
  <c r="AY6" i="7" s="1"/>
  <c r="N10" i="21"/>
  <c r="F10" i="10"/>
  <c r="D92" i="6"/>
  <c r="R92" i="6"/>
  <c r="G6" i="10"/>
  <c r="F7" i="6"/>
  <c r="F81" i="6"/>
  <c r="F123" i="6"/>
  <c r="F135" i="6" s="1"/>
  <c r="F137" i="6"/>
  <c r="K7" i="10"/>
  <c r="J40" i="6"/>
  <c r="AG8" i="7"/>
  <c r="AI8" i="7" s="1"/>
  <c r="K12" i="21"/>
  <c r="L11" i="7"/>
  <c r="N11" i="7" s="1"/>
  <c r="G13" i="21"/>
  <c r="BB11" i="7"/>
  <c r="BD11" i="7" s="1"/>
  <c r="O13" i="21"/>
  <c r="K6" i="10"/>
  <c r="J7" i="6"/>
  <c r="J81" i="6"/>
  <c r="J123" i="6"/>
  <c r="J135" i="6"/>
  <c r="J137" i="6"/>
  <c r="O7" i="10"/>
  <c r="N40" i="6"/>
  <c r="L5" i="7"/>
  <c r="N5" i="7" s="1"/>
  <c r="G9" i="21"/>
  <c r="L6" i="7"/>
  <c r="N6" i="7" s="1"/>
  <c r="G10" i="21"/>
  <c r="F11" i="10"/>
  <c r="D98" i="6"/>
  <c r="R98" i="6"/>
  <c r="AW8" i="7"/>
  <c r="AY8" i="7" s="1"/>
  <c r="N12" i="21"/>
  <c r="AA11" i="7"/>
  <c r="AC11" i="7" s="1"/>
  <c r="J13" i="21"/>
  <c r="O6" i="10"/>
  <c r="N7" i="6"/>
  <c r="N81" i="6"/>
  <c r="N137" i="6" s="1"/>
  <c r="N123" i="6"/>
  <c r="N135" i="6"/>
  <c r="AG5" i="7"/>
  <c r="AI5" i="7" s="1"/>
  <c r="K9" i="21"/>
  <c r="AG6" i="7"/>
  <c r="AI6" i="7" s="1"/>
  <c r="K10" i="21"/>
  <c r="L8" i="7"/>
  <c r="N8" i="7" s="1"/>
  <c r="G12" i="21"/>
  <c r="BB8" i="7"/>
  <c r="BD8" i="7" s="1"/>
  <c r="O12" i="21"/>
  <c r="AG11" i="7"/>
  <c r="AI11" i="7" s="1"/>
  <c r="K13" i="21"/>
  <c r="D128" i="6"/>
  <c r="R128" i="6"/>
  <c r="F29" i="10"/>
  <c r="D29" i="10" s="1"/>
  <c r="D133" i="6"/>
  <c r="G7" i="10"/>
  <c r="F40" i="6"/>
  <c r="BB6" i="7"/>
  <c r="BD6" i="7" s="1"/>
  <c r="O10" i="21"/>
  <c r="AA8" i="7"/>
  <c r="AC8" i="7" s="1"/>
  <c r="J12" i="21"/>
  <c r="BB5" i="7"/>
  <c r="BD5" i="7" s="1"/>
  <c r="O9" i="21"/>
  <c r="F11" i="7"/>
  <c r="D12" i="10"/>
  <c r="D13" i="21" s="1"/>
  <c r="F13" i="21"/>
  <c r="AW11" i="7"/>
  <c r="AY11" i="7" s="1"/>
  <c r="N13" i="21"/>
  <c r="C11" i="7" l="1"/>
  <c r="C6" i="7"/>
  <c r="C5" i="7"/>
  <c r="B11" i="7"/>
  <c r="D11" i="7" s="1"/>
  <c r="H11" i="7"/>
  <c r="L7" i="7"/>
  <c r="N7" i="7" s="1"/>
  <c r="G7" i="21"/>
  <c r="O25" i="10"/>
  <c r="BB10" i="7" s="1"/>
  <c r="BD10" i="7" s="1"/>
  <c r="O27" i="21"/>
  <c r="BB4" i="7"/>
  <c r="O13" i="10"/>
  <c r="O6" i="21"/>
  <c r="F8" i="7"/>
  <c r="H8" i="7" s="1"/>
  <c r="D11" i="10"/>
  <c r="D12" i="21" s="1"/>
  <c r="F12" i="21"/>
  <c r="BB7" i="7"/>
  <c r="BD7" i="7" s="1"/>
  <c r="O7" i="21"/>
  <c r="K25" i="10"/>
  <c r="AG10" i="7" s="1"/>
  <c r="K27" i="21"/>
  <c r="AG4" i="7"/>
  <c r="K13" i="10"/>
  <c r="K6" i="21"/>
  <c r="AG7" i="7"/>
  <c r="AI7" i="7" s="1"/>
  <c r="K7" i="21"/>
  <c r="G25" i="10"/>
  <c r="R135" i="6"/>
  <c r="L4" i="7"/>
  <c r="G13" i="10"/>
  <c r="G6" i="21"/>
  <c r="G15" i="21" s="1"/>
  <c r="F9" i="7"/>
  <c r="H9" i="7" s="1"/>
  <c r="D10" i="10"/>
  <c r="F6" i="7"/>
  <c r="D9" i="10"/>
  <c r="D10" i="21" s="1"/>
  <c r="F10" i="21"/>
  <c r="F5" i="7"/>
  <c r="D8" i="10"/>
  <c r="D9" i="21" s="1"/>
  <c r="F9" i="21"/>
  <c r="AW7" i="7"/>
  <c r="AY7" i="7" s="1"/>
  <c r="N7" i="21"/>
  <c r="AA7" i="7"/>
  <c r="AC7" i="7" s="1"/>
  <c r="J7" i="21"/>
  <c r="F7" i="10"/>
  <c r="E40" i="6"/>
  <c r="D45" i="6"/>
  <c r="N25" i="10"/>
  <c r="AW10" i="7" s="1"/>
  <c r="AY10" i="7" s="1"/>
  <c r="N27" i="21"/>
  <c r="AW4" i="7"/>
  <c r="N13" i="10"/>
  <c r="N6" i="21"/>
  <c r="N15" i="21" s="1"/>
  <c r="AA10" i="7"/>
  <c r="J27" i="21"/>
  <c r="AA4" i="7"/>
  <c r="J13" i="10"/>
  <c r="J6" i="21"/>
  <c r="J15" i="21" s="1"/>
  <c r="F6" i="10"/>
  <c r="E7" i="6"/>
  <c r="E81" i="6"/>
  <c r="D81" i="6" s="1"/>
  <c r="E123" i="6"/>
  <c r="D23" i="6"/>
  <c r="E135" i="6"/>
  <c r="E137" i="6"/>
  <c r="D137" i="6" s="1"/>
  <c r="BN7" i="7"/>
  <c r="BP7" i="7" s="1"/>
  <c r="Q7" i="21"/>
  <c r="AQ7" i="7"/>
  <c r="AS7" i="7" s="1"/>
  <c r="M7" i="21"/>
  <c r="V7" i="7"/>
  <c r="X7" i="7" s="1"/>
  <c r="I7" i="21"/>
  <c r="BN4" i="7"/>
  <c r="Q13" i="10"/>
  <c r="Q6" i="21"/>
  <c r="Q15" i="21" s="1"/>
  <c r="Q25" i="10"/>
  <c r="BN10" i="7" s="1"/>
  <c r="BP10" i="7" s="1"/>
  <c r="Q27" i="21"/>
  <c r="M25" i="10"/>
  <c r="AQ10" i="7" s="1"/>
  <c r="M27" i="21"/>
  <c r="AQ4" i="7"/>
  <c r="M13" i="10"/>
  <c r="M6" i="21"/>
  <c r="M15" i="21" s="1"/>
  <c r="V10" i="7"/>
  <c r="X10" i="7" s="1"/>
  <c r="I27" i="21"/>
  <c r="V4" i="7"/>
  <c r="I13" i="10"/>
  <c r="I6" i="21"/>
  <c r="I15" i="21" s="1"/>
  <c r="BH7" i="7"/>
  <c r="BJ7" i="7" s="1"/>
  <c r="P7" i="21"/>
  <c r="AL7" i="7"/>
  <c r="AN7" i="7" s="1"/>
  <c r="L7" i="21"/>
  <c r="Q7" i="7"/>
  <c r="S7" i="7" s="1"/>
  <c r="H7" i="21"/>
  <c r="BH4" i="7"/>
  <c r="P13" i="10"/>
  <c r="P6" i="21"/>
  <c r="P15" i="21" s="1"/>
  <c r="P25" i="10"/>
  <c r="BH10" i="7" s="1"/>
  <c r="BJ10" i="7" s="1"/>
  <c r="P27" i="21"/>
  <c r="L25" i="10"/>
  <c r="AL10" i="7" s="1"/>
  <c r="AN10" i="7" s="1"/>
  <c r="AO10" i="7" s="1"/>
  <c r="L27" i="21"/>
  <c r="AL4" i="7"/>
  <c r="L13" i="10"/>
  <c r="L6" i="21"/>
  <c r="L15" i="21" s="1"/>
  <c r="Q10" i="7"/>
  <c r="S10" i="7" s="1"/>
  <c r="H27" i="21"/>
  <c r="Q4" i="7"/>
  <c r="H13" i="10"/>
  <c r="H6" i="21"/>
  <c r="H15" i="21" s="1"/>
  <c r="C7" i="7" l="1"/>
  <c r="O15" i="21"/>
  <c r="K15" i="21"/>
  <c r="H26" i="21"/>
  <c r="H28" i="21" s="1"/>
  <c r="H30" i="21" s="1"/>
  <c r="H32" i="21"/>
  <c r="H34" i="21"/>
  <c r="H35" i="21"/>
  <c r="H36" i="21"/>
  <c r="H37" i="21"/>
  <c r="H38" i="21"/>
  <c r="H39" i="21"/>
  <c r="H40" i="21"/>
  <c r="H41" i="21"/>
  <c r="H24" i="10"/>
  <c r="H26" i="10" s="1"/>
  <c r="H28" i="10" s="1"/>
  <c r="H31" i="10" s="1"/>
  <c r="H33" i="10"/>
  <c r="H35" i="10"/>
  <c r="H34" i="10"/>
  <c r="H36" i="10"/>
  <c r="H38" i="10"/>
  <c r="H39" i="10" s="1"/>
  <c r="H40" i="10" s="1"/>
  <c r="H41" i="10"/>
  <c r="H37" i="10"/>
  <c r="S4" i="7"/>
  <c r="S13" i="7" s="1"/>
  <c r="Q13" i="7"/>
  <c r="Q16" i="7" s="1"/>
  <c r="L26" i="21"/>
  <c r="L28" i="21" s="1"/>
  <c r="L30" i="21" s="1"/>
  <c r="L32" i="21"/>
  <c r="L34" i="21"/>
  <c r="L35" i="21"/>
  <c r="L36" i="21"/>
  <c r="L37" i="21"/>
  <c r="L38" i="21"/>
  <c r="L39" i="21"/>
  <c r="L40" i="21"/>
  <c r="L41" i="21"/>
  <c r="L24" i="10"/>
  <c r="L26" i="10" s="1"/>
  <c r="L28" i="10" s="1"/>
  <c r="L31" i="10" s="1"/>
  <c r="AN4" i="7"/>
  <c r="AL16" i="7"/>
  <c r="P35" i="21"/>
  <c r="P39" i="21"/>
  <c r="P41" i="21"/>
  <c r="P36" i="21"/>
  <c r="P40" i="21"/>
  <c r="P37" i="21"/>
  <c r="P26" i="21"/>
  <c r="P28" i="21" s="1"/>
  <c r="P30" i="21" s="1"/>
  <c r="P34" i="21"/>
  <c r="P38" i="21"/>
  <c r="P32" i="21"/>
  <c r="P24" i="10"/>
  <c r="P26" i="10" s="1"/>
  <c r="P28" i="10" s="1"/>
  <c r="P31" i="10" s="1"/>
  <c r="BJ4" i="7"/>
  <c r="BH16" i="7"/>
  <c r="I40" i="21"/>
  <c r="I36" i="21"/>
  <c r="I26" i="21"/>
  <c r="I28" i="21" s="1"/>
  <c r="I30" i="21" s="1"/>
  <c r="I38" i="21"/>
  <c r="I34" i="21"/>
  <c r="I41" i="21"/>
  <c r="I37" i="21"/>
  <c r="I32" i="21"/>
  <c r="I35" i="21"/>
  <c r="I39" i="21"/>
  <c r="I24" i="10"/>
  <c r="I26" i="10" s="1"/>
  <c r="I28" i="10" s="1"/>
  <c r="I31" i="10" s="1"/>
  <c r="I33" i="10"/>
  <c r="I34" i="10"/>
  <c r="I36" i="10"/>
  <c r="I35" i="10"/>
  <c r="I38" i="10"/>
  <c r="I39" i="10" s="1"/>
  <c r="I40" i="10" s="1"/>
  <c r="I41" i="10"/>
  <c r="I37" i="10"/>
  <c r="X4" i="7"/>
  <c r="C4" i="7" s="1"/>
  <c r="C16" i="7" s="1"/>
  <c r="V13" i="7"/>
  <c r="V16" i="7" s="1"/>
  <c r="M26" i="21"/>
  <c r="M28" i="21" s="1"/>
  <c r="M30" i="21" s="1"/>
  <c r="M32" i="21"/>
  <c r="M34" i="21"/>
  <c r="M35" i="21"/>
  <c r="M36" i="21"/>
  <c r="M37" i="21"/>
  <c r="M38" i="21"/>
  <c r="M39" i="21"/>
  <c r="M40" i="21"/>
  <c r="M41" i="21"/>
  <c r="M24" i="10"/>
  <c r="M26" i="10"/>
  <c r="M28" i="10" s="1"/>
  <c r="M31" i="10" s="1"/>
  <c r="AS4" i="7"/>
  <c r="AQ16" i="7"/>
  <c r="AS10" i="7"/>
  <c r="AS11" i="7"/>
  <c r="Q38" i="21"/>
  <c r="Q41" i="21"/>
  <c r="Q34" i="21"/>
  <c r="Q39" i="21"/>
  <c r="Q26" i="21"/>
  <c r="Q28" i="21" s="1"/>
  <c r="Q30" i="21" s="1"/>
  <c r="Q35" i="21"/>
  <c r="Q40" i="21"/>
  <c r="Q32" i="21"/>
  <c r="Q37" i="21"/>
  <c r="Q36" i="21"/>
  <c r="Q24" i="10"/>
  <c r="Q26" i="10"/>
  <c r="Q28" i="10" s="1"/>
  <c r="Q31" i="10" s="1"/>
  <c r="BP4" i="7"/>
  <c r="BN16" i="7"/>
  <c r="D135" i="6"/>
  <c r="F25" i="10"/>
  <c r="D123" i="6"/>
  <c r="R123" i="6"/>
  <c r="D7" i="6"/>
  <c r="R7" i="6"/>
  <c r="R23" i="6" s="1"/>
  <c r="F4" i="7"/>
  <c r="F13" i="10"/>
  <c r="F6" i="21"/>
  <c r="D6" i="10"/>
  <c r="D6" i="21" s="1"/>
  <c r="J39" i="21"/>
  <c r="J35" i="21"/>
  <c r="J26" i="21"/>
  <c r="J28" i="21" s="1"/>
  <c r="J30" i="21" s="1"/>
  <c r="J32" i="21"/>
  <c r="J34" i="21"/>
  <c r="J36" i="21"/>
  <c r="J37" i="21"/>
  <c r="J38" i="21"/>
  <c r="J40" i="21"/>
  <c r="J41" i="21"/>
  <c r="J24" i="10"/>
  <c r="J26" i="10" s="1"/>
  <c r="J28" i="10" s="1"/>
  <c r="J31" i="10" s="1"/>
  <c r="AA20" i="7" s="1"/>
  <c r="J33" i="10"/>
  <c r="J34" i="10"/>
  <c r="J35" i="10"/>
  <c r="J36" i="10"/>
  <c r="J38" i="10"/>
  <c r="J39" i="10" s="1"/>
  <c r="J40" i="10" s="1"/>
  <c r="J41" i="10"/>
  <c r="J37" i="10"/>
  <c r="AC4" i="7"/>
  <c r="AA13" i="7"/>
  <c r="AA16" i="7" s="1"/>
  <c r="N35" i="21"/>
  <c r="N41" i="21"/>
  <c r="N36" i="21"/>
  <c r="N39" i="21"/>
  <c r="N34" i="21"/>
  <c r="N38" i="21"/>
  <c r="N32" i="21"/>
  <c r="N37" i="21"/>
  <c r="N40" i="21"/>
  <c r="N26" i="21"/>
  <c r="N28" i="21" s="1"/>
  <c r="N30" i="21" s="1"/>
  <c r="N24" i="10"/>
  <c r="N26" i="10"/>
  <c r="N28" i="10" s="1"/>
  <c r="N31" i="10"/>
  <c r="AY4" i="7"/>
  <c r="AW16" i="7"/>
  <c r="D40" i="6"/>
  <c r="R40" i="6"/>
  <c r="R45" i="6" s="1"/>
  <c r="F7" i="7"/>
  <c r="D7" i="10"/>
  <c r="D7" i="21" s="1"/>
  <c r="F7" i="21"/>
  <c r="B5" i="7"/>
  <c r="D5" i="7" s="1"/>
  <c r="H5" i="7"/>
  <c r="B6" i="7"/>
  <c r="D6" i="7" s="1"/>
  <c r="H6" i="7"/>
  <c r="G38" i="21"/>
  <c r="G39" i="21"/>
  <c r="G35" i="21"/>
  <c r="G34" i="21"/>
  <c r="G26" i="21"/>
  <c r="G28" i="21" s="1"/>
  <c r="G30" i="21" s="1"/>
  <c r="G32" i="21"/>
  <c r="G36" i="21"/>
  <c r="G37" i="21"/>
  <c r="G40" i="21"/>
  <c r="G41" i="21"/>
  <c r="G24" i="10"/>
  <c r="G26" i="10" s="1"/>
  <c r="G28" i="10" s="1"/>
  <c r="G31" i="10" s="1"/>
  <c r="N4" i="7"/>
  <c r="L16" i="7"/>
  <c r="L10" i="7"/>
  <c r="N10" i="7" s="1"/>
  <c r="G27" i="21"/>
  <c r="K32" i="21"/>
  <c r="K37" i="21"/>
  <c r="K39" i="21"/>
  <c r="K34" i="21"/>
  <c r="K38" i="21"/>
  <c r="K26" i="21"/>
  <c r="K28" i="21" s="1"/>
  <c r="K30" i="21" s="1"/>
  <c r="K35" i="21"/>
  <c r="K36" i="21"/>
  <c r="K40" i="21"/>
  <c r="K41" i="21"/>
  <c r="K24" i="10"/>
  <c r="K26" i="10"/>
  <c r="K28" i="10" s="1"/>
  <c r="K31" i="10" s="1"/>
  <c r="K33" i="10"/>
  <c r="L33" i="10" s="1"/>
  <c r="M33" i="10" s="1"/>
  <c r="K35" i="10"/>
  <c r="K36" i="10"/>
  <c r="K34" i="10"/>
  <c r="K37" i="10" s="1"/>
  <c r="K38" i="10"/>
  <c r="K39" i="10" s="1"/>
  <c r="K40" i="10" s="1"/>
  <c r="K41" i="10"/>
  <c r="AI4" i="7"/>
  <c r="AG13" i="7"/>
  <c r="AG16" i="7" s="1"/>
  <c r="O41" i="21"/>
  <c r="O36" i="21"/>
  <c r="O34" i="21"/>
  <c r="O39" i="21"/>
  <c r="O32" i="21"/>
  <c r="O37" i="21"/>
  <c r="O26" i="21"/>
  <c r="O28" i="21" s="1"/>
  <c r="O30" i="21" s="1"/>
  <c r="O38" i="21"/>
  <c r="O35" i="21"/>
  <c r="O40" i="21"/>
  <c r="O24" i="10"/>
  <c r="O26" i="10"/>
  <c r="O28" i="10" s="1"/>
  <c r="O31" i="10"/>
  <c r="O33" i="10"/>
  <c r="P33" i="10" s="1"/>
  <c r="O34" i="10"/>
  <c r="O35" i="10"/>
  <c r="O36" i="10"/>
  <c r="O38" i="10"/>
  <c r="O39" i="10" s="1"/>
  <c r="O40" i="10" s="1"/>
  <c r="O37" i="10"/>
  <c r="O41" i="10"/>
  <c r="BD4" i="7"/>
  <c r="BB16" i="7"/>
  <c r="D15" i="21" l="1"/>
  <c r="D26" i="21" s="1"/>
  <c r="N33" i="10"/>
  <c r="N34" i="10" s="1"/>
  <c r="N36" i="10"/>
  <c r="N35" i="10"/>
  <c r="N37" i="10" s="1"/>
  <c r="R81" i="6"/>
  <c r="Q33" i="10"/>
  <c r="P36" i="10"/>
  <c r="P38" i="10"/>
  <c r="P39" i="10" s="1"/>
  <c r="P40" i="10" s="1"/>
  <c r="P34" i="10"/>
  <c r="P37" i="10" s="1"/>
  <c r="P35" i="10"/>
  <c r="L34" i="10"/>
  <c r="L36" i="10"/>
  <c r="L35" i="10"/>
  <c r="M35" i="10"/>
  <c r="M36" i="10"/>
  <c r="M34" i="10"/>
  <c r="M37" i="10" s="1"/>
  <c r="M38" i="10"/>
  <c r="M41" i="10"/>
  <c r="F15" i="21"/>
  <c r="BD16" i="7"/>
  <c r="BB18" i="7"/>
  <c r="BD18" i="7" s="1"/>
  <c r="BD20" i="7" s="1"/>
  <c r="AI16" i="7"/>
  <c r="AG18" i="7"/>
  <c r="AI18" i="7" s="1"/>
  <c r="AI20" i="7" s="1"/>
  <c r="N16" i="7"/>
  <c r="L18" i="7"/>
  <c r="N18" i="7" s="1"/>
  <c r="N20" i="7" s="1"/>
  <c r="B7" i="7"/>
  <c r="D7" i="7" s="1"/>
  <c r="H7" i="7"/>
  <c r="AY16" i="7"/>
  <c r="AW18" i="7"/>
  <c r="AY18" i="7" s="1"/>
  <c r="AY20" i="7" s="1"/>
  <c r="AC16" i="7"/>
  <c r="AA18" i="7"/>
  <c r="AC18" i="7" s="1"/>
  <c r="AC20" i="7" s="1"/>
  <c r="F32" i="21"/>
  <c r="D32" i="21" s="1"/>
  <c r="F40" i="21"/>
  <c r="D40" i="21" s="1"/>
  <c r="F36" i="21"/>
  <c r="F33" i="21"/>
  <c r="G33" i="21" s="1"/>
  <c r="H33" i="21" s="1"/>
  <c r="I33" i="21" s="1"/>
  <c r="J33" i="21" s="1"/>
  <c r="K33" i="21" s="1"/>
  <c r="L33" i="21" s="1"/>
  <c r="M33" i="21" s="1"/>
  <c r="N33" i="21" s="1"/>
  <c r="F37" i="21"/>
  <c r="F41" i="21"/>
  <c r="F34" i="21"/>
  <c r="F38" i="21"/>
  <c r="F26" i="21"/>
  <c r="F28" i="21" s="1"/>
  <c r="F30" i="21" s="1"/>
  <c r="D30" i="21" s="1"/>
  <c r="F35" i="21"/>
  <c r="F39" i="21"/>
  <c r="F24" i="10"/>
  <c r="D13" i="10"/>
  <c r="B4" i="7"/>
  <c r="H4" i="7"/>
  <c r="F27" i="21"/>
  <c r="D27" i="21" s="1"/>
  <c r="D28" i="21" s="1"/>
  <c r="F10" i="7"/>
  <c r="H10" i="7" s="1"/>
  <c r="I9" i="7" s="1"/>
  <c r="J9" i="7" s="1"/>
  <c r="D25" i="10"/>
  <c r="BN18" i="7"/>
  <c r="BP18" i="7" s="1"/>
  <c r="BP20" i="7" s="1"/>
  <c r="BP21" i="7" s="1"/>
  <c r="BP16" i="7"/>
  <c r="AS16" i="7"/>
  <c r="AQ18" i="7"/>
  <c r="AS18" i="7" s="1"/>
  <c r="AS20" i="7" s="1"/>
  <c r="X16" i="7"/>
  <c r="V18" i="7"/>
  <c r="X18" i="7" s="1"/>
  <c r="X20" i="7" s="1"/>
  <c r="BJ16" i="7"/>
  <c r="BH18" i="7"/>
  <c r="BJ18" i="7" s="1"/>
  <c r="BJ20" i="7" s="1"/>
  <c r="BJ21" i="7" s="1"/>
  <c r="AN16" i="7"/>
  <c r="AL18" i="7"/>
  <c r="AN18" i="7" s="1"/>
  <c r="AN20" i="7" s="1"/>
  <c r="S16" i="7"/>
  <c r="Q18" i="7"/>
  <c r="S18" i="7" s="1"/>
  <c r="S20" i="7" s="1"/>
  <c r="B20" i="7" s="1"/>
  <c r="D20" i="7" s="1"/>
  <c r="P41" i="10" l="1"/>
  <c r="N38" i="10"/>
  <c r="Q34" i="10"/>
  <c r="Q37" i="10" s="1"/>
  <c r="Q38" i="10"/>
  <c r="Q39" i="10" s="1"/>
  <c r="Q40" i="10" s="1"/>
  <c r="Q35" i="10"/>
  <c r="Q36" i="10"/>
  <c r="L37" i="10"/>
  <c r="L38" i="10"/>
  <c r="F16" i="7"/>
  <c r="H16" i="7"/>
  <c r="F18" i="7"/>
  <c r="B16" i="7"/>
  <c r="D16" i="7" s="1"/>
  <c r="D4" i="7"/>
  <c r="D24" i="10"/>
  <c r="F26" i="10"/>
  <c r="Q41" i="10" l="1"/>
  <c r="N39" i="10"/>
  <c r="N40" i="10" s="1"/>
  <c r="N41" i="10"/>
  <c r="L39" i="10"/>
  <c r="L40" i="10" s="1"/>
  <c r="L41" i="10"/>
  <c r="M39" i="10"/>
  <c r="M40" i="10" s="1"/>
  <c r="F28" i="10"/>
  <c r="D26" i="10"/>
  <c r="H18" i="7"/>
  <c r="H20" i="7" s="1"/>
  <c r="B18" i="7"/>
  <c r="D18" i="7" s="1"/>
  <c r="D28" i="10" l="1"/>
  <c r="F31" i="10"/>
  <c r="D31" i="10" l="1"/>
  <c r="F33" i="10"/>
  <c r="G33" i="10" l="1"/>
  <c r="F34" i="10"/>
  <c r="F35" i="10"/>
  <c r="F36" i="10"/>
  <c r="F38" i="10"/>
  <c r="F39" i="10" s="1"/>
  <c r="F40" i="10" s="1"/>
  <c r="F41" i="10"/>
  <c r="F37" i="10" l="1"/>
  <c r="G34" i="10"/>
  <c r="G35" i="10"/>
  <c r="G36" i="10"/>
  <c r="G38" i="10"/>
  <c r="G39" i="10" s="1"/>
  <c r="G40" i="10" s="1"/>
  <c r="D40" i="10" s="1"/>
  <c r="G41" i="10"/>
  <c r="G37" i="10" l="1"/>
</calcChain>
</file>

<file path=xl/comments1.xml><?xml version="1.0" encoding="utf-8"?>
<comments xmlns="http://schemas.openxmlformats.org/spreadsheetml/2006/main">
  <authors>
    <author>CKettner</author>
    <author>tmm8381</author>
    <author>gaa9730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Final Share of True-up Costs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K20" authorId="0" shapeId="0">
      <text>
        <r>
          <rPr>
            <b/>
            <sz val="9"/>
            <color indexed="81"/>
            <rFont val="Tahoma"/>
            <charset val="1"/>
          </rPr>
          <t>CKettner:</t>
        </r>
        <r>
          <rPr>
            <sz val="9"/>
            <color indexed="81"/>
            <rFont val="Tahoma"/>
            <charset val="1"/>
          </rPr>
          <t xml:space="preserve">
New contract went into effect 09/01/2018 - deal #100117
</t>
        </r>
      </text>
    </comment>
    <comment ref="B21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K21" authorId="0" shapeId="0">
      <text>
        <r>
          <rPr>
            <b/>
            <sz val="9"/>
            <color indexed="81"/>
            <rFont val="Tahoma"/>
            <charset val="1"/>
          </rPr>
          <t>CKettner:</t>
        </r>
        <r>
          <rPr>
            <sz val="9"/>
            <color indexed="81"/>
            <rFont val="Tahoma"/>
            <charset val="1"/>
          </rPr>
          <t xml:space="preserve">
New contract went into effect 09/01/2018 - deal #100117
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20170True-up Power Cost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the PTR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6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Agreement with Clearwater to serve load at Ahsahka</t>
        </r>
      </text>
    </comment>
    <comment ref="B38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Volumes used are from the annual WNP-3 Settlement Agreement, along with the Mid-point price and the contract price.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M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$46.15 minus the contract price of $45.61.(2018-2019)
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$46.15 minus the contract price of $45.61.(2018-2019)
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8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tzj0fg</author>
    <author>CKettner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1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0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1" authorId="3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2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3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4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07" authorId="4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08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09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5" authorId="3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2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E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F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G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H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I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J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K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L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M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N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O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P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B126" authorId="2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28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3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comments4.xml><?xml version="1.0" encoding="utf-8"?>
<comments xmlns="http://schemas.openxmlformats.org/spreadsheetml/2006/main">
  <authors>
    <author>gaa9730</author>
    <author>tzj0fg</author>
  </authors>
  <commentList>
    <comment ref="B18" authorId="0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Authorized doesn't include SMUD RECS</t>
        </r>
      </text>
    </comment>
    <comment ref="B22" authorId="1" shapeId="0">
      <text>
        <r>
          <rPr>
            <b/>
            <sz val="8"/>
            <color indexed="81"/>
            <rFont val="Tahoma"/>
            <family val="2"/>
          </rPr>
          <t xml:space="preserve">Updated Feb. 2013 to correct Authorized
</t>
        </r>
      </text>
    </comment>
  </commentList>
</comments>
</file>

<file path=xl/sharedStrings.xml><?xml version="1.0" encoding="utf-8"?>
<sst xmlns="http://schemas.openxmlformats.org/spreadsheetml/2006/main" count="728" uniqueCount="399">
  <si>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</si>
  <si>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</si>
  <si>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</si>
  <si>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</si>
  <si>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</si>
  <si>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</si>
  <si>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</si>
  <si>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</si>
  <si>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</si>
  <si>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ACTUAL</t>
  </si>
  <si>
    <t>TOTAL</t>
  </si>
  <si>
    <t>Adjusted Actual Net Expense</t>
  </si>
  <si>
    <t>AUTHORIZED NET EXPENSE - SYSTEM</t>
  </si>
  <si>
    <t xml:space="preserve"> AUTHORIZED NET EXPENSE-SYSTEM</t>
  </si>
  <si>
    <t>555 PURCHASED POWER</t>
  </si>
  <si>
    <t>Rocky Reach</t>
  </si>
  <si>
    <t>Wanapum</t>
  </si>
  <si>
    <t>Wells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</si>
  <si>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</si>
  <si>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</si>
  <si>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</si>
  <si>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</si>
  <si>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</si>
  <si>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</si>
  <si>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</si>
  <si>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</si>
  <si>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</si>
  <si>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</si>
  <si>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</si>
  <si>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</si>
  <si>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</si>
  <si>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</si>
  <si>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</si>
  <si>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Boulder Park</t>
  </si>
  <si>
    <t>WPM Ancillary Services</t>
  </si>
  <si>
    <t>Merchant Ancillary Services</t>
  </si>
  <si>
    <t>WASHINGTON POWER COST DEFERRALS</t>
  </si>
  <si>
    <t>Authorized</t>
  </si>
  <si>
    <t>Variance</t>
  </si>
  <si>
    <t>SYSTEM</t>
  </si>
  <si>
    <t>Retail Revenue Credit</t>
  </si>
  <si>
    <t>MWH</t>
  </si>
  <si>
    <t>Total Hydro Generation</t>
  </si>
  <si>
    <t>Kettle Falls-Wood</t>
  </si>
  <si>
    <t>Kettle Falls CT Gas</t>
  </si>
  <si>
    <t xml:space="preserve">Northeast CT </t>
  </si>
  <si>
    <t>Rathdrum</t>
  </si>
  <si>
    <t>Coyote Springs 2</t>
  </si>
  <si>
    <t>Total Thermal</t>
  </si>
  <si>
    <t>100 % Net Power Cost Increase (Decrease)</t>
  </si>
  <si>
    <t>90% Net Power Cost above $9.0 million Company Band</t>
  </si>
  <si>
    <t>average short-term purchase price</t>
  </si>
  <si>
    <t>average short-term sales price</t>
  </si>
  <si>
    <t>Pend Oreille DES</t>
  </si>
  <si>
    <t>TOTAL NET EXPENSE</t>
  </si>
  <si>
    <t>NO</t>
  </si>
  <si>
    <t>Amount in excess of $9.0 million Company Band??</t>
  </si>
  <si>
    <t>Settlement/Compliance Filing Adj.</t>
  </si>
  <si>
    <t>Credit CS2 1/2 Exchange</t>
  </si>
  <si>
    <t>WASHINGTON ALLOCATION @ 65.16%</t>
  </si>
  <si>
    <t>budget</t>
  </si>
  <si>
    <t>Potlatch 62 aMW directly assigned</t>
  </si>
  <si>
    <t>Potlatch 62 aMW directly assigned.</t>
  </si>
  <si>
    <t>CUMULATIVE YTD</t>
  </si>
  <si>
    <t>gas price $/dth</t>
  </si>
  <si>
    <t>Heat Rate BTU/MWh</t>
  </si>
  <si>
    <t>$/MWh gas rate</t>
  </si>
  <si>
    <t>CS2 Fuel Variance</t>
  </si>
  <si>
    <t>RRC Variance</t>
  </si>
  <si>
    <t>PV on Auth surplus/deficiency balancing the system</t>
  </si>
  <si>
    <t>KF Fuel Variance</t>
  </si>
  <si>
    <t>Colstrip Fuel Variance</t>
  </si>
  <si>
    <t>LADWP margin</t>
  </si>
  <si>
    <t>Douglas Settlement</t>
  </si>
  <si>
    <t xml:space="preserve">Reserve Sales + Asset Optimization </t>
  </si>
  <si>
    <t>Forward Sales MWh</t>
  </si>
  <si>
    <t>Forward Sales Rate</t>
  </si>
  <si>
    <t>Forward Purchase MWh</t>
  </si>
  <si>
    <t>Forward Purchase Rate</t>
  </si>
  <si>
    <t>SYSTEM TOTAL</t>
  </si>
  <si>
    <t>CS2 Transportation</t>
  </si>
  <si>
    <t>lowers def</t>
  </si>
  <si>
    <t>Washington Share @ 65.16%</t>
  </si>
  <si>
    <t>incr def</t>
  </si>
  <si>
    <t>Forward Sales $ not included in Authorized</t>
  </si>
  <si>
    <t>Forward Purchase $ not included in Authorized</t>
  </si>
  <si>
    <t xml:space="preserve">  </t>
  </si>
  <si>
    <r>
      <t xml:space="preserve">Native Load </t>
    </r>
    <r>
      <rPr>
        <b/>
        <sz val="10"/>
        <rFont val="Arial"/>
        <family val="2"/>
      </rPr>
      <t>(Budget is net 40 aMW for Potlatch)</t>
    </r>
  </si>
  <si>
    <t>KF MWh Variance</t>
  </si>
  <si>
    <t>Colstrip MWh Variance</t>
  </si>
  <si>
    <t>CS2 MWh Variance</t>
  </si>
  <si>
    <t>Boulder Park Fuel Variance</t>
  </si>
  <si>
    <t>Boulder Park MWh Variance</t>
  </si>
  <si>
    <t>when expense is higher, increases the deferral</t>
  </si>
  <si>
    <t>Hydro Average MW</t>
  </si>
  <si>
    <t>Native Load Average MW</t>
  </si>
  <si>
    <t>Hydro Variance @ 65.16%</t>
  </si>
  <si>
    <t>Other</t>
  </si>
  <si>
    <t>Load Variance @ 65.16%</t>
  </si>
  <si>
    <t>Total increase in deferral before RRC</t>
  </si>
  <si>
    <t>Washington Share  + = increase deferral</t>
  </si>
  <si>
    <t>CS2 gas price $/DTH</t>
  </si>
  <si>
    <t>input</t>
  </si>
  <si>
    <t>and up</t>
  </si>
  <si>
    <t>check #-should be zero</t>
  </si>
  <si>
    <t>Deferral Amount, Monthly</t>
  </si>
  <si>
    <t>565 Transmission Expense</t>
  </si>
  <si>
    <t>557 Broker Fees</t>
  </si>
  <si>
    <t>Company Band Gross Margin Impact, Cumulative</t>
  </si>
  <si>
    <t>Kettle Falls fuel expense</t>
  </si>
  <si>
    <t>Colstrip fuel expense</t>
  </si>
  <si>
    <t>CS2 fuel expense</t>
  </si>
  <si>
    <t>Boulder Park fuel expense</t>
  </si>
  <si>
    <t>CS2 transportation</t>
  </si>
  <si>
    <t>Colstrip oil</t>
  </si>
  <si>
    <t xml:space="preserve"> YTD</t>
  </si>
  <si>
    <t>Adjusted  Net Expense</t>
  </si>
  <si>
    <t>KFCT fuel expense</t>
  </si>
  <si>
    <t>Stimson Lumber</t>
  </si>
  <si>
    <t>Rathdrum fuel expense</t>
  </si>
  <si>
    <t>SYS VAR</t>
  </si>
  <si>
    <t>WA SHARE</t>
  </si>
  <si>
    <t>$ IMPACT</t>
  </si>
  <si>
    <t>NET</t>
  </si>
  <si>
    <t>WNP3</t>
  </si>
  <si>
    <t>Small Pwr</t>
  </si>
  <si>
    <t>Upriver</t>
  </si>
  <si>
    <t>AUTH</t>
  </si>
  <si>
    <t>Grant Displacement egy</t>
  </si>
  <si>
    <t>PPM Wind</t>
  </si>
  <si>
    <t>2007 ANNUAL</t>
  </si>
  <si>
    <t>SMUD margin</t>
  </si>
  <si>
    <t>Stimson</t>
  </si>
  <si>
    <t>average ST purchase price</t>
  </si>
  <si>
    <t>average ST sales price</t>
  </si>
  <si>
    <t>SYS VARIANCE</t>
  </si>
  <si>
    <t>Colstrip $/MWh</t>
  </si>
  <si>
    <t>company absorbed</t>
  </si>
  <si>
    <t>WA ALLOCATION @ 65.83%</t>
  </si>
  <si>
    <t>456 Transmission Revenue</t>
  </si>
  <si>
    <t>RRC-WA Share MWh</t>
  </si>
  <si>
    <t>Thompson River</t>
  </si>
  <si>
    <t>Northeast fuel expense</t>
  </si>
  <si>
    <t>Thompson River Co-Gen</t>
  </si>
  <si>
    <t>ACT</t>
  </si>
  <si>
    <t>BPA NT 555 + 447</t>
  </si>
  <si>
    <t>Seattle + Douglas Capacity Payment</t>
  </si>
  <si>
    <t>small power</t>
  </si>
  <si>
    <t>receive less from customers</t>
  </si>
  <si>
    <t>Northwest Energy capacity revenue</t>
  </si>
  <si>
    <t>Priest Rapids Products/Grant Displ</t>
  </si>
  <si>
    <t>() = lowers deferral</t>
  </si>
  <si>
    <t xml:space="preserve"> + = increases deferral</t>
  </si>
  <si>
    <t>NET SALES/PURCHASES</t>
  </si>
  <si>
    <t>Native Load less Potlatch gen</t>
  </si>
  <si>
    <t>lowers deferral</t>
  </si>
  <si>
    <t>456100 ED AN</t>
  </si>
  <si>
    <t>565000 ED AN</t>
  </si>
  <si>
    <t>565710 ED AN</t>
  </si>
  <si>
    <t>Well's Tribe</t>
  </si>
  <si>
    <t>Grant Residential Exchg Credit</t>
  </si>
  <si>
    <t>Fiancial Swap out of money</t>
  </si>
  <si>
    <t>wnp3</t>
  </si>
  <si>
    <t>Colstrip Oil-501160</t>
  </si>
  <si>
    <t>Colstrip Coal-501140</t>
  </si>
  <si>
    <t>Resource Optimization</t>
  </si>
  <si>
    <t>WNP3 Mid Point</t>
  </si>
  <si>
    <t>WA ERM / ID PCA</t>
  </si>
  <si>
    <t>WNP#3 needs adjustment for Mid Point in WA (Vol's from PTR)</t>
  </si>
  <si>
    <t>KFGS Hog Fuel and Colstrip Coal tons burned input form JV's</t>
  </si>
  <si>
    <t>Most data entry occurs on the WA Monthly tab (highlighted yellow)</t>
  </si>
  <si>
    <t>The ID Monthly tab then links as appropriate.</t>
  </si>
  <si>
    <t>deferral calculations (highlighted green).</t>
  </si>
  <si>
    <t xml:space="preserve">GL Wand updates are added for each specific account used in the </t>
  </si>
  <si>
    <t>on the WA &amp; ID Summary tabs.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</si>
  <si>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</si>
  <si>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</si>
  <si>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</si>
  <si>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</si>
  <si>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</si>
  <si>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</si>
  <si>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</si>
  <si>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</si>
  <si>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</si>
  <si>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RESOURCE OPTIMIZATION</t>
  </si>
  <si>
    <t>Specific deal activity is input for 447 and 555 from NUCUT PTR or Sales and G&amp;P reports.</t>
  </si>
  <si>
    <t>Overrides of GL can occur if necessary for all accounts</t>
  </si>
  <si>
    <t>456016 rev's and 557160 exp's may require overides for special circumstances</t>
  </si>
  <si>
    <t>Less Clearwater directly assigned to ID</t>
  </si>
  <si>
    <t>Lancaster-547312</t>
  </si>
  <si>
    <t>565312 ED AN</t>
  </si>
  <si>
    <t>Lancaster</t>
  </si>
  <si>
    <t>Net Resource Optimization</t>
  </si>
  <si>
    <t>Net Power Cost (+) Surcharge (-) Rebate</t>
  </si>
  <si>
    <t>If new accounts added to GL etc make sure they are added/excluded as appropriate</t>
  </si>
  <si>
    <t>Fed Prod Tax credit for ID comes from J McCauley-Corp</t>
  </si>
  <si>
    <t>Authorized levels come from Bill Johnson after Gen Rate case settlements.</t>
  </si>
  <si>
    <t>Carbon Credits - ID only</t>
  </si>
  <si>
    <t xml:space="preserve">Res Opt - gas </t>
  </si>
  <si>
    <t>Lancaster Costs tracked seperately</t>
  </si>
  <si>
    <t>PCA - 100% of fixed PPA, Transmission, Pipeline charges identified.</t>
  </si>
  <si>
    <t>Backed out 100% in ID System costs, ID share added back in after 90/10 split.</t>
  </si>
  <si>
    <t>WA excludes 100%. Actual, and certain calculations, removed 100% from WA System.</t>
  </si>
  <si>
    <t>Deferred seperately in WA using WA share.</t>
  </si>
  <si>
    <t>Season - Nov-April, new rate in late summer, for following contract season</t>
  </si>
  <si>
    <r>
      <t xml:space="preserve">ID uses </t>
    </r>
    <r>
      <rPr>
        <u/>
        <sz val="10"/>
        <rFont val="Arial"/>
        <family val="2"/>
      </rPr>
      <t>actual</t>
    </r>
    <r>
      <rPr>
        <sz val="10"/>
        <rFont val="Arial"/>
        <family val="2"/>
      </rPr>
      <t xml:space="preserve"> dollars recorded in Purchases PTR.</t>
    </r>
  </si>
  <si>
    <t>These contracts document actuals as filed in the initial Authorized expenses from GRC in ID/WA</t>
  </si>
  <si>
    <t>Certain costs/benefits may need tracked outside of Authorized accounts</t>
  </si>
  <si>
    <t>Econ Dispatch-557010</t>
  </si>
  <si>
    <t>FPTC - ID (From J. McCauley)</t>
  </si>
  <si>
    <t>Retail Revenue credits are calculated by Rates and input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</si>
  <si>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</si>
  <si>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</si>
  <si>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</si>
  <si>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</si>
  <si>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</si>
  <si>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</si>
  <si>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</si>
  <si>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</si>
  <si>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</si>
  <si>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</si>
  <si>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</si>
  <si>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</si>
  <si>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</si>
  <si>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</si>
  <si>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</si>
  <si>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</si>
  <si>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</si>
  <si>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</si>
  <si>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</si>
  <si>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</si>
  <si>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</si>
  <si>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</si>
  <si>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</si>
  <si>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Idaho Allocation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</si>
  <si>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</si>
  <si>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</si>
  <si>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</si>
  <si>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</si>
  <si>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</si>
  <si>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</si>
  <si>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</si>
  <si>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</si>
  <si>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</si>
  <si>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</si>
  <si>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</si>
  <si>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</si>
  <si>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t xml:space="preserve"> Resource Optimizaton Subtotal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</si>
  <si>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</si>
  <si>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</si>
  <si>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</si>
  <si>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</si>
  <si>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</si>
  <si>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Paouse Wind in PCA at 100% until later GRC</t>
  </si>
  <si>
    <t>REC's Purchases &amp; Sales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</si>
  <si>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</si>
  <si>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</si>
  <si>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</si>
  <si>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</si>
  <si>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</si>
  <si>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</si>
  <si>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</si>
  <si>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</si>
  <si>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</si>
  <si>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</si>
  <si>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and 01/01/2012 respectively.</t>
  </si>
  <si>
    <t>not been tracking 456016 Rev's against the proforma amounts, instead had been including 100%</t>
  </si>
  <si>
    <t xml:space="preserve">The revenues were included in Base Rates, thereby lowering Customer Rates.  Resource Acct had </t>
  </si>
  <si>
    <t>of 456016 in Other Res Costs.  This effectively gives the customers twice the benefits up to</t>
  </si>
  <si>
    <t>Starting Feb 2012 a separate calculation of actual REC Rev's as compared to proforma amounts</t>
  </si>
  <si>
    <t xml:space="preserve">(proforma amounts of $700K and $850K) in the last ID and WA GRC's effective 10/1/2011  </t>
  </si>
  <si>
    <t>the proforma amount in Rates (lower Base Rates, and credits in the ERM and PCA).</t>
  </si>
  <si>
    <t>Feb 2012 entry (surcharge direction).</t>
  </si>
  <si>
    <t xml:space="preserve">will be included in the ERM and PCA for 2012  A true up of Jan 2012 will be included in the </t>
  </si>
  <si>
    <t>While preparing the 2013 WA GRC it became appearent that 456016 REC Sales Rev had been included</t>
  </si>
  <si>
    <t>Spoke with Liz Andrews, Ron Mckenzie and Bill Johnson - start at 1/1/2012 both ID &amp; WA.</t>
  </si>
  <si>
    <t>ID customers keep any benefit for 10-12/2011 (immaterial at 10%)</t>
  </si>
  <si>
    <t>REC's</t>
  </si>
  <si>
    <t>456 Rev</t>
  </si>
  <si>
    <t>The 2013 WA GRC for Transmission Rev is to only include 456100, no other subtasks (700&amp;705)</t>
  </si>
  <si>
    <t>Misc. Power Exp. Actual-557160 ED AN</t>
  </si>
  <si>
    <t>Difference</t>
  </si>
  <si>
    <t>Cumulative Balance</t>
  </si>
  <si>
    <t>Palouse Wind</t>
  </si>
  <si>
    <t>City of Spokane - Waste-to-Energy</t>
  </si>
  <si>
    <t>Less SMUD RECs</t>
  </si>
  <si>
    <t>456120 ED AN - BPA Settlement</t>
  </si>
  <si>
    <t>Misc. Power Exp. Subtotal</t>
  </si>
  <si>
    <t>WASHINGTON POWER COST DEFERRALS - For Our Focus</t>
  </si>
  <si>
    <t>456017 ED AN - Low Voltage</t>
  </si>
  <si>
    <t>456705 ED AN - Low Voltage</t>
  </si>
  <si>
    <t>WNP Correction*</t>
  </si>
  <si>
    <t>Resource Optimization - Subtotal</t>
  </si>
  <si>
    <t>Instructions on How to Calculate the Retail Revenue Credit</t>
  </si>
  <si>
    <t>To Calculate Idaho's Retail Revenue Credit</t>
  </si>
  <si>
    <t>Open File H:\Power Deferrals\Power Deferral Calculation\ID Retail Rev YYYY.xlsx</t>
  </si>
  <si>
    <t>Total Billed Sales</t>
  </si>
  <si>
    <r>
      <t xml:space="preserve">Discoverer - Open an existing workbook - </t>
    </r>
    <r>
      <rPr>
        <b/>
        <u/>
        <sz val="10"/>
        <rFont val="Arial"/>
        <family val="2"/>
      </rPr>
      <t>Revenue_RateSch_CM_YTD</t>
    </r>
  </si>
  <si>
    <t>Report Period = YYYYMM</t>
  </si>
  <si>
    <t>Rate Schedule = %</t>
  </si>
  <si>
    <t>Choose the Electric Tab at the bottom of page</t>
  </si>
  <si>
    <t>Change the State Code (Top of Screen) from &lt;All&gt; to ID (for Idaho)</t>
  </si>
  <si>
    <t>Enter current month usage at "Total Billed Sales"</t>
  </si>
  <si>
    <t>Check that YTD Usage is correct</t>
  </si>
  <si>
    <t>Deduct Clearwater Paper Generation</t>
  </si>
  <si>
    <t xml:space="preserve">From a file provided by Cheryl Kettner called PotlatchGen.xls </t>
  </si>
  <si>
    <t xml:space="preserve">She will email this file to you every month </t>
  </si>
  <si>
    <t>Enter in Generation MWhs for correct month</t>
  </si>
  <si>
    <t>Prior Month Unbilled</t>
  </si>
  <si>
    <t xml:space="preserve">This is a calculation from the previous month </t>
  </si>
  <si>
    <t xml:space="preserve">Can be verified by checking the Prior Month Unbilled Calculation </t>
  </si>
  <si>
    <t>Information is provided by Rick Lloyd but the file can be found</t>
  </si>
  <si>
    <t>H:\Revenue\Unbilled Revenue\</t>
  </si>
  <si>
    <t>Current Month Unbilled</t>
  </si>
  <si>
    <t>Rest of the file is based on calculations.  The inputs only change with a new</t>
  </si>
  <si>
    <t>rate case.  Bill Johnson, Tara Knox and/or Liz Andrews provide the inputs</t>
  </si>
  <si>
    <t>To Calculate Washington's Retail Revenue Credit</t>
  </si>
  <si>
    <t>Open File H:\Power Deferrals\Power Deferral Calculation\WA Retail Rev YYYY.xlsx</t>
  </si>
  <si>
    <t>Change the State Code (Top of Screen) from &lt;All&gt; to WA (for Washington)</t>
  </si>
  <si>
    <t>YTD</t>
  </si>
  <si>
    <t>Deduct Prior Month Unbilled</t>
  </si>
  <si>
    <t>Add Current Month Unbilled</t>
  </si>
  <si>
    <t>Difference from Test Year</t>
  </si>
  <si>
    <t>Load Change Adjustment Rate - $/MWh</t>
  </si>
  <si>
    <t>Budget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</si>
  <si>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</si>
  <si>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</si>
  <si>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</si>
  <si>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</si>
  <si>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</si>
  <si>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</si>
  <si>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</si>
  <si>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 xml:space="preserve">Test Year Consumption </t>
  </si>
  <si>
    <t>Incorrect Authorized</t>
  </si>
  <si>
    <t>Idaho REC Revenue Adjustment from 2013</t>
  </si>
  <si>
    <t>Rebate</t>
  </si>
  <si>
    <t>PT Ratio</t>
  </si>
  <si>
    <t>Idaho Share - 100%</t>
  </si>
  <si>
    <t>Idaho Share - 90%</t>
  </si>
  <si>
    <t>As Recorded</t>
  </si>
  <si>
    <t>Corrected</t>
  </si>
  <si>
    <t>Correct Authorized</t>
  </si>
  <si>
    <t>Difference - Adjusted in Jan. 2014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</si>
  <si>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</si>
  <si>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</si>
  <si>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</si>
  <si>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</si>
  <si>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</si>
  <si>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</si>
  <si>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</si>
  <si>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</si>
  <si>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</si>
  <si>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</si>
  <si>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</si>
  <si>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</si>
  <si>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</si>
  <si>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</si>
  <si>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</si>
  <si>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</si>
  <si>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</si>
  <si>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</si>
  <si>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</si>
  <si>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</si>
  <si>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ID Summary Tab Inputs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</si>
  <si>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</si>
  <si>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</si>
  <si>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</si>
  <si>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</si>
  <si>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</si>
  <si>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</si>
  <si>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ID LCA Tab Inputs</t>
  </si>
  <si>
    <t>ID Monthly Tab Inputs</t>
  </si>
  <si>
    <t>City of Spokane-Upriver - 186298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</si>
  <si>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</si>
  <si>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</si>
  <si>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</si>
  <si>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</si>
  <si>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</si>
  <si>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>Direct WA (Agreed to Adjustment)</t>
  </si>
  <si>
    <t>REC Revenue</t>
  </si>
  <si>
    <t>Settlement Adjustment</t>
  </si>
  <si>
    <t>557165 ED AN</t>
  </si>
  <si>
    <t>CAISO</t>
  </si>
  <si>
    <t>Glen/Rose Marie (Phillips Ranch) - 100023</t>
  </si>
  <si>
    <t>Source: PSM 12 15 - Pricing 12-15-2016_v4_Mid-Month)_decoupling dec balances</t>
  </si>
  <si>
    <t>557018 ED AN</t>
  </si>
  <si>
    <t>Merchandise Processing Fee</t>
  </si>
  <si>
    <t>Energy Recovery Mechanism (ERM) Retail Revenue Credit Calculation - 2018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</si>
  <si>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</si>
  <si>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</si>
  <si>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</si>
  <si>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</si>
  <si>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</si>
  <si>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Clearwater Power Co - 102475</t>
  </si>
  <si>
    <t>Clearwater Power Company</t>
  </si>
  <si>
    <t>Other Elec Rev - Extraction Plant Cr - 456018</t>
  </si>
  <si>
    <t>Indicates Revised Amounts Starting 05/01/2018</t>
  </si>
  <si>
    <t>On WA Summary Tab, these #'s are divided by 64.71% from Jan-Apr, and 65.73% May-Dec</t>
  </si>
  <si>
    <t>Total through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</si>
</sst>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* #,##0.0_);_(* \(#,##0.0\);_(* &quot;-&quot;??_);_(@_)"/>
    <numFmt numFmtId="168" formatCode="_(&quot;$&quot;* #,##0.0_);_(&quot;$&quot;* \(#,##0.0\);_(&quot;$&quot;* &quot;-&quot;??_);_(@_)"/>
    <numFmt numFmtId="169" formatCode="_(&quot;$&quot;* #,##0_);_(&quot;$&quot;* \(#,##0\);_(&quot;$&quot;* &quot;-&quot;??_);_(@_)"/>
    <numFmt numFmtId="170" formatCode="&quot;$&quot;#,##0.0_);\(&quot;$&quot;#,##0.0\)"/>
    <numFmt numFmtId="171" formatCode="_(* #,##0.0000_);_(* \(#,##0.0000\);_(* &quot;-&quot;??_);_(@_)"/>
    <numFmt numFmtId="172" formatCode="_(&quot;$&quot;* #,##0.00_);_(&quot;$&quot;* \(#,##0.00\);_(&quot;$&quot;* &quot;-&quot;_);_(@_)"/>
    <numFmt numFmtId="173" formatCode="0.000"/>
    <numFmt numFmtId="174" formatCode="_(&quot;$&quot;* #,##0.000_);_(&quot;$&quot;* \(#,##0.000\);_(&quot;$&quot;* &quot;-&quot;??_);_(@_)"/>
    <numFmt numFmtId="175" formatCode="_(&quot;$&quot;* #,##0.0000_);_(&quot;$&quot;* \(#,##0.0000\);_(&quot;$&quot;* &quot;-&quot;??_);_(@_)"/>
    <numFmt numFmtId="176" formatCode="&quot;$&quot;#,##0;[Red]&quot;$&quot;#,##0"/>
    <numFmt numFmtId="177" formatCode="[$-409]mmm/yy;@"/>
    <numFmt numFmtId="179" formatCode="0_);\(0\)"/>
    <numFmt numFmtId="180" formatCode="mmmm\ yyyy"/>
  </numFmts>
  <fonts count="5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strike/>
      <sz val="10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4" fillId="0" borderId="0"/>
    <xf numFmtId="0" fontId="3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7" fillId="0" borderId="0"/>
    <xf numFmtId="0" fontId="3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4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4" fillId="0" borderId="0" xfId="0" applyFont="1"/>
    <xf numFmtId="164" fontId="0" fillId="0" borderId="0" xfId="0" applyNumberFormat="1"/>
    <xf numFmtId="0" fontId="6" fillId="0" borderId="0" xfId="0" applyFont="1"/>
    <xf numFmtId="169" fontId="0" fillId="0" borderId="0" xfId="6" applyNumberFormat="1" applyFont="1"/>
    <xf numFmtId="169" fontId="0" fillId="0" borderId="0" xfId="6" applyNumberFormat="1" applyFont="1" applyBorder="1"/>
    <xf numFmtId="166" fontId="0" fillId="0" borderId="0" xfId="0" applyNumberFormat="1"/>
    <xf numFmtId="17" fontId="2" fillId="0" borderId="1" xfId="0" applyNumberFormat="1" applyFont="1" applyBorder="1" applyAlignment="1">
      <alignment horizontal="center"/>
    </xf>
    <xf numFmtId="3" fontId="3" fillId="0" borderId="0" xfId="3" applyNumberFormat="1" applyFont="1" applyProtection="1">
      <protection locked="0"/>
    </xf>
    <xf numFmtId="166" fontId="3" fillId="0" borderId="0" xfId="3" applyNumberFormat="1" applyFont="1"/>
    <xf numFmtId="166" fontId="0" fillId="0" borderId="1" xfId="0" applyNumberFormat="1" applyBorder="1"/>
    <xf numFmtId="169" fontId="0" fillId="0" borderId="1" xfId="6" applyNumberFormat="1" applyFont="1" applyBorder="1"/>
    <xf numFmtId="44" fontId="0" fillId="0" borderId="0" xfId="0" applyNumberFormat="1"/>
    <xf numFmtId="169" fontId="0" fillId="0" borderId="0" xfId="0" applyNumberFormat="1" applyBorder="1"/>
    <xf numFmtId="169" fontId="0" fillId="0" borderId="0" xfId="0" applyNumberFormat="1"/>
    <xf numFmtId="5" fontId="0" fillId="0" borderId="0" xfId="0" applyNumberFormat="1"/>
    <xf numFmtId="166" fontId="0" fillId="0" borderId="0" xfId="3" applyNumberFormat="1" applyFont="1"/>
    <xf numFmtId="166" fontId="0" fillId="0" borderId="1" xfId="3" applyNumberFormat="1" applyFont="1" applyBorder="1"/>
    <xf numFmtId="166" fontId="0" fillId="0" borderId="0" xfId="3" applyNumberFormat="1" applyFont="1" applyBorder="1"/>
    <xf numFmtId="166" fontId="0" fillId="0" borderId="0" xfId="6" applyNumberFormat="1" applyFont="1"/>
    <xf numFmtId="0" fontId="3" fillId="0" borderId="0" xfId="0" applyFont="1"/>
    <xf numFmtId="0" fontId="9" fillId="0" borderId="0" xfId="0" applyFont="1" applyBorder="1"/>
    <xf numFmtId="0" fontId="9" fillId="0" borderId="0" xfId="0" applyFont="1"/>
    <xf numFmtId="17" fontId="10" fillId="0" borderId="1" xfId="0" applyNumberFormat="1" applyFont="1" applyBorder="1" applyAlignment="1">
      <alignment horizontal="centerContinuous"/>
    </xf>
    <xf numFmtId="0" fontId="9" fillId="0" borderId="1" xfId="0" applyFont="1" applyBorder="1" applyAlignment="1">
      <alignment horizontal="centerContinuous"/>
    </xf>
    <xf numFmtId="0" fontId="9" fillId="0" borderId="1" xfId="0" applyFont="1" applyBorder="1" applyAlignment="1">
      <alignment horizontal="center"/>
    </xf>
    <xf numFmtId="0" fontId="3" fillId="0" borderId="0" xfId="0" applyFont="1" applyBorder="1"/>
    <xf numFmtId="0" fontId="12" fillId="0" borderId="0" xfId="0" applyFont="1"/>
    <xf numFmtId="169" fontId="0" fillId="0" borderId="0" xfId="6" applyNumberFormat="1" applyFont="1" applyAlignment="1">
      <alignment horizontal="right"/>
    </xf>
    <xf numFmtId="172" fontId="0" fillId="0" borderId="0" xfId="18" applyNumberFormat="1" applyFont="1"/>
    <xf numFmtId="0" fontId="11" fillId="0" borderId="0" xfId="0" applyFont="1"/>
    <xf numFmtId="44" fontId="0" fillId="0" borderId="0" xfId="6" applyFont="1"/>
    <xf numFmtId="43" fontId="0" fillId="0" borderId="0" xfId="0" applyNumberFormat="1"/>
    <xf numFmtId="169" fontId="0" fillId="0" borderId="0" xfId="6" applyNumberFormat="1" applyFont="1" applyFill="1"/>
    <xf numFmtId="0" fontId="9" fillId="0" borderId="0" xfId="0" applyFont="1" applyFill="1"/>
    <xf numFmtId="0" fontId="9" fillId="0" borderId="0" xfId="0" applyFont="1" applyFill="1" applyBorder="1"/>
    <xf numFmtId="169" fontId="3" fillId="0" borderId="0" xfId="6" applyNumberFormat="1" applyFont="1"/>
    <xf numFmtId="44" fontId="0" fillId="0" borderId="0" xfId="6" applyFont="1" applyBorder="1"/>
    <xf numFmtId="44" fontId="0" fillId="0" borderId="0" xfId="6" applyFont="1" applyBorder="1" applyAlignment="1">
      <alignment horizontal="right"/>
    </xf>
    <xf numFmtId="173" fontId="0" fillId="0" borderId="0" xfId="0" applyNumberFormat="1"/>
    <xf numFmtId="166" fontId="9" fillId="2" borderId="0" xfId="3" applyNumberFormat="1" applyFont="1" applyFill="1"/>
    <xf numFmtId="169" fontId="0" fillId="2" borderId="0" xfId="6" applyNumberFormat="1" applyFont="1" applyFill="1"/>
    <xf numFmtId="0" fontId="10" fillId="0" borderId="1" xfId="0" applyFont="1" applyBorder="1" applyAlignment="1">
      <alignment horizontal="center"/>
    </xf>
    <xf numFmtId="169" fontId="3" fillId="0" borderId="0" xfId="6" applyNumberFormat="1" applyFont="1" applyFill="1"/>
    <xf numFmtId="169" fontId="3" fillId="0" borderId="0" xfId="6" applyNumberFormat="1" applyFont="1" applyFill="1" applyBorder="1"/>
    <xf numFmtId="0" fontId="3" fillId="0" borderId="0" xfId="0" applyFont="1" applyFill="1" applyBorder="1"/>
    <xf numFmtId="0" fontId="3" fillId="0" borderId="0" xfId="0" applyFont="1" applyFill="1"/>
    <xf numFmtId="169" fontId="3" fillId="0" borderId="0" xfId="6" applyNumberFormat="1" applyFont="1" applyFill="1" applyAlignment="1">
      <alignment horizontal="right"/>
    </xf>
    <xf numFmtId="169" fontId="2" fillId="3" borderId="0" xfId="6" applyNumberFormat="1" applyFont="1" applyFill="1" applyBorder="1"/>
    <xf numFmtId="166" fontId="2" fillId="3" borderId="0" xfId="0" applyNumberFormat="1" applyFont="1" applyFill="1"/>
    <xf numFmtId="166" fontId="0" fillId="2" borderId="0" xfId="0" applyNumberFormat="1" applyFill="1"/>
    <xf numFmtId="0" fontId="10" fillId="0" borderId="0" xfId="0" applyFont="1" applyAlignment="1">
      <alignment horizontal="center"/>
    </xf>
    <xf numFmtId="169" fontId="0" fillId="0" borderId="1" xfId="0" applyNumberFormat="1" applyBorder="1"/>
    <xf numFmtId="167" fontId="0" fillId="0" borderId="0" xfId="0" applyNumberFormat="1"/>
    <xf numFmtId="167" fontId="9" fillId="2" borderId="0" xfId="3" applyNumberFormat="1" applyFont="1" applyFill="1"/>
    <xf numFmtId="43" fontId="9" fillId="2" borderId="0" xfId="3" applyNumberFormat="1" applyFont="1" applyFill="1"/>
    <xf numFmtId="167" fontId="3" fillId="0" borderId="0" xfId="0" applyNumberFormat="1" applyFont="1" applyBorder="1"/>
    <xf numFmtId="166" fontId="0" fillId="0" borderId="0" xfId="3" applyNumberFormat="1" applyFont="1" applyFill="1"/>
    <xf numFmtId="175" fontId="0" fillId="0" borderId="0" xfId="6" applyNumberFormat="1" applyFont="1"/>
    <xf numFmtId="171" fontId="0" fillId="0" borderId="0" xfId="0" applyNumberFormat="1"/>
    <xf numFmtId="168" fontId="0" fillId="0" borderId="0" xfId="6" applyNumberFormat="1" applyFont="1"/>
    <xf numFmtId="174" fontId="0" fillId="0" borderId="0" xfId="0" applyNumberFormat="1"/>
    <xf numFmtId="9" fontId="9" fillId="2" borderId="0" xfId="3" applyNumberFormat="1" applyFont="1" applyFill="1" applyBorder="1"/>
    <xf numFmtId="2" fontId="3" fillId="0" borderId="0" xfId="0" applyNumberFormat="1" applyFont="1" applyBorder="1"/>
    <xf numFmtId="0" fontId="3" fillId="4" borderId="0" xfId="0" applyFont="1" applyFill="1" applyBorder="1"/>
    <xf numFmtId="0" fontId="0" fillId="0" borderId="0" xfId="0" applyFill="1"/>
    <xf numFmtId="169" fontId="0" fillId="0" borderId="0" xfId="0" applyNumberFormat="1" applyFill="1"/>
    <xf numFmtId="0" fontId="0" fillId="0" borderId="0" xfId="0" applyFill="1" applyBorder="1"/>
    <xf numFmtId="169" fontId="0" fillId="0" borderId="0" xfId="6" applyNumberFormat="1" applyFont="1" applyFill="1" applyBorder="1"/>
    <xf numFmtId="169" fontId="0" fillId="5" borderId="0" xfId="6" applyNumberFormat="1" applyFont="1" applyFill="1"/>
    <xf numFmtId="169" fontId="0" fillId="5" borderId="0" xfId="0" applyNumberFormat="1" applyFill="1"/>
    <xf numFmtId="166" fontId="0" fillId="6" borderId="0" xfId="3" applyNumberFormat="1" applyFont="1" applyFill="1"/>
    <xf numFmtId="44" fontId="0" fillId="0" borderId="0" xfId="6" applyFont="1" applyFill="1" applyBorder="1"/>
    <xf numFmtId="0" fontId="14" fillId="0" borderId="0" xfId="0" applyFont="1" applyBorder="1"/>
    <xf numFmtId="169" fontId="14" fillId="0" borderId="0" xfId="6" applyNumberFormat="1" applyFont="1" applyBorder="1"/>
    <xf numFmtId="169" fontId="0" fillId="0" borderId="0" xfId="0" applyNumberFormat="1" applyFill="1" applyBorder="1"/>
    <xf numFmtId="169" fontId="1" fillId="0" borderId="0" xfId="6" applyNumberFormat="1" applyFont="1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169" fontId="0" fillId="0" borderId="2" xfId="6" applyNumberFormat="1" applyFont="1" applyBorder="1"/>
    <xf numFmtId="166" fontId="0" fillId="0" borderId="0" xfId="0" applyNumberFormat="1" applyFill="1" applyBorder="1"/>
    <xf numFmtId="166" fontId="0" fillId="0" borderId="0" xfId="3" applyNumberFormat="1" applyFont="1" applyFill="1" applyBorder="1"/>
    <xf numFmtId="0" fontId="2" fillId="5" borderId="1" xfId="0" applyFont="1" applyFill="1" applyBorder="1"/>
    <xf numFmtId="0" fontId="9" fillId="0" borderId="1" xfId="0" applyFont="1" applyBorder="1"/>
    <xf numFmtId="169" fontId="0" fillId="5" borderId="0" xfId="6" applyNumberFormat="1" applyFont="1" applyFill="1" applyBorder="1"/>
    <xf numFmtId="166" fontId="9" fillId="0" borderId="0" xfId="3" applyNumberFormat="1" applyFont="1" applyFill="1" applyBorder="1"/>
    <xf numFmtId="0" fontId="9" fillId="0" borderId="0" xfId="0" applyFont="1" applyFill="1" applyBorder="1" applyAlignment="1">
      <alignment horizontal="centerContinuous"/>
    </xf>
    <xf numFmtId="0" fontId="9" fillId="0" borderId="0" xfId="0" applyFont="1" applyFill="1" applyBorder="1" applyAlignment="1">
      <alignment horizontal="center"/>
    </xf>
    <xf numFmtId="166" fontId="0" fillId="0" borderId="0" xfId="6" applyNumberFormat="1" applyFont="1" applyFill="1" applyBorder="1"/>
    <xf numFmtId="17" fontId="10" fillId="0" borderId="0" xfId="0" applyNumberFormat="1" applyFont="1" applyFill="1" applyBorder="1" applyAlignment="1">
      <alignment horizontal="centerContinuous"/>
    </xf>
    <xf numFmtId="43" fontId="11" fillId="0" borderId="0" xfId="3" applyFont="1" applyFill="1" applyBorder="1"/>
    <xf numFmtId="166" fontId="3" fillId="0" borderId="0" xfId="3" applyNumberFormat="1" applyFont="1" applyFill="1" applyBorder="1"/>
    <xf numFmtId="174" fontId="0" fillId="0" borderId="0" xfId="0" applyNumberFormat="1" applyFill="1" applyBorder="1"/>
    <xf numFmtId="175" fontId="0" fillId="0" borderId="0" xfId="6" applyNumberFormat="1" applyFont="1" applyFill="1" applyBorder="1"/>
    <xf numFmtId="43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9" fontId="0" fillId="6" borderId="0" xfId="6" applyNumberFormat="1" applyFont="1" applyFill="1" applyBorder="1"/>
    <xf numFmtId="44" fontId="0" fillId="6" borderId="0" xfId="6" applyFont="1" applyFill="1" applyBorder="1"/>
    <xf numFmtId="43" fontId="0" fillId="0" borderId="0" xfId="3" applyNumberFormat="1" applyFont="1" applyFill="1" applyBorder="1"/>
    <xf numFmtId="9" fontId="0" fillId="0" borderId="0" xfId="6" applyNumberFormat="1" applyFont="1" applyFill="1" applyBorder="1" applyAlignment="1">
      <alignment horizontal="right"/>
    </xf>
    <xf numFmtId="169" fontId="0" fillId="0" borderId="3" xfId="6" applyNumberFormat="1" applyFont="1" applyFill="1" applyBorder="1"/>
    <xf numFmtId="44" fontId="0" fillId="0" borderId="0" xfId="6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6" fillId="0" borderId="0" xfId="0" applyFont="1" applyFill="1" applyBorder="1"/>
    <xf numFmtId="176" fontId="0" fillId="0" borderId="0" xfId="0" applyNumberForma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right"/>
    </xf>
    <xf numFmtId="166" fontId="3" fillId="0" borderId="0" xfId="3" applyNumberFormat="1" applyFont="1" applyFill="1"/>
    <xf numFmtId="172" fontId="0" fillId="4" borderId="0" xfId="18" applyNumberFormat="1" applyFont="1" applyFill="1"/>
    <xf numFmtId="169" fontId="0" fillId="0" borderId="4" xfId="6" applyNumberFormat="1" applyFont="1" applyBorder="1"/>
    <xf numFmtId="169" fontId="0" fillId="0" borderId="5" xfId="6" applyNumberFormat="1" applyFont="1" applyBorder="1"/>
    <xf numFmtId="44" fontId="0" fillId="0" borderId="0" xfId="6" applyFont="1" applyFill="1"/>
    <xf numFmtId="169" fontId="0" fillId="7" borderId="2" xfId="6" applyNumberFormat="1" applyFont="1" applyFill="1" applyBorder="1"/>
    <xf numFmtId="169" fontId="0" fillId="7" borderId="1" xfId="6" applyNumberFormat="1" applyFont="1" applyFill="1" applyBorder="1" applyAlignment="1">
      <alignment horizontal="center"/>
    </xf>
    <xf numFmtId="169" fontId="3" fillId="0" borderId="0" xfId="6" applyNumberFormat="1" applyFont="1" applyProtection="1">
      <protection locked="0"/>
    </xf>
    <xf numFmtId="169" fontId="0" fillId="7" borderId="0" xfId="6" applyNumberFormat="1" applyFont="1" applyFill="1"/>
    <xf numFmtId="169" fontId="0" fillId="6" borderId="1" xfId="6" applyNumberFormat="1" applyFont="1" applyFill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 applyAlignment="1">
      <alignment horizontal="right"/>
    </xf>
    <xf numFmtId="166" fontId="0" fillId="5" borderId="0" xfId="0" applyNumberFormat="1" applyFill="1" applyBorder="1"/>
    <xf numFmtId="169" fontId="1" fillId="8" borderId="0" xfId="0" applyNumberFormat="1" applyFont="1" applyFill="1"/>
    <xf numFmtId="169" fontId="0" fillId="8" borderId="0" xfId="6" applyNumberFormat="1" applyFont="1" applyFill="1"/>
    <xf numFmtId="169" fontId="0" fillId="8" borderId="0" xfId="0" applyNumberFormat="1" applyFill="1"/>
    <xf numFmtId="166" fontId="1" fillId="0" borderId="0" xfId="3" applyNumberFormat="1" applyFont="1" applyFill="1"/>
    <xf numFmtId="169" fontId="0" fillId="0" borderId="1" xfId="6" applyNumberFormat="1" applyFont="1" applyFill="1" applyBorder="1" applyAlignment="1">
      <alignment horizontal="center"/>
    </xf>
    <xf numFmtId="169" fontId="0" fillId="9" borderId="0" xfId="6" applyNumberFormat="1" applyFont="1" applyFill="1" applyBorder="1"/>
    <xf numFmtId="169" fontId="3" fillId="6" borderId="0" xfId="6" applyNumberFormat="1" applyFont="1" applyFill="1" applyBorder="1"/>
    <xf numFmtId="166" fontId="3" fillId="6" borderId="0" xfId="3" applyNumberFormat="1" applyFont="1" applyFill="1" applyBorder="1"/>
    <xf numFmtId="169" fontId="0" fillId="6" borderId="0" xfId="6" applyNumberFormat="1" applyFont="1" applyFill="1"/>
    <xf numFmtId="3" fontId="0" fillId="0" borderId="0" xfId="0" applyNumberFormat="1" applyFill="1" applyBorder="1"/>
    <xf numFmtId="0" fontId="9" fillId="0" borderId="0" xfId="0" applyFont="1" applyBorder="1" applyAlignment="1">
      <alignment horizontal="center"/>
    </xf>
    <xf numFmtId="169" fontId="0" fillId="0" borderId="0" xfId="6" applyNumberFormat="1" applyFont="1" applyFill="1" applyBorder="1" applyAlignment="1">
      <alignment horizontal="center"/>
    </xf>
    <xf numFmtId="0" fontId="1" fillId="0" borderId="0" xfId="0" applyFont="1"/>
    <xf numFmtId="5" fontId="3" fillId="0" borderId="0" xfId="0" applyNumberFormat="1" applyFont="1" applyBorder="1"/>
    <xf numFmtId="0" fontId="19" fillId="0" borderId="0" xfId="0" applyFont="1"/>
    <xf numFmtId="0" fontId="6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6" xfId="0" applyFont="1" applyBorder="1"/>
    <xf numFmtId="5" fontId="3" fillId="0" borderId="0" xfId="0" applyNumberFormat="1" applyFont="1" applyFill="1" applyBorder="1"/>
    <xf numFmtId="3" fontId="3" fillId="0" borderId="0" xfId="6" applyNumberFormat="1" applyFont="1" applyFill="1" applyBorder="1" applyAlignment="1"/>
    <xf numFmtId="169" fontId="3" fillId="4" borderId="0" xfId="6" applyNumberFormat="1" applyFont="1" applyFill="1" applyBorder="1" applyAlignment="1"/>
    <xf numFmtId="3" fontId="3" fillId="0" borderId="0" xfId="0" applyNumberFormat="1" applyFont="1" applyFill="1" applyBorder="1" applyAlignment="1"/>
    <xf numFmtId="166" fontId="3" fillId="0" borderId="0" xfId="3" applyNumberFormat="1" applyFont="1" applyBorder="1" applyAlignment="1"/>
    <xf numFmtId="0" fontId="3" fillId="0" borderId="0" xfId="0" applyFont="1" applyBorder="1" applyAlignment="1"/>
    <xf numFmtId="0" fontId="9" fillId="11" borderId="0" xfId="0" applyFont="1" applyFill="1" applyBorder="1"/>
    <xf numFmtId="0" fontId="3" fillId="11" borderId="0" xfId="0" applyFont="1" applyFill="1" applyBorder="1"/>
    <xf numFmtId="5" fontId="2" fillId="0" borderId="7" xfId="6" applyNumberFormat="1" applyFont="1" applyFill="1" applyBorder="1"/>
    <xf numFmtId="5" fontId="3" fillId="0" borderId="0" xfId="6" applyNumberFormat="1" applyFont="1" applyFill="1" applyBorder="1"/>
    <xf numFmtId="0" fontId="20" fillId="0" borderId="0" xfId="0" applyFont="1"/>
    <xf numFmtId="5" fontId="3" fillId="0" borderId="0" xfId="6" applyNumberFormat="1" applyFont="1" applyBorder="1"/>
    <xf numFmtId="5" fontId="3" fillId="0" borderId="0" xfId="3" applyNumberFormat="1" applyFont="1" applyFill="1" applyBorder="1"/>
    <xf numFmtId="5" fontId="3" fillId="4" borderId="0" xfId="0" applyNumberFormat="1" applyFont="1" applyFill="1" applyBorder="1" applyAlignment="1"/>
    <xf numFmtId="0" fontId="3" fillId="12" borderId="0" xfId="0" applyFont="1" applyFill="1" applyBorder="1"/>
    <xf numFmtId="5" fontId="3" fillId="12" borderId="0" xfId="1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/>
    <xf numFmtId="5" fontId="2" fillId="0" borderId="7" xfId="0" applyNumberFormat="1" applyFont="1" applyBorder="1"/>
    <xf numFmtId="3" fontId="9" fillId="12" borderId="0" xfId="3" applyNumberFormat="1" applyFont="1" applyFill="1" applyBorder="1"/>
    <xf numFmtId="9" fontId="3" fillId="12" borderId="0" xfId="3" applyNumberFormat="1" applyFont="1" applyFill="1" applyBorder="1"/>
    <xf numFmtId="0" fontId="3" fillId="0" borderId="0" xfId="0" applyFont="1" applyBorder="1" applyAlignment="1">
      <alignment horizontal="center" vertical="center"/>
    </xf>
    <xf numFmtId="5" fontId="40" fillId="11" borderId="0" xfId="0" applyNumberFormat="1" applyFont="1" applyFill="1" applyBorder="1" applyAlignment="1">
      <alignment vertical="center"/>
    </xf>
    <xf numFmtId="5" fontId="2" fillId="0" borderId="7" xfId="6" applyNumberFormat="1" applyFont="1" applyFill="1" applyBorder="1" applyAlignment="1">
      <alignment vertical="center"/>
    </xf>
    <xf numFmtId="5" fontId="2" fillId="0" borderId="7" xfId="3" applyNumberFormat="1" applyFont="1" applyFill="1" applyBorder="1" applyAlignment="1">
      <alignment vertical="center"/>
    </xf>
    <xf numFmtId="5" fontId="2" fillId="0" borderId="6" xfId="6" applyNumberFormat="1" applyFont="1" applyFill="1" applyBorder="1" applyAlignment="1">
      <alignment vertical="center"/>
    </xf>
    <xf numFmtId="5" fontId="3" fillId="0" borderId="0" xfId="3" applyNumberFormat="1" applyFont="1" applyFill="1"/>
    <xf numFmtId="5" fontId="3" fillId="0" borderId="0" xfId="3" applyNumberFormat="1" applyFont="1" applyFill="1" applyProtection="1">
      <protection locked="0"/>
    </xf>
    <xf numFmtId="5" fontId="1" fillId="0" borderId="0" xfId="3" applyNumberFormat="1" applyFill="1"/>
    <xf numFmtId="5" fontId="3" fillId="0" borderId="0" xfId="3" applyNumberFormat="1" applyFont="1" applyFill="1" applyBorder="1" applyProtection="1">
      <protection locked="0"/>
    </xf>
    <xf numFmtId="5" fontId="2" fillId="0" borderId="0" xfId="3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5" fontId="3" fillId="0" borderId="1" xfId="6" applyNumberFormat="1" applyFont="1" applyFill="1" applyBorder="1"/>
    <xf numFmtId="5" fontId="2" fillId="0" borderId="0" xfId="6" applyNumberFormat="1" applyFont="1" applyFill="1"/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/>
    <xf numFmtId="5" fontId="2" fillId="0" borderId="8" xfId="6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7" xfId="0" applyFont="1" applyFill="1" applyBorder="1"/>
    <xf numFmtId="5" fontId="3" fillId="0" borderId="7" xfId="6" applyNumberFormat="1" applyFont="1" applyFill="1" applyBorder="1"/>
    <xf numFmtId="5" fontId="3" fillId="0" borderId="0" xfId="3" applyNumberFormat="1" applyFont="1" applyBorder="1"/>
    <xf numFmtId="5" fontId="2" fillId="0" borderId="7" xfId="3" applyNumberFormat="1" applyFont="1" applyBorder="1"/>
    <xf numFmtId="5" fontId="3" fillId="0" borderId="1" xfId="3" applyNumberFormat="1" applyFont="1" applyFill="1" applyBorder="1"/>
    <xf numFmtId="5" fontId="3" fillId="0" borderId="0" xfId="6" applyNumberFormat="1" applyFont="1" applyFill="1"/>
    <xf numFmtId="5" fontId="3" fillId="0" borderId="0" xfId="0" applyNumberFormat="1" applyFont="1" applyFill="1" applyAlignment="1" applyProtection="1">
      <alignment horizontal="center"/>
      <protection locked="0"/>
    </xf>
    <xf numFmtId="5" fontId="2" fillId="0" borderId="7" xfId="0" applyNumberFormat="1" applyFont="1" applyFill="1" applyBorder="1" applyAlignment="1">
      <alignment vertical="center"/>
    </xf>
    <xf numFmtId="5" fontId="2" fillId="0" borderId="0" xfId="0" applyNumberFormat="1" applyFont="1" applyFill="1"/>
    <xf numFmtId="5" fontId="3" fillId="0" borderId="0" xfId="0" applyNumberFormat="1" applyFont="1" applyFill="1"/>
    <xf numFmtId="5" fontId="16" fillId="0" borderId="0" xfId="6" applyNumberFormat="1" applyFont="1" applyFill="1" applyBorder="1"/>
    <xf numFmtId="5" fontId="2" fillId="0" borderId="6" xfId="3" applyNumberFormat="1" applyFont="1" applyFill="1" applyBorder="1" applyAlignment="1">
      <alignment vertical="center"/>
    </xf>
    <xf numFmtId="0" fontId="39" fillId="0" borderId="0" xfId="0" applyFont="1" applyFill="1"/>
    <xf numFmtId="5" fontId="2" fillId="0" borderId="0" xfId="6" applyNumberFormat="1" applyFont="1" applyFill="1" applyBorder="1" applyAlignment="1">
      <alignment vertical="center"/>
    </xf>
    <xf numFmtId="14" fontId="0" fillId="0" borderId="0" xfId="0" applyNumberFormat="1"/>
    <xf numFmtId="0" fontId="2" fillId="0" borderId="7" xfId="0" applyFont="1" applyFill="1" applyBorder="1" applyAlignment="1">
      <alignment horizontal="center"/>
    </xf>
    <xf numFmtId="164" fontId="10" fillId="0" borderId="7" xfId="6" applyNumberFormat="1" applyFont="1" applyBorder="1"/>
    <xf numFmtId="0" fontId="3" fillId="0" borderId="0" xfId="0" applyFont="1" applyFill="1" applyBorder="1" applyAlignment="1">
      <alignment horizontal="left" indent="1"/>
    </xf>
    <xf numFmtId="0" fontId="3" fillId="11" borderId="0" xfId="0" applyFont="1" applyFill="1" applyBorder="1" applyAlignment="1">
      <alignment horizontal="left" indent="1"/>
    </xf>
    <xf numFmtId="5" fontId="1" fillId="0" borderId="0" xfId="6" applyNumberFormat="1" applyFill="1" applyBorder="1"/>
    <xf numFmtId="177" fontId="38" fillId="0" borderId="1" xfId="0" applyNumberFormat="1" applyFont="1" applyBorder="1" applyAlignment="1">
      <alignment horizontal="center"/>
    </xf>
    <xf numFmtId="5" fontId="35" fillId="11" borderId="0" xfId="6" applyNumberFormat="1" applyFont="1" applyFill="1" applyBorder="1"/>
    <xf numFmtId="5" fontId="35" fillId="11" borderId="0" xfId="3" applyNumberFormat="1" applyFont="1" applyFill="1" applyBorder="1"/>
    <xf numFmtId="5" fontId="35" fillId="11" borderId="0" xfId="0" applyNumberFormat="1" applyFont="1" applyFill="1" applyBorder="1"/>
    <xf numFmtId="10" fontId="35" fillId="11" borderId="0" xfId="18" applyNumberFormat="1" applyFont="1" applyFill="1" applyBorder="1"/>
    <xf numFmtId="5" fontId="35" fillId="11" borderId="0" xfId="0" applyNumberFormat="1" applyFont="1" applyFill="1" applyBorder="1" applyAlignment="1">
      <alignment vertical="center"/>
    </xf>
    <xf numFmtId="0" fontId="5" fillId="0" borderId="0" xfId="0" applyFont="1"/>
    <xf numFmtId="0" fontId="3" fillId="0" borderId="0" xfId="14" applyFont="1"/>
    <xf numFmtId="0" fontId="5" fillId="0" borderId="0" xfId="14" applyFont="1"/>
    <xf numFmtId="0" fontId="3" fillId="0" borderId="0" xfId="14"/>
    <xf numFmtId="0" fontId="2" fillId="0" borderId="0" xfId="14" applyFont="1"/>
    <xf numFmtId="5" fontId="2" fillId="0" borderId="0" xfId="0" applyNumberFormat="1" applyFont="1" applyFill="1" applyBorder="1"/>
    <xf numFmtId="5" fontId="39" fillId="0" borderId="0" xfId="0" applyNumberFormat="1" applyFont="1" applyFill="1" applyBorder="1"/>
    <xf numFmtId="5" fontId="0" fillId="0" borderId="0" xfId="0" applyNumberFormat="1" applyFill="1" applyBorder="1"/>
    <xf numFmtId="166" fontId="22" fillId="0" borderId="0" xfId="0" applyNumberFormat="1" applyFont="1" applyFill="1" applyAlignment="1">
      <alignment vertical="center"/>
    </xf>
    <xf numFmtId="166" fontId="44" fillId="0" borderId="7" xfId="3" applyNumberFormat="1" applyFont="1" applyFill="1" applyBorder="1" applyAlignment="1">
      <alignment vertical="center"/>
    </xf>
    <xf numFmtId="10" fontId="0" fillId="0" borderId="0" xfId="18" applyNumberFormat="1" applyFont="1"/>
    <xf numFmtId="17" fontId="2" fillId="0" borderId="0" xfId="0" applyNumberFormat="1" applyFont="1"/>
    <xf numFmtId="0" fontId="0" fillId="0" borderId="9" xfId="0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8" xfId="0" applyFont="1" applyBorder="1"/>
    <xf numFmtId="5" fontId="2" fillId="0" borderId="8" xfId="0" applyNumberFormat="1" applyFont="1" applyBorder="1"/>
    <xf numFmtId="5" fontId="40" fillId="0" borderId="0" xfId="6" applyNumberFormat="1" applyFont="1" applyFill="1" applyBorder="1"/>
    <xf numFmtId="5" fontId="1" fillId="0" borderId="1" xfId="6" applyNumberFormat="1" applyFill="1" applyBorder="1"/>
    <xf numFmtId="0" fontId="0" fillId="13" borderId="0" xfId="0" applyFill="1"/>
    <xf numFmtId="0" fontId="2" fillId="0" borderId="0" xfId="0" applyFont="1" applyBorder="1" applyAlignment="1"/>
    <xf numFmtId="0" fontId="5" fillId="0" borderId="0" xfId="0" applyFont="1" applyBorder="1" applyAlignment="1"/>
    <xf numFmtId="0" fontId="18" fillId="0" borderId="0" xfId="0" applyFont="1" applyFill="1"/>
    <xf numFmtId="0" fontId="0" fillId="0" borderId="0" xfId="0" applyFill="1" applyAlignment="1">
      <alignment horizontal="right"/>
    </xf>
    <xf numFmtId="0" fontId="7" fillId="0" borderId="0" xfId="0" applyFont="1" applyFill="1"/>
    <xf numFmtId="0" fontId="19" fillId="0" borderId="0" xfId="0" applyFont="1" applyFill="1"/>
    <xf numFmtId="0" fontId="2" fillId="0" borderId="7" xfId="0" applyFont="1" applyFill="1" applyBorder="1" applyAlignment="1">
      <alignment vertical="center"/>
    </xf>
    <xf numFmtId="0" fontId="8" fillId="0" borderId="0" xfId="0" applyFont="1" applyFill="1"/>
    <xf numFmtId="0" fontId="0" fillId="0" borderId="1" xfId="0" applyFill="1" applyBorder="1"/>
    <xf numFmtId="0" fontId="7" fillId="0" borderId="7" xfId="0" applyFont="1" applyFill="1" applyBorder="1" applyAlignment="1">
      <alignment vertical="center"/>
    </xf>
    <xf numFmtId="0" fontId="16" fillId="0" borderId="0" xfId="0" applyFont="1" applyFill="1"/>
    <xf numFmtId="0" fontId="19" fillId="0" borderId="0" xfId="0" applyFont="1" applyFill="1" applyAlignment="1">
      <alignment horizontal="left"/>
    </xf>
    <xf numFmtId="0" fontId="16" fillId="0" borderId="1" xfId="0" applyFont="1" applyFill="1" applyBorder="1"/>
    <xf numFmtId="0" fontId="2" fillId="0" borderId="7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6" fillId="0" borderId="0" xfId="0" applyFont="1" applyFill="1" applyAlignment="1">
      <alignment horizontal="right"/>
    </xf>
    <xf numFmtId="0" fontId="2" fillId="0" borderId="6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0" fillId="0" borderId="7" xfId="6" applyNumberFormat="1" applyFont="1" applyFill="1" applyBorder="1"/>
    <xf numFmtId="9" fontId="9" fillId="0" borderId="0" xfId="3" applyNumberFormat="1" applyFont="1" applyFill="1" applyBorder="1"/>
    <xf numFmtId="169" fontId="3" fillId="0" borderId="0" xfId="6" applyNumberFormat="1" applyFont="1" applyFill="1" applyBorder="1" applyAlignment="1"/>
    <xf numFmtId="5" fontId="3" fillId="0" borderId="0" xfId="0" applyNumberFormat="1" applyFont="1" applyFill="1" applyBorder="1" applyAlignment="1"/>
    <xf numFmtId="166" fontId="3" fillId="0" borderId="0" xfId="3" applyNumberFormat="1" applyFont="1" applyFill="1" applyBorder="1" applyAlignment="1"/>
    <xf numFmtId="0" fontId="3" fillId="0" borderId="0" xfId="0" applyFont="1" applyFill="1" applyBorder="1" applyAlignment="1"/>
    <xf numFmtId="0" fontId="3" fillId="0" borderId="6" xfId="0" applyFont="1" applyFill="1" applyBorder="1"/>
    <xf numFmtId="0" fontId="3" fillId="13" borderId="0" xfId="0" applyFont="1" applyFill="1"/>
    <xf numFmtId="0" fontId="16" fillId="0" borderId="0" xfId="0" applyFont="1" applyFill="1" applyBorder="1"/>
    <xf numFmtId="0" fontId="2" fillId="0" borderId="1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Fill="1" applyAlignment="1">
      <alignment horizontal="left"/>
    </xf>
    <xf numFmtId="43" fontId="0" fillId="0" borderId="0" xfId="3" applyFont="1"/>
    <xf numFmtId="43" fontId="2" fillId="0" borderId="0" xfId="3" applyFont="1" applyBorder="1" applyAlignment="1">
      <alignment horizontal="center"/>
    </xf>
    <xf numFmtId="43" fontId="3" fillId="0" borderId="1" xfId="3" applyFont="1" applyFill="1" applyBorder="1"/>
    <xf numFmtId="43" fontId="32" fillId="15" borderId="0" xfId="3" applyFont="1" applyFill="1"/>
    <xf numFmtId="43" fontId="32" fillId="14" borderId="0" xfId="3" applyFont="1" applyFill="1"/>
    <xf numFmtId="43" fontId="32" fillId="13" borderId="0" xfId="3" applyFont="1" applyFill="1"/>
    <xf numFmtId="43" fontId="0" fillId="0" borderId="0" xfId="3" applyFont="1" applyFill="1"/>
    <xf numFmtId="43" fontId="32" fillId="16" borderId="0" xfId="3" applyFont="1" applyFill="1"/>
    <xf numFmtId="43" fontId="32" fillId="13" borderId="0" xfId="3" applyFont="1" applyFill="1"/>
    <xf numFmtId="0" fontId="3" fillId="0" borderId="0" xfId="0" applyFont="1" applyAlignment="1">
      <alignment vertical="center" wrapText="1"/>
    </xf>
    <xf numFmtId="166" fontId="32" fillId="13" borderId="0" xfId="3" applyNumberFormat="1" applyFont="1" applyFill="1"/>
    <xf numFmtId="165" fontId="0" fillId="13" borderId="0" xfId="0" applyNumberFormat="1" applyFill="1"/>
    <xf numFmtId="43" fontId="32" fillId="0" borderId="0" xfId="3" applyFont="1" applyFill="1"/>
    <xf numFmtId="10" fontId="3" fillId="13" borderId="0" xfId="19" applyNumberFormat="1" applyFont="1" applyFill="1" applyBorder="1"/>
    <xf numFmtId="5" fontId="1" fillId="0" borderId="5" xfId="6" applyNumberFormat="1" applyFill="1" applyBorder="1"/>
    <xf numFmtId="43" fontId="33" fillId="0" borderId="0" xfId="3" applyFont="1" applyFill="1"/>
    <xf numFmtId="43" fontId="34" fillId="19" borderId="0" xfId="3" applyFont="1" applyFill="1"/>
    <xf numFmtId="43" fontId="3" fillId="13" borderId="0" xfId="4" applyFont="1" applyFill="1" applyBorder="1"/>
    <xf numFmtId="43" fontId="3" fillId="13" borderId="0" xfId="4" applyFont="1" applyFill="1" applyBorder="1" applyAlignment="1">
      <alignment horizontal="center"/>
    </xf>
    <xf numFmtId="166" fontId="3" fillId="13" borderId="0" xfId="4" applyNumberFormat="1" applyFont="1" applyFill="1"/>
    <xf numFmtId="43" fontId="3" fillId="13" borderId="0" xfId="4" applyFont="1" applyFill="1"/>
    <xf numFmtId="0" fontId="1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/>
    </xf>
    <xf numFmtId="43" fontId="3" fillId="20" borderId="0" xfId="4" applyFont="1" applyFill="1" applyBorder="1" applyAlignment="1">
      <alignment horizontal="center"/>
    </xf>
    <xf numFmtId="0" fontId="0" fillId="20" borderId="0" xfId="0" applyFill="1"/>
    <xf numFmtId="10" fontId="0" fillId="20" borderId="0" xfId="18" applyNumberFormat="1" applyFont="1" applyFill="1"/>
    <xf numFmtId="166" fontId="3" fillId="20" borderId="0" xfId="4" applyNumberFormat="1" applyFont="1" applyFill="1"/>
    <xf numFmtId="43" fontId="3" fillId="20" borderId="0" xfId="4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5" fontId="2" fillId="0" borderId="8" xfId="6" applyNumberFormat="1" applyFont="1" applyFill="1" applyBorder="1" applyAlignment="1">
      <alignment horizontal="right" vertical="center"/>
    </xf>
    <xf numFmtId="17" fontId="2" fillId="0" borderId="1" xfId="0" applyNumberFormat="1" applyFont="1" applyFill="1" applyBorder="1" applyAlignment="1">
      <alignment horizontal="center"/>
    </xf>
    <xf numFmtId="0" fontId="2" fillId="0" borderId="7" xfId="0" applyFont="1" applyFill="1" applyBorder="1"/>
    <xf numFmtId="5" fontId="2" fillId="0" borderId="7" xfId="3" applyNumberFormat="1" applyFont="1" applyFill="1" applyBorder="1"/>
    <xf numFmtId="177" fontId="2" fillId="0" borderId="1" xfId="0" applyNumberFormat="1" applyFont="1" applyFill="1" applyBorder="1" applyAlignment="1">
      <alignment horizontal="center"/>
    </xf>
    <xf numFmtId="5" fontId="40" fillId="0" borderId="0" xfId="3" applyNumberFormat="1" applyFont="1" applyFill="1" applyBorder="1"/>
    <xf numFmtId="5" fontId="40" fillId="0" borderId="0" xfId="0" applyNumberFormat="1" applyFont="1" applyFill="1" applyBorder="1"/>
    <xf numFmtId="5" fontId="2" fillId="0" borderId="7" xfId="0" applyNumberFormat="1" applyFont="1" applyFill="1" applyBorder="1"/>
    <xf numFmtId="10" fontId="3" fillId="0" borderId="0" xfId="18" applyNumberFormat="1" applyFont="1" applyFill="1" applyBorder="1"/>
    <xf numFmtId="5" fontId="3" fillId="0" borderId="0" xfId="1" applyNumberFormat="1" applyFont="1" applyFill="1" applyBorder="1"/>
    <xf numFmtId="5" fontId="3" fillId="0" borderId="0" xfId="0" applyNumberFormat="1" applyFont="1" applyFill="1" applyBorder="1" applyAlignment="1">
      <alignment vertical="center"/>
    </xf>
    <xf numFmtId="5" fontId="40" fillId="0" borderId="8" xfId="6" applyNumberFormat="1" applyFont="1" applyFill="1" applyBorder="1" applyAlignment="1">
      <alignment vertical="center"/>
    </xf>
    <xf numFmtId="3" fontId="9" fillId="0" borderId="0" xfId="3" applyNumberFormat="1" applyFont="1" applyFill="1" applyBorder="1"/>
    <xf numFmtId="9" fontId="3" fillId="0" borderId="0" xfId="3" applyNumberFormat="1" applyFont="1" applyFill="1" applyBorder="1"/>
    <xf numFmtId="164" fontId="3" fillId="0" borderId="0" xfId="0" applyNumberFormat="1" applyFont="1" applyFill="1" applyBorder="1"/>
    <xf numFmtId="2" fontId="3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43" fontId="3" fillId="0" borderId="0" xfId="3" applyFont="1" applyFill="1" applyBorder="1"/>
    <xf numFmtId="44" fontId="0" fillId="0" borderId="0" xfId="0" applyNumberFormat="1" applyFill="1"/>
    <xf numFmtId="7" fontId="3" fillId="0" borderId="0" xfId="0" applyNumberFormat="1" applyFont="1" applyFill="1" applyBorder="1"/>
    <xf numFmtId="0" fontId="22" fillId="0" borderId="0" xfId="0" applyFont="1" applyFill="1"/>
    <xf numFmtId="0" fontId="25" fillId="0" borderId="7" xfId="0" applyFont="1" applyFill="1" applyBorder="1" applyAlignment="1">
      <alignment vertical="center"/>
    </xf>
    <xf numFmtId="17" fontId="25" fillId="0" borderId="7" xfId="0" applyNumberFormat="1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2" fillId="0" borderId="0" xfId="0" quotePrefix="1" applyFont="1" applyFill="1" applyAlignment="1">
      <alignment horizontal="left" vertical="center"/>
    </xf>
    <xf numFmtId="166" fontId="26" fillId="0" borderId="0" xfId="3" applyNumberFormat="1" applyFont="1" applyFill="1" applyAlignment="1">
      <alignment vertical="center"/>
    </xf>
    <xf numFmtId="166" fontId="22" fillId="0" borderId="0" xfId="0" applyNumberFormat="1" applyFont="1" applyFill="1"/>
    <xf numFmtId="0" fontId="22" fillId="0" borderId="0" xfId="0" applyFont="1" applyFill="1" applyAlignment="1">
      <alignment vertical="center"/>
    </xf>
    <xf numFmtId="166" fontId="22" fillId="0" borderId="0" xfId="3" applyNumberFormat="1" applyFont="1" applyFill="1" applyAlignment="1">
      <alignment vertical="center"/>
    </xf>
    <xf numFmtId="0" fontId="22" fillId="0" borderId="0" xfId="0" applyFont="1" applyFill="1" applyAlignment="1">
      <alignment horizontal="center"/>
    </xf>
    <xf numFmtId="0" fontId="5" fillId="0" borderId="7" xfId="0" applyFont="1" applyFill="1" applyBorder="1" applyAlignment="1">
      <alignment horizontal="left" vertical="center"/>
    </xf>
    <xf numFmtId="166" fontId="5" fillId="0" borderId="7" xfId="3" applyNumberFormat="1" applyFont="1" applyFill="1" applyBorder="1" applyAlignment="1">
      <alignment vertical="center"/>
    </xf>
    <xf numFmtId="166" fontId="5" fillId="0" borderId="7" xfId="0" applyNumberFormat="1" applyFont="1" applyFill="1" applyBorder="1" applyAlignment="1">
      <alignment vertical="center"/>
    </xf>
    <xf numFmtId="166" fontId="22" fillId="0" borderId="0" xfId="3" applyNumberFormat="1" applyFont="1" applyFill="1"/>
    <xf numFmtId="0" fontId="5" fillId="0" borderId="0" xfId="0" quotePrefix="1" applyFont="1" applyFill="1" applyAlignment="1">
      <alignment horizontal="left" vertical="center"/>
    </xf>
    <xf numFmtId="166" fontId="43" fillId="0" borderId="0" xfId="3" applyNumberFormat="1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5" fillId="0" borderId="7" xfId="0" applyFont="1" applyFill="1" applyBorder="1" applyAlignment="1">
      <alignment vertical="center"/>
    </xf>
    <xf numFmtId="166" fontId="44" fillId="0" borderId="7" xfId="0" applyNumberFormat="1" applyFont="1" applyFill="1" applyBorder="1" applyAlignment="1">
      <alignment vertical="center"/>
    </xf>
    <xf numFmtId="165" fontId="45" fillId="0" borderId="0" xfId="0" applyNumberFormat="1" applyFont="1" applyFill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5" fontId="5" fillId="0" borderId="6" xfId="0" applyNumberFormat="1" applyFont="1" applyFill="1" applyBorder="1" applyAlignment="1">
      <alignment vertical="center"/>
    </xf>
    <xf numFmtId="0" fontId="22" fillId="0" borderId="0" xfId="0" quotePrefix="1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5" fillId="0" borderId="7" xfId="0" applyFont="1" applyFill="1" applyBorder="1" applyAlignment="1">
      <alignment horizontal="left" vertical="center" wrapText="1"/>
    </xf>
    <xf numFmtId="17" fontId="25" fillId="0" borderId="7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5" fontId="5" fillId="0" borderId="0" xfId="0" applyNumberFormat="1" applyFont="1" applyFill="1" applyBorder="1" applyAlignment="1">
      <alignment vertical="center"/>
    </xf>
    <xf numFmtId="0" fontId="46" fillId="0" borderId="0" xfId="0" applyFont="1" applyFill="1" applyBorder="1"/>
    <xf numFmtId="0" fontId="47" fillId="0" borderId="0" xfId="0" applyFont="1" applyFill="1" applyBorder="1" applyAlignment="1">
      <alignment horizontal="center"/>
    </xf>
    <xf numFmtId="0" fontId="5" fillId="0" borderId="0" xfId="0" applyFont="1" applyFill="1" applyBorder="1"/>
    <xf numFmtId="43" fontId="22" fillId="0" borderId="0" xfId="3" applyNumberFormat="1" applyFont="1" applyFill="1" applyBorder="1"/>
    <xf numFmtId="0" fontId="48" fillId="0" borderId="0" xfId="0" applyFont="1" applyFill="1" applyBorder="1" applyAlignment="1">
      <alignment horizontal="center"/>
    </xf>
    <xf numFmtId="0" fontId="27" fillId="0" borderId="0" xfId="0" applyFont="1" applyFill="1"/>
    <xf numFmtId="166" fontId="1" fillId="0" borderId="0" xfId="3" applyNumberForma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" fontId="2" fillId="0" borderId="0" xfId="0" applyNumberFormat="1" applyFont="1" applyFill="1" applyBorder="1"/>
    <xf numFmtId="5" fontId="0" fillId="0" borderId="0" xfId="3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5" fontId="40" fillId="0" borderId="0" xfId="3" applyNumberFormat="1" applyFont="1" applyFill="1"/>
    <xf numFmtId="5" fontId="40" fillId="0" borderId="0" xfId="3" applyNumberFormat="1" applyFont="1" applyFill="1" applyProtection="1">
      <protection locked="0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7" xfId="0" applyFont="1" applyFill="1" applyBorder="1" applyAlignment="1">
      <alignment horizontal="center" vertical="center"/>
    </xf>
    <xf numFmtId="5" fontId="2" fillId="0" borderId="7" xfId="3" applyNumberFormat="1" applyFont="1" applyFill="1" applyBorder="1" applyAlignment="1">
      <alignment horizontal="right" vertical="center"/>
    </xf>
    <xf numFmtId="5" fontId="2" fillId="0" borderId="6" xfId="3" applyNumberFormat="1" applyFont="1" applyFill="1" applyBorder="1" applyAlignment="1">
      <alignment horizontal="right"/>
    </xf>
    <xf numFmtId="5" fontId="0" fillId="0" borderId="0" xfId="0" applyNumberFormat="1" applyFill="1"/>
    <xf numFmtId="166" fontId="1" fillId="0" borderId="0" xfId="3" applyNumberFormat="1" applyFill="1"/>
    <xf numFmtId="5" fontId="0" fillId="0" borderId="1" xfId="0" applyNumberFormat="1" applyFill="1" applyBorder="1"/>
    <xf numFmtId="43" fontId="40" fillId="0" borderId="1" xfId="3" applyNumberFormat="1" applyFont="1" applyFill="1" applyBorder="1"/>
    <xf numFmtId="0" fontId="2" fillId="0" borderId="0" xfId="0" applyFont="1" applyFill="1" applyAlignment="1">
      <alignment horizontal="center"/>
    </xf>
    <xf numFmtId="5" fontId="1" fillId="0" borderId="0" xfId="3" applyNumberFormat="1" applyFill="1" applyBorder="1"/>
    <xf numFmtId="0" fontId="3" fillId="0" borderId="0" xfId="0" applyFont="1" applyFill="1" applyAlignment="1">
      <alignment vertical="top"/>
    </xf>
    <xf numFmtId="5" fontId="2" fillId="0" borderId="0" xfId="3" applyNumberFormat="1" applyFont="1" applyFill="1" applyBorder="1" applyAlignment="1">
      <alignment horizontal="right"/>
    </xf>
    <xf numFmtId="166" fontId="1" fillId="0" borderId="0" xfId="3" applyNumberFormat="1" applyFill="1" applyBorder="1"/>
    <xf numFmtId="170" fontId="1" fillId="0" borderId="0" xfId="3" applyNumberFormat="1" applyFill="1" applyBorder="1"/>
    <xf numFmtId="5" fontId="0" fillId="0" borderId="1" xfId="3" applyNumberFormat="1" applyFont="1" applyFill="1" applyBorder="1"/>
    <xf numFmtId="170" fontId="2" fillId="0" borderId="0" xfId="3" applyNumberFormat="1" applyFont="1" applyFill="1" applyBorder="1"/>
    <xf numFmtId="170" fontId="3" fillId="0" borderId="0" xfId="3" applyNumberFormat="1" applyFont="1" applyFill="1" applyBorder="1"/>
    <xf numFmtId="5" fontId="3" fillId="0" borderId="1" xfId="0" applyNumberFormat="1" applyFont="1" applyFill="1" applyBorder="1"/>
    <xf numFmtId="170" fontId="2" fillId="0" borderId="0" xfId="3" applyNumberFormat="1" applyFont="1" applyFill="1" applyBorder="1" applyAlignment="1">
      <alignment horizontal="right"/>
    </xf>
    <xf numFmtId="166" fontId="40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1" fillId="0" borderId="0" xfId="6" applyNumberFormat="1" applyFill="1"/>
    <xf numFmtId="165" fontId="1" fillId="0" borderId="0" xfId="6" applyNumberFormat="1" applyFill="1" applyBorder="1"/>
    <xf numFmtId="165" fontId="1" fillId="0" borderId="0" xfId="6" applyNumberFormat="1" applyFill="1"/>
    <xf numFmtId="164" fontId="1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2" fillId="0" borderId="0" xfId="3" applyNumberFormat="1" applyFont="1" applyFill="1" applyBorder="1"/>
    <xf numFmtId="164" fontId="2" fillId="0" borderId="7" xfId="0" applyNumberFormat="1" applyFont="1" applyFill="1" applyBorder="1"/>
    <xf numFmtId="164" fontId="0" fillId="0" borderId="0" xfId="0" applyNumberFormat="1" applyFill="1" applyBorder="1"/>
    <xf numFmtId="5" fontId="7" fillId="0" borderId="7" xfId="0" applyNumberFormat="1" applyFont="1" applyFill="1" applyBorder="1" applyAlignment="1">
      <alignment vertical="center"/>
    </xf>
    <xf numFmtId="164" fontId="7" fillId="0" borderId="0" xfId="3" applyNumberFormat="1" applyFont="1" applyFill="1" applyBorder="1" applyAlignment="1">
      <alignment horizontal="right"/>
    </xf>
    <xf numFmtId="164" fontId="7" fillId="0" borderId="7" xfId="3" applyNumberFormat="1" applyFont="1" applyFill="1" applyBorder="1" applyAlignment="1">
      <alignment horizontal="right"/>
    </xf>
    <xf numFmtId="179" fontId="41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6" fillId="0" borderId="0" xfId="3" applyNumberFormat="1" applyFont="1" applyFill="1"/>
    <xf numFmtId="164" fontId="31" fillId="0" borderId="0" xfId="3" applyNumberFormat="1" applyFont="1" applyFill="1" applyBorder="1"/>
    <xf numFmtId="0" fontId="0" fillId="0" borderId="7" xfId="0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vertical="center"/>
    </xf>
    <xf numFmtId="5" fontId="40" fillId="0" borderId="0" xfId="6" applyNumberFormat="1" applyFont="1" applyFill="1"/>
    <xf numFmtId="1" fontId="0" fillId="0" borderId="0" xfId="0" applyNumberFormat="1" applyFill="1"/>
    <xf numFmtId="0" fontId="2" fillId="0" borderId="6" xfId="0" applyFont="1" applyFill="1" applyBorder="1" applyAlignment="1">
      <alignment horizontal="center" vertical="center"/>
    </xf>
    <xf numFmtId="5" fontId="2" fillId="0" borderId="6" xfId="0" applyNumberFormat="1" applyFont="1" applyFill="1" applyBorder="1" applyAlignment="1">
      <alignment vertical="center"/>
    </xf>
    <xf numFmtId="164" fontId="2" fillId="0" borderId="0" xfId="0" applyNumberFormat="1" applyFont="1" applyFill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right"/>
    </xf>
    <xf numFmtId="5" fontId="3" fillId="0" borderId="0" xfId="0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>
      <alignment horizontal="right"/>
    </xf>
    <xf numFmtId="5" fontId="40" fillId="0" borderId="0" xfId="6" applyNumberFormat="1" applyFont="1" applyFill="1" applyBorder="1" applyAlignment="1">
      <alignment horizontal="right"/>
    </xf>
    <xf numFmtId="164" fontId="42" fillId="0" borderId="7" xfId="0" applyNumberFormat="1" applyFont="1" applyFill="1" applyBorder="1" applyAlignment="1">
      <alignment horizontal="center" wrapText="1"/>
    </xf>
    <xf numFmtId="164" fontId="2" fillId="0" borderId="7" xfId="0" applyNumberFormat="1" applyFont="1" applyFill="1" applyBorder="1" applyAlignment="1">
      <alignment horizontal="center" wrapText="1"/>
    </xf>
    <xf numFmtId="5" fontId="3" fillId="0" borderId="0" xfId="6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5" fontId="3" fillId="0" borderId="7" xfId="6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 wrapText="1"/>
    </xf>
    <xf numFmtId="5" fontId="3" fillId="0" borderId="1" xfId="6" applyNumberFormat="1" applyFont="1" applyFill="1" applyBorder="1" applyAlignment="1">
      <alignment horizontal="right" vertical="center"/>
    </xf>
    <xf numFmtId="5" fontId="2" fillId="0" borderId="8" xfId="6" applyNumberFormat="1" applyFont="1" applyFill="1" applyBorder="1" applyAlignment="1">
      <alignment horizontal="right" vertical="center"/>
    </xf>
    <xf numFmtId="5" fontId="2" fillId="0" borderId="7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180" fontId="43" fillId="0" borderId="0" xfId="0" applyNumberFormat="1" applyFont="1" applyFill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49" fillId="17" borderId="1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wrapText="1"/>
    </xf>
    <xf numFmtId="164" fontId="3" fillId="0" borderId="7" xfId="6" applyNumberFormat="1" applyFont="1" applyFill="1" applyBorder="1" applyAlignment="1">
      <alignment horizontal="right"/>
    </xf>
    <xf numFmtId="5" fontId="50" fillId="18" borderId="0" xfId="6" applyNumberFormat="1" applyFont="1" applyFill="1" applyBorder="1" applyAlignment="1">
      <alignment horizontal="right"/>
    </xf>
    <xf numFmtId="0" fontId="3" fillId="12" borderId="1" xfId="0" applyFont="1" applyFill="1" applyBorder="1" applyAlignment="1">
      <alignment horizontal="left" vertical="center" wrapText="1"/>
    </xf>
    <xf numFmtId="5" fontId="35" fillId="11" borderId="0" xfId="6" applyNumberFormat="1" applyFont="1" applyFill="1" applyBorder="1" applyAlignment="1">
      <alignment horizontal="right"/>
    </xf>
    <xf numFmtId="5" fontId="35" fillId="11" borderId="1" xfId="6" applyNumberFormat="1" applyFont="1" applyFill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5" fontId="2" fillId="0" borderId="7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8" fillId="0" borderId="7" xfId="0" applyNumberFormat="1" applyFont="1" applyBorder="1" applyAlignment="1">
      <alignment horizontal="center" wrapText="1"/>
    </xf>
    <xf numFmtId="5" fontId="35" fillId="11" borderId="8" xfId="6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164" fontId="3" fillId="0" borderId="8" xfId="0" applyNumberFormat="1" applyFont="1" applyBorder="1" applyAlignment="1">
      <alignment horizontal="right"/>
    </xf>
    <xf numFmtId="5" fontId="3" fillId="0" borderId="0" xfId="0" applyNumberFormat="1" applyFont="1" applyBorder="1" applyAlignment="1">
      <alignment horizontal="right"/>
    </xf>
  </cellXfs>
  <cellStyles count="21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3" xfId="13"/>
    <cellStyle name="Normal 3" xfId="14"/>
    <cellStyle name="Normal 4" xfId="15"/>
    <cellStyle name="Normal 5" xfId="16"/>
    <cellStyle name="Normal 6" xfId="17"/>
    <cellStyle name="Percent" xfId="18" builtinId="5"/>
    <cellStyle name="Percent 2" xfId="19"/>
    <cellStyle name="Percent 3" xfId="20"/>
  </cellStyles>
  <dxfs count="2">
    <dxf>
      <fill>
        <patternFill>
          <bgColor indexed="29"/>
        </patternFill>
      </fill>
    </dxf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J85"/>
  <sheetViews>
    <sheetView workbookViewId="0">
      <selection activeCell="C1" sqref="C1"/>
    </sheetView>
  </sheetViews>
  <sheetFormatPr defaultRowHeight="12.75"/>
  <cols>
    <col min="1" max="1" width="34" customWidth="1"/>
    <col min="2" max="3" width="14.42578125" customWidth="1"/>
    <col min="4" max="4" width="15.28515625" customWidth="1"/>
    <col min="5" max="5" width="4.140625" customWidth="1"/>
    <col min="6" max="6" width="13" customWidth="1"/>
    <col min="7" max="7" width="12.7109375" customWidth="1"/>
    <col min="8" max="8" width="13.140625" customWidth="1"/>
    <col min="9" max="9" width="1.42578125" customWidth="1"/>
    <col min="10" max="10" width="13" customWidth="1"/>
    <col min="11" max="11" width="12.7109375" customWidth="1"/>
    <col min="12" max="12" width="13.140625" customWidth="1"/>
    <col min="13" max="13" width="1.28515625" customWidth="1"/>
    <col min="14" max="14" width="13" customWidth="1"/>
    <col min="15" max="15" width="12.7109375" customWidth="1"/>
    <col min="16" max="16" width="13.140625" customWidth="1"/>
    <col min="17" max="17" width="1.140625" customWidth="1"/>
    <col min="18" max="18" width="13" customWidth="1"/>
    <col min="19" max="19" width="12.7109375" customWidth="1"/>
    <col min="20" max="20" width="13.140625" customWidth="1"/>
    <col min="21" max="21" width="1.42578125" style="3" customWidth="1"/>
    <col min="22" max="22" width="13" customWidth="1"/>
    <col min="23" max="23" width="12.7109375" customWidth="1"/>
    <col min="24" max="24" width="13.140625" customWidth="1"/>
    <col min="25" max="25" width="1.42578125" style="3" customWidth="1"/>
    <col min="26" max="26" width="12.5703125" style="3" customWidth="1"/>
    <col min="27" max="27" width="13.28515625" style="3" customWidth="1"/>
    <col min="28" max="28" width="13.85546875" style="3" customWidth="1"/>
    <col min="29" max="29" width="1.42578125" style="3" customWidth="1"/>
    <col min="30" max="30" width="13.85546875" style="3" customWidth="1"/>
    <col min="31" max="31" width="13.28515625" style="3" customWidth="1"/>
    <col min="32" max="32" width="13.85546875" style="3" customWidth="1"/>
    <col min="33" max="33" width="1.42578125" style="3" customWidth="1"/>
    <col min="34" max="34" width="13.85546875" style="3" customWidth="1"/>
    <col min="35" max="35" width="13.28515625" style="3" customWidth="1"/>
    <col min="36" max="36" width="13.85546875" style="3" customWidth="1"/>
    <col min="37" max="37" width="0.7109375" style="3" customWidth="1"/>
    <col min="38" max="38" width="13.85546875" style="3" customWidth="1"/>
    <col min="39" max="39" width="13.28515625" style="3" customWidth="1"/>
    <col min="40" max="40" width="13.85546875" style="3" customWidth="1"/>
    <col min="41" max="41" width="1" customWidth="1"/>
    <col min="42" max="42" width="13.85546875" style="3" customWidth="1"/>
    <col min="43" max="43" width="13.28515625" style="3" customWidth="1"/>
    <col min="44" max="44" width="13.85546875" style="3" customWidth="1"/>
    <col min="45" max="45" width="1" customWidth="1"/>
    <col min="46" max="46" width="12.5703125" customWidth="1"/>
    <col min="47" max="47" width="12.140625" customWidth="1"/>
    <col min="48" max="48" width="14.140625" customWidth="1"/>
    <col min="49" max="49" width="1.28515625" customWidth="1"/>
    <col min="50" max="50" width="12.28515625" bestFit="1" customWidth="1"/>
    <col min="51" max="51" width="12.140625" customWidth="1"/>
    <col min="52" max="52" width="14.28515625" customWidth="1"/>
  </cols>
  <sheetData>
    <row r="1" spans="1:52">
      <c r="C1" s="57" t="s">
        <v>130</v>
      </c>
      <c r="F1" s="29">
        <v>39083</v>
      </c>
      <c r="G1" s="30"/>
      <c r="H1" s="30"/>
      <c r="I1" s="28"/>
      <c r="J1" s="29">
        <v>38749</v>
      </c>
      <c r="K1" s="30"/>
      <c r="L1" s="30"/>
      <c r="M1" s="28"/>
      <c r="N1" s="29">
        <v>38777</v>
      </c>
      <c r="O1" s="30"/>
      <c r="P1" s="30"/>
      <c r="Q1" s="28"/>
      <c r="R1" s="29">
        <v>38808</v>
      </c>
      <c r="S1" s="30"/>
      <c r="T1" s="30"/>
      <c r="U1" s="27"/>
      <c r="V1" s="29">
        <v>38838</v>
      </c>
      <c r="W1" s="30"/>
      <c r="X1" s="30"/>
      <c r="Y1" s="27"/>
      <c r="Z1" s="29">
        <v>38869</v>
      </c>
      <c r="AA1" s="30"/>
      <c r="AB1" s="30"/>
      <c r="AC1" s="27"/>
      <c r="AD1" s="29">
        <v>38899</v>
      </c>
      <c r="AE1" s="30"/>
      <c r="AF1" s="30"/>
      <c r="AG1" s="27"/>
      <c r="AH1" s="29">
        <v>38930</v>
      </c>
      <c r="AI1" s="30"/>
      <c r="AJ1" s="30"/>
      <c r="AK1" s="27"/>
      <c r="AL1" s="29">
        <v>38961</v>
      </c>
      <c r="AM1" s="30"/>
      <c r="AN1" s="30"/>
      <c r="AP1" s="29">
        <v>38991</v>
      </c>
      <c r="AQ1" s="30"/>
      <c r="AR1" s="30"/>
      <c r="AT1" s="29">
        <v>39022</v>
      </c>
      <c r="AU1" s="30"/>
      <c r="AV1" s="30"/>
      <c r="AX1" s="29">
        <v>39052</v>
      </c>
      <c r="AY1" s="30"/>
      <c r="AZ1" s="30"/>
    </row>
    <row r="2" spans="1:52">
      <c r="B2" s="31" t="s">
        <v>60</v>
      </c>
      <c r="C2" s="31" t="s">
        <v>37</v>
      </c>
      <c r="D2" s="48" t="s">
        <v>38</v>
      </c>
      <c r="F2" s="31" t="s">
        <v>60</v>
      </c>
      <c r="G2" s="31" t="s">
        <v>37</v>
      </c>
      <c r="H2" s="48" t="s">
        <v>38</v>
      </c>
      <c r="I2" s="28"/>
      <c r="J2" s="31" t="s">
        <v>60</v>
      </c>
      <c r="K2" s="31" t="s">
        <v>37</v>
      </c>
      <c r="L2" s="48" t="s">
        <v>38</v>
      </c>
      <c r="M2" s="28"/>
      <c r="N2" s="31" t="s">
        <v>60</v>
      </c>
      <c r="O2" s="31" t="s">
        <v>37</v>
      </c>
      <c r="P2" s="31" t="s">
        <v>38</v>
      </c>
      <c r="Q2" s="28"/>
      <c r="R2" s="31" t="s">
        <v>60</v>
      </c>
      <c r="S2" s="31" t="s">
        <v>37</v>
      </c>
      <c r="T2" s="31" t="s">
        <v>38</v>
      </c>
      <c r="U2" s="27"/>
      <c r="V2" s="31" t="s">
        <v>60</v>
      </c>
      <c r="W2" s="31" t="s">
        <v>37</v>
      </c>
      <c r="X2" s="31" t="s">
        <v>38</v>
      </c>
      <c r="Y2" s="27"/>
      <c r="Z2" s="31" t="s">
        <v>60</v>
      </c>
      <c r="AA2" s="31" t="s">
        <v>37</v>
      </c>
      <c r="AB2" s="31" t="s">
        <v>38</v>
      </c>
      <c r="AC2" s="27"/>
      <c r="AD2" s="31" t="s">
        <v>60</v>
      </c>
      <c r="AE2" s="31" t="s">
        <v>37</v>
      </c>
      <c r="AF2" s="31" t="s">
        <v>38</v>
      </c>
      <c r="AG2" s="27"/>
      <c r="AH2" s="31" t="s">
        <v>60</v>
      </c>
      <c r="AI2" s="31" t="s">
        <v>37</v>
      </c>
      <c r="AJ2" s="31" t="s">
        <v>38</v>
      </c>
      <c r="AK2" s="27"/>
      <c r="AL2" s="31" t="s">
        <v>60</v>
      </c>
      <c r="AM2" s="31" t="s">
        <v>37</v>
      </c>
      <c r="AN2" s="31" t="s">
        <v>38</v>
      </c>
      <c r="AP2" s="31" t="s">
        <v>60</v>
      </c>
      <c r="AQ2" s="31" t="s">
        <v>37</v>
      </c>
      <c r="AR2" s="31" t="s">
        <v>38</v>
      </c>
      <c r="AT2" s="31" t="s">
        <v>60</v>
      </c>
      <c r="AU2" s="31" t="s">
        <v>37</v>
      </c>
      <c r="AV2" s="31" t="s">
        <v>38</v>
      </c>
      <c r="AX2" s="31" t="s">
        <v>60</v>
      </c>
      <c r="AY2" s="31" t="s">
        <v>37</v>
      </c>
      <c r="AZ2" s="31" t="s">
        <v>38</v>
      </c>
    </row>
    <row r="3" spans="1:52">
      <c r="A3" s="5" t="s">
        <v>39</v>
      </c>
      <c r="B3" s="3"/>
      <c r="C3" s="3"/>
      <c r="D3" s="3"/>
      <c r="E3" s="3"/>
      <c r="Z3"/>
      <c r="AA3"/>
      <c r="AB3"/>
      <c r="AD3"/>
      <c r="AE3"/>
      <c r="AF3"/>
      <c r="AH3"/>
      <c r="AI3"/>
      <c r="AJ3"/>
      <c r="AL3"/>
      <c r="AM3"/>
      <c r="AN3"/>
      <c r="AP3"/>
      <c r="AQ3"/>
      <c r="AR3"/>
    </row>
    <row r="4" spans="1:52">
      <c r="A4" t="str">
        <f>'WA Summary '!B6</f>
        <v>555 Purchased Power</v>
      </c>
      <c r="B4" s="20">
        <f>SUM(F4,J4,N4,R4,V4,Z4,AD4,AH4,AL4,AP4,AT4,AX4)</f>
        <v>130381374</v>
      </c>
      <c r="C4" s="20" t="e">
        <f>SUM(G4,K4,O4,S4,W4,AA4,AE4,AI4,AM4,AQ4,AU4,AY4)</f>
        <v>#REF!</v>
      </c>
      <c r="D4" s="10" t="e">
        <f>B4-C4</f>
        <v>#REF!</v>
      </c>
      <c r="F4" s="10">
        <v>26249707</v>
      </c>
      <c r="G4" s="10" t="e">
        <f>#REF!</f>
        <v>#REF!</v>
      </c>
      <c r="H4" s="10" t="e">
        <f>F4-G4</f>
        <v>#REF!</v>
      </c>
      <c r="I4" s="10"/>
      <c r="J4" s="10">
        <v>11090357</v>
      </c>
      <c r="K4" s="10" t="e">
        <f>#REF!</f>
        <v>#REF!</v>
      </c>
      <c r="L4" s="10" t="e">
        <f>J4-K4</f>
        <v>#REF!</v>
      </c>
      <c r="M4" s="10"/>
      <c r="N4" s="10">
        <v>13604488</v>
      </c>
      <c r="O4" s="10" t="e">
        <f>#REF!</f>
        <v>#REF!</v>
      </c>
      <c r="P4" s="10" t="e">
        <f>N4-O4</f>
        <v>#REF!</v>
      </c>
      <c r="Q4" s="10"/>
      <c r="R4" s="10">
        <v>10288508</v>
      </c>
      <c r="S4" s="10" t="e">
        <f>#REF!</f>
        <v>#REF!</v>
      </c>
      <c r="T4" s="10" t="e">
        <f>R4-S4</f>
        <v>#REF!</v>
      </c>
      <c r="U4" s="11"/>
      <c r="V4" s="10">
        <v>6214710</v>
      </c>
      <c r="W4" s="10" t="e">
        <f>#REF!</f>
        <v>#REF!</v>
      </c>
      <c r="X4" s="10" t="e">
        <f>V4-W4</f>
        <v>#REF!</v>
      </c>
      <c r="Z4" s="10">
        <v>6973574</v>
      </c>
      <c r="AA4" s="10" t="e">
        <f>#REF!</f>
        <v>#REF!</v>
      </c>
      <c r="AB4" s="10" t="e">
        <f>Z4-AA4</f>
        <v>#REF!</v>
      </c>
      <c r="AD4" s="10">
        <v>6479782</v>
      </c>
      <c r="AE4" s="10" t="e">
        <f>#REF!</f>
        <v>#REF!</v>
      </c>
      <c r="AF4" s="10" t="e">
        <f>AD4-AE4</f>
        <v>#REF!</v>
      </c>
      <c r="AH4" s="10">
        <v>11165165</v>
      </c>
      <c r="AI4" s="10" t="e">
        <f>#REF!</f>
        <v>#REF!</v>
      </c>
      <c r="AJ4" s="10" t="e">
        <f>AH4-AI4</f>
        <v>#REF!</v>
      </c>
      <c r="AL4" s="10">
        <v>7465617</v>
      </c>
      <c r="AM4" s="10" t="e">
        <f>#REF!</f>
        <v>#REF!</v>
      </c>
      <c r="AN4" s="10" t="e">
        <f>AL4-AM4</f>
        <v>#REF!</v>
      </c>
      <c r="AP4" s="10">
        <v>11922083</v>
      </c>
      <c r="AQ4" s="10" t="e">
        <f>#REF!</f>
        <v>#REF!</v>
      </c>
      <c r="AR4" s="10" t="e">
        <f>AP4-AQ4</f>
        <v>#REF!</v>
      </c>
      <c r="AT4" s="10">
        <v>8697940</v>
      </c>
      <c r="AU4" s="10" t="e">
        <f>#REF!</f>
        <v>#REF!</v>
      </c>
      <c r="AV4" s="10" t="e">
        <f>AT4-AU4</f>
        <v>#REF!</v>
      </c>
      <c r="AX4" s="10">
        <v>10229443</v>
      </c>
      <c r="AY4" s="10" t="e">
        <f>#REF!</f>
        <v>#REF!</v>
      </c>
      <c r="AZ4" s="10" t="e">
        <f>AX4-AY4</f>
        <v>#REF!</v>
      </c>
    </row>
    <row r="5" spans="1:52">
      <c r="A5" t="str">
        <f>'WA Summary '!B8</f>
        <v>501 Thermal Fuel</v>
      </c>
      <c r="B5" s="20">
        <f t="shared" ref="B5:C8" si="0">SUM(F5,J5,N5,R5,V5,Z5,AD5,AH5,AL5,AP5,AT5,AX5)</f>
        <v>23109270</v>
      </c>
      <c r="C5" s="20" t="e">
        <f t="shared" si="0"/>
        <v>#REF!</v>
      </c>
      <c r="D5" s="10" t="e">
        <f>B5-C5</f>
        <v>#REF!</v>
      </c>
      <c r="F5" s="10">
        <v>1943989</v>
      </c>
      <c r="G5" s="10" t="e">
        <f>#REF!</f>
        <v>#REF!</v>
      </c>
      <c r="H5" s="10" t="e">
        <f>F5-G5</f>
        <v>#REF!</v>
      </c>
      <c r="I5" s="10"/>
      <c r="J5" s="10">
        <v>1881758</v>
      </c>
      <c r="K5" s="10" t="e">
        <f>#REF!</f>
        <v>#REF!</v>
      </c>
      <c r="L5" s="10" t="e">
        <f>J5-K5</f>
        <v>#REF!</v>
      </c>
      <c r="M5" s="10"/>
      <c r="N5" s="10">
        <v>2084051</v>
      </c>
      <c r="O5" s="10" t="e">
        <f>#REF!</f>
        <v>#REF!</v>
      </c>
      <c r="P5" s="10" t="e">
        <f>N5-O5</f>
        <v>#REF!</v>
      </c>
      <c r="Q5" s="10"/>
      <c r="R5" s="10">
        <v>2048943</v>
      </c>
      <c r="S5" s="10" t="e">
        <f>#REF!</f>
        <v>#REF!</v>
      </c>
      <c r="T5" s="10" t="e">
        <f>R5-S5</f>
        <v>#REF!</v>
      </c>
      <c r="U5" s="11"/>
      <c r="V5" s="10">
        <v>806914</v>
      </c>
      <c r="W5" s="10" t="e">
        <f>#REF!</f>
        <v>#REF!</v>
      </c>
      <c r="X5" s="10" t="e">
        <f>V5-W5</f>
        <v>#REF!</v>
      </c>
      <c r="Z5" s="10">
        <v>2086930</v>
      </c>
      <c r="AA5" s="10" t="e">
        <f>#REF!</f>
        <v>#REF!</v>
      </c>
      <c r="AB5" s="10" t="e">
        <f>Z5-AA5</f>
        <v>#REF!</v>
      </c>
      <c r="AD5" s="10">
        <v>2225970</v>
      </c>
      <c r="AE5" s="10" t="e">
        <f>#REF!</f>
        <v>#REF!</v>
      </c>
      <c r="AF5" s="10" t="e">
        <f>AD5-AE5</f>
        <v>#REF!</v>
      </c>
      <c r="AH5" s="10">
        <v>2142237</v>
      </c>
      <c r="AI5" s="10" t="e">
        <f>#REF!</f>
        <v>#REF!</v>
      </c>
      <c r="AJ5" s="10" t="e">
        <f>AH5-AI5</f>
        <v>#REF!</v>
      </c>
      <c r="AL5" s="10">
        <v>2060328</v>
      </c>
      <c r="AM5" s="10" t="e">
        <f>#REF!</f>
        <v>#REF!</v>
      </c>
      <c r="AN5" s="10" t="e">
        <f>AL5-AM5</f>
        <v>#REF!</v>
      </c>
      <c r="AP5" s="10">
        <v>2000705</v>
      </c>
      <c r="AQ5" s="10" t="e">
        <f>#REF!</f>
        <v>#REF!</v>
      </c>
      <c r="AR5" s="10" t="e">
        <f>AP5-AQ5</f>
        <v>#REF!</v>
      </c>
      <c r="AT5" s="10">
        <v>1902528</v>
      </c>
      <c r="AU5" s="10" t="e">
        <f>#REF!</f>
        <v>#REF!</v>
      </c>
      <c r="AV5" s="10" t="e">
        <f>AT5-AU5</f>
        <v>#REF!</v>
      </c>
      <c r="AX5" s="10">
        <v>1924917</v>
      </c>
      <c r="AY5" s="10" t="e">
        <f>#REF!</f>
        <v>#REF!</v>
      </c>
      <c r="AZ5" s="10" t="e">
        <f>AX5-AY5</f>
        <v>#REF!</v>
      </c>
    </row>
    <row r="6" spans="1:52">
      <c r="A6" t="str">
        <f>'WA Summary '!B9</f>
        <v>547 CT Fuel</v>
      </c>
      <c r="B6" s="20">
        <f t="shared" si="0"/>
        <v>93267468</v>
      </c>
      <c r="C6" s="20" t="e">
        <f t="shared" si="0"/>
        <v>#REF!</v>
      </c>
      <c r="D6" s="10" t="e">
        <f>B6-C6</f>
        <v>#REF!</v>
      </c>
      <c r="F6" s="10">
        <f>525000-172181</f>
        <v>352819</v>
      </c>
      <c r="G6" s="10" t="e">
        <f>#REF!</f>
        <v>#REF!</v>
      </c>
      <c r="H6" s="10" t="e">
        <f>F6-G6</f>
        <v>#REF!</v>
      </c>
      <c r="I6" s="10"/>
      <c r="J6" s="10">
        <f>10725658+33520</f>
        <v>10759178</v>
      </c>
      <c r="K6" s="10" t="e">
        <f>#REF!</f>
        <v>#REF!</v>
      </c>
      <c r="L6" s="10" t="e">
        <f>J6-K6</f>
        <v>#REF!</v>
      </c>
      <c r="M6" s="10"/>
      <c r="N6" s="10">
        <f>13670045-71950</f>
        <v>13598095</v>
      </c>
      <c r="O6" s="10" t="e">
        <f>#REF!</f>
        <v>#REF!</v>
      </c>
      <c r="P6" s="10" t="e">
        <f>N6-O6</f>
        <v>#REF!</v>
      </c>
      <c r="Q6" s="10"/>
      <c r="R6" s="10">
        <f>525000-315000</f>
        <v>210000</v>
      </c>
      <c r="S6" s="10" t="e">
        <f>#REF!</f>
        <v>#REF!</v>
      </c>
      <c r="T6" s="10" t="e">
        <f>R6-S6</f>
        <v>#REF!</v>
      </c>
      <c r="U6" s="11"/>
      <c r="V6" s="10">
        <v>525000</v>
      </c>
      <c r="W6" s="10" t="e">
        <f>#REF!</f>
        <v>#REF!</v>
      </c>
      <c r="X6" s="10" t="e">
        <f>V6-W6</f>
        <v>#REF!</v>
      </c>
      <c r="Z6" s="10">
        <v>525000</v>
      </c>
      <c r="AA6" s="10" t="e">
        <f>#REF!</f>
        <v>#REF!</v>
      </c>
      <c r="AB6" s="10" t="e">
        <f>Z6-AA6</f>
        <v>#REF!</v>
      </c>
      <c r="AD6" s="10">
        <v>9534819</v>
      </c>
      <c r="AE6" s="10" t="e">
        <f>#REF!</f>
        <v>#REF!</v>
      </c>
      <c r="AF6" s="10" t="e">
        <f>AD6-AE6</f>
        <v>#REF!</v>
      </c>
      <c r="AH6" s="10">
        <v>10175122</v>
      </c>
      <c r="AI6" s="10" t="e">
        <f>#REF!</f>
        <v>#REF!</v>
      </c>
      <c r="AJ6" s="10" t="e">
        <f>AH6-AI6</f>
        <v>#REF!</v>
      </c>
      <c r="AL6" s="10">
        <v>10042730</v>
      </c>
      <c r="AM6" s="10" t="e">
        <f>#REF!</f>
        <v>#REF!</v>
      </c>
      <c r="AN6" s="10" t="e">
        <f>AL6-AM6</f>
        <v>#REF!</v>
      </c>
      <c r="AP6" s="10">
        <v>11598604</v>
      </c>
      <c r="AQ6" s="10" t="e">
        <f>#REF!</f>
        <v>#REF!</v>
      </c>
      <c r="AR6" s="10" t="e">
        <f>AP6-AQ6</f>
        <v>#REF!</v>
      </c>
      <c r="AT6" s="10">
        <v>12457409</v>
      </c>
      <c r="AU6" s="10" t="e">
        <f>#REF!</f>
        <v>#REF!</v>
      </c>
      <c r="AV6" s="10" t="e">
        <f>AT6-AU6</f>
        <v>#REF!</v>
      </c>
      <c r="AX6" s="10">
        <v>13488692</v>
      </c>
      <c r="AY6" s="10" t="e">
        <f>#REF!</f>
        <v>#REF!</v>
      </c>
      <c r="AZ6" s="10" t="e">
        <f>AX6-AY6</f>
        <v>#REF!</v>
      </c>
    </row>
    <row r="7" spans="1:52">
      <c r="A7" s="27" t="s">
        <v>57</v>
      </c>
      <c r="B7" s="20">
        <f t="shared" si="0"/>
        <v>0</v>
      </c>
      <c r="C7" s="20" t="e">
        <f t="shared" si="0"/>
        <v>#REF!</v>
      </c>
      <c r="D7" s="10" t="e">
        <f>B7-C7</f>
        <v>#REF!</v>
      </c>
      <c r="E7" s="27"/>
      <c r="F7" s="10">
        <v>0</v>
      </c>
      <c r="G7" s="10" t="e">
        <f>#REF!</f>
        <v>#REF!</v>
      </c>
      <c r="H7" s="10" t="e">
        <f>F7-G7</f>
        <v>#REF!</v>
      </c>
      <c r="I7" s="10"/>
      <c r="J7" s="10"/>
      <c r="K7" s="10" t="e">
        <f>#REF!</f>
        <v>#REF!</v>
      </c>
      <c r="L7" s="10" t="e">
        <f>J7-K7</f>
        <v>#REF!</v>
      </c>
      <c r="M7" s="10"/>
      <c r="N7" s="10"/>
      <c r="O7" s="10" t="e">
        <f>#REF!</f>
        <v>#REF!</v>
      </c>
      <c r="P7" s="10" t="e">
        <f>N7-O7</f>
        <v>#REF!</v>
      </c>
      <c r="Q7" s="10"/>
      <c r="R7" s="10"/>
      <c r="S7" s="10" t="e">
        <f>#REF!</f>
        <v>#REF!</v>
      </c>
      <c r="T7" s="10" t="e">
        <f>R7-S7</f>
        <v>#REF!</v>
      </c>
      <c r="U7" s="11"/>
      <c r="V7" s="10"/>
      <c r="W7" s="10" t="e">
        <f>#REF!</f>
        <v>#REF!</v>
      </c>
      <c r="X7" s="10" t="e">
        <f>V7-W7</f>
        <v>#REF!</v>
      </c>
      <c r="Z7" s="10"/>
      <c r="AA7" s="10" t="e">
        <f>#REF!</f>
        <v>#REF!</v>
      </c>
      <c r="AB7" s="10" t="e">
        <f>Z7-AA7</f>
        <v>#REF!</v>
      </c>
      <c r="AD7" s="10"/>
      <c r="AE7" s="10" t="e">
        <f>#REF!</f>
        <v>#REF!</v>
      </c>
      <c r="AF7" s="10" t="e">
        <f>AD7-AE7</f>
        <v>#REF!</v>
      </c>
      <c r="AH7" s="10"/>
      <c r="AI7" s="10" t="e">
        <f>#REF!</f>
        <v>#REF!</v>
      </c>
      <c r="AJ7" s="10" t="e">
        <f>AH7-AI7</f>
        <v>#REF!</v>
      </c>
      <c r="AL7" s="10"/>
      <c r="AM7" s="10" t="e">
        <f>#REF!</f>
        <v>#REF!</v>
      </c>
      <c r="AN7" s="10" t="e">
        <f>AL7-AM7</f>
        <v>#REF!</v>
      </c>
      <c r="AP7" s="10"/>
      <c r="AQ7" s="10" t="e">
        <f>#REF!</f>
        <v>#REF!</v>
      </c>
      <c r="AR7" s="10" t="e">
        <f>AP7-AQ7</f>
        <v>#REF!</v>
      </c>
      <c r="AT7" s="10"/>
      <c r="AU7" s="10" t="e">
        <f>#REF!</f>
        <v>#REF!</v>
      </c>
      <c r="AV7" s="10" t="e">
        <f>AT7-AU7</f>
        <v>#REF!</v>
      </c>
      <c r="AX7" s="10"/>
      <c r="AY7" s="10" t="e">
        <f>#REF!</f>
        <v>#REF!</v>
      </c>
      <c r="AZ7" s="10" t="e">
        <f>AX7-AY7</f>
        <v>#REF!</v>
      </c>
    </row>
    <row r="8" spans="1:52">
      <c r="A8" t="e">
        <f>#REF!</f>
        <v>#REF!</v>
      </c>
      <c r="B8" s="58">
        <f t="shared" si="0"/>
        <v>-93145882</v>
      </c>
      <c r="C8" s="58" t="e">
        <f t="shared" si="0"/>
        <v>#REF!</v>
      </c>
      <c r="D8" s="17" t="e">
        <f>B8-C8</f>
        <v>#REF!</v>
      </c>
      <c r="F8" s="17">
        <v>-9535791</v>
      </c>
      <c r="G8" s="17" t="e">
        <f>#REF!</f>
        <v>#REF!</v>
      </c>
      <c r="H8" s="17" t="e">
        <f>F8-G8</f>
        <v>#REF!</v>
      </c>
      <c r="I8" s="10"/>
      <c r="J8" s="17">
        <v>-8656319</v>
      </c>
      <c r="K8" s="17" t="e">
        <f>#REF!</f>
        <v>#REF!</v>
      </c>
      <c r="L8" s="17" t="e">
        <f>J8-K8</f>
        <v>#REF!</v>
      </c>
      <c r="M8" s="10"/>
      <c r="N8" s="17">
        <v>-16419702</v>
      </c>
      <c r="O8" s="17" t="e">
        <f>#REF!</f>
        <v>#REF!</v>
      </c>
      <c r="P8" s="17" t="e">
        <f>N8-O8</f>
        <v>#REF!</v>
      </c>
      <c r="Q8" s="10"/>
      <c r="R8" s="17">
        <v>-9587693</v>
      </c>
      <c r="S8" s="17" t="e">
        <f>#REF!</f>
        <v>#REF!</v>
      </c>
      <c r="T8" s="17" t="e">
        <f>R8-S8</f>
        <v>#REF!</v>
      </c>
      <c r="U8" s="11"/>
      <c r="V8" s="17">
        <v>-9613741</v>
      </c>
      <c r="W8" s="17" t="e">
        <f>#REF!</f>
        <v>#REF!</v>
      </c>
      <c r="X8" s="17" t="e">
        <f>V8-W8</f>
        <v>#REF!</v>
      </c>
      <c r="Z8" s="17">
        <v>-12352353</v>
      </c>
      <c r="AA8" s="17" t="e">
        <f>#REF!</f>
        <v>#REF!</v>
      </c>
      <c r="AB8" s="17" t="e">
        <f>Z8-AA8</f>
        <v>#REF!</v>
      </c>
      <c r="AD8" s="17">
        <v>-11607670</v>
      </c>
      <c r="AE8" s="17" t="e">
        <f>#REF!</f>
        <v>#REF!</v>
      </c>
      <c r="AF8" s="17" t="e">
        <f>AD8-AE8</f>
        <v>#REF!</v>
      </c>
      <c r="AH8" s="17">
        <v>-1616134</v>
      </c>
      <c r="AI8" s="17" t="e">
        <f>#REF!</f>
        <v>#REF!</v>
      </c>
      <c r="AJ8" s="17" t="e">
        <f>AH8-AI8</f>
        <v>#REF!</v>
      </c>
      <c r="AL8" s="17">
        <v>-1590665</v>
      </c>
      <c r="AM8" s="17" t="e">
        <f>#REF!</f>
        <v>#REF!</v>
      </c>
      <c r="AN8" s="17" t="e">
        <f>AL8-AM8</f>
        <v>#REF!</v>
      </c>
      <c r="AP8" s="17">
        <v>-2323495</v>
      </c>
      <c r="AQ8" s="17" t="e">
        <f>#REF!</f>
        <v>#REF!</v>
      </c>
      <c r="AR8" s="17" t="e">
        <f>AP8-AQ8</f>
        <v>#REF!</v>
      </c>
      <c r="AT8" s="17">
        <v>-6708026</v>
      </c>
      <c r="AU8" s="17" t="e">
        <f>#REF!</f>
        <v>#REF!</v>
      </c>
      <c r="AV8" s="17" t="e">
        <f>AT8-AU8</f>
        <v>#REF!</v>
      </c>
      <c r="AX8" s="17">
        <v>-3134293</v>
      </c>
      <c r="AY8" s="17" t="e">
        <f>#REF!</f>
        <v>#REF!</v>
      </c>
      <c r="AZ8" s="17" t="e">
        <f>AX8-AY8</f>
        <v>#REF!</v>
      </c>
    </row>
    <row r="9" spans="1:52">
      <c r="F9" s="11"/>
      <c r="G9" s="11"/>
      <c r="H9" s="11"/>
      <c r="I9" s="10"/>
      <c r="J9" s="11"/>
      <c r="K9" s="11"/>
      <c r="L9" s="11"/>
      <c r="M9" s="10"/>
      <c r="N9" s="11"/>
      <c r="O9" s="11"/>
      <c r="P9" s="11"/>
      <c r="Q9" s="10"/>
      <c r="R9" s="11"/>
      <c r="S9" s="11"/>
      <c r="T9" s="11"/>
      <c r="U9" s="11"/>
      <c r="V9" s="11"/>
      <c r="W9" s="11"/>
      <c r="X9" s="11"/>
      <c r="Z9" s="11"/>
      <c r="AA9" s="11"/>
      <c r="AB9" s="11"/>
      <c r="AD9" s="11"/>
      <c r="AE9" s="11"/>
      <c r="AF9" s="11"/>
      <c r="AH9" s="11"/>
      <c r="AI9" s="11"/>
      <c r="AJ9" s="11"/>
      <c r="AL9" s="11"/>
      <c r="AM9" s="11"/>
      <c r="AN9" s="11"/>
      <c r="AP9" s="11"/>
      <c r="AQ9" s="11"/>
      <c r="AR9" s="11"/>
      <c r="AT9" s="11"/>
      <c r="AU9" s="11"/>
      <c r="AV9" s="11"/>
      <c r="AX9" s="11"/>
      <c r="AY9" s="11"/>
      <c r="AZ9" s="11"/>
    </row>
    <row r="10" spans="1:52">
      <c r="A10" t="s">
        <v>58</v>
      </c>
      <c r="B10" s="20">
        <f>SUM(F10:AZ10)</f>
        <v>-1533000</v>
      </c>
      <c r="F10" s="11">
        <v>-130200</v>
      </c>
      <c r="G10" s="11"/>
      <c r="H10" s="11"/>
      <c r="I10" s="10"/>
      <c r="J10" s="11">
        <v>-117600</v>
      </c>
      <c r="K10" s="11"/>
      <c r="L10" s="11"/>
      <c r="M10" s="10"/>
      <c r="N10" s="11">
        <v>-130200</v>
      </c>
      <c r="O10" s="11"/>
      <c r="P10" s="11"/>
      <c r="Q10" s="10"/>
      <c r="R10" s="11">
        <v>-125825</v>
      </c>
      <c r="S10" s="11"/>
      <c r="T10" s="11"/>
      <c r="U10" s="11"/>
      <c r="V10" s="11">
        <v>-130200</v>
      </c>
      <c r="W10" s="11"/>
      <c r="X10" s="11"/>
      <c r="Z10" s="11">
        <v>-126000</v>
      </c>
      <c r="AA10" s="11"/>
      <c r="AB10" s="11"/>
      <c r="AD10" s="11">
        <v>-130200</v>
      </c>
      <c r="AE10" s="11"/>
      <c r="AF10" s="11"/>
      <c r="AH10" s="11">
        <v>-130200</v>
      </c>
      <c r="AI10" s="11"/>
      <c r="AJ10" s="11"/>
      <c r="AL10" s="11">
        <v>-126000</v>
      </c>
      <c r="AM10" s="11"/>
      <c r="AN10" s="11"/>
      <c r="AP10" s="11">
        <v>-130375</v>
      </c>
      <c r="AQ10" s="11"/>
      <c r="AR10" s="11"/>
      <c r="AT10" s="11">
        <v>-126000</v>
      </c>
      <c r="AU10" s="11"/>
      <c r="AV10" s="11"/>
      <c r="AX10" s="11">
        <v>-130200</v>
      </c>
      <c r="AY10" s="11"/>
      <c r="AZ10" s="11"/>
    </row>
    <row r="11" spans="1:52">
      <c r="A11" t="s">
        <v>61</v>
      </c>
      <c r="B11" s="20">
        <f>SUM(F11:AZ11)</f>
        <v>-22419906</v>
      </c>
      <c r="F11" s="11">
        <v>-1877965</v>
      </c>
      <c r="G11" s="11"/>
      <c r="H11" s="11"/>
      <c r="I11" s="10"/>
      <c r="J11" s="11">
        <v>-1587997</v>
      </c>
      <c r="K11" s="11"/>
      <c r="L11" s="11"/>
      <c r="M11" s="10"/>
      <c r="N11" s="11">
        <v>-1915992</v>
      </c>
      <c r="O11" s="11"/>
      <c r="P11" s="11"/>
      <c r="Q11" s="10"/>
      <c r="R11" s="11">
        <v>-1848650</v>
      </c>
      <c r="S11" s="11"/>
      <c r="T11" s="11"/>
      <c r="U11" s="11"/>
      <c r="V11" s="11">
        <v>-1621518</v>
      </c>
      <c r="W11" s="11"/>
      <c r="X11" s="11"/>
      <c r="Z11" s="11">
        <v>-1789893</v>
      </c>
      <c r="AA11" s="11"/>
      <c r="AB11" s="11"/>
      <c r="AD11" s="11">
        <v>-2124926</v>
      </c>
      <c r="AE11" s="11"/>
      <c r="AF11" s="11"/>
      <c r="AH11" s="11">
        <v>-1796588</v>
      </c>
      <c r="AI11" s="11"/>
      <c r="AJ11" s="11"/>
      <c r="AL11" s="11">
        <v>-1888265</v>
      </c>
      <c r="AM11" s="11"/>
      <c r="AN11" s="11"/>
      <c r="AP11" s="11">
        <v>-2084152</v>
      </c>
      <c r="AQ11" s="11"/>
      <c r="AR11" s="11"/>
      <c r="AT11" s="11">
        <v>-1874188</v>
      </c>
      <c r="AU11" s="11"/>
      <c r="AV11" s="11"/>
      <c r="AX11" s="11">
        <v>-2009772</v>
      </c>
      <c r="AY11" s="11"/>
      <c r="AZ11" s="11"/>
    </row>
    <row r="12" spans="1:52">
      <c r="F12" s="11"/>
      <c r="G12" s="11"/>
      <c r="H12" s="11"/>
      <c r="I12" s="10"/>
      <c r="J12" s="11"/>
      <c r="K12" s="11"/>
      <c r="L12" s="11"/>
      <c r="M12" s="10"/>
      <c r="N12" s="11"/>
      <c r="O12" s="11"/>
      <c r="P12" s="11"/>
      <c r="Q12" s="10"/>
      <c r="R12" s="11"/>
      <c r="S12" s="11"/>
      <c r="T12" s="11"/>
      <c r="U12" s="11"/>
      <c r="V12" s="11"/>
      <c r="W12" s="11"/>
      <c r="X12" s="11"/>
      <c r="Z12" s="11"/>
      <c r="AA12" s="11"/>
      <c r="AB12" s="11"/>
      <c r="AD12" s="11"/>
      <c r="AE12" s="11"/>
      <c r="AF12" s="11"/>
      <c r="AH12" s="11"/>
      <c r="AI12" s="11"/>
      <c r="AJ12" s="11"/>
      <c r="AL12" s="11"/>
      <c r="AM12" s="11"/>
      <c r="AN12" s="11"/>
      <c r="AP12" s="11"/>
      <c r="AQ12" s="11"/>
      <c r="AR12" s="11"/>
      <c r="AT12" s="11"/>
      <c r="AU12" s="11"/>
      <c r="AV12" s="11"/>
      <c r="AX12" s="11"/>
      <c r="AY12" s="11"/>
      <c r="AZ12" s="11"/>
    </row>
    <row r="13" spans="1:52">
      <c r="A13" t="e">
        <f>#REF!</f>
        <v>#REF!</v>
      </c>
      <c r="B13" s="10">
        <f>SUM(B4:B11)</f>
        <v>129659324</v>
      </c>
      <c r="C13" s="10" t="e">
        <f>SUM(C4:C11)</f>
        <v>#REF!</v>
      </c>
      <c r="D13" s="54" t="e">
        <f>B13-C13</f>
        <v>#REF!</v>
      </c>
      <c r="F13" s="10">
        <f>SUM(F4:F11)</f>
        <v>17002559</v>
      </c>
      <c r="G13" s="10" t="e">
        <f>SUM(G4:G8)</f>
        <v>#REF!</v>
      </c>
      <c r="H13" s="54" t="e">
        <f>F13-G13</f>
        <v>#REF!</v>
      </c>
      <c r="I13" s="10"/>
      <c r="J13" s="10">
        <f>SUM(J4:J11)</f>
        <v>13369377</v>
      </c>
      <c r="K13" s="10" t="e">
        <f>SUM(K4:K8)</f>
        <v>#REF!</v>
      </c>
      <c r="L13" s="54" t="e">
        <f>J13-K13</f>
        <v>#REF!</v>
      </c>
      <c r="M13" s="10"/>
      <c r="N13" s="10">
        <f>SUM(N4:N11)</f>
        <v>10820740</v>
      </c>
      <c r="O13" s="10" t="e">
        <f>SUM(O4:O8)</f>
        <v>#REF!</v>
      </c>
      <c r="P13" s="54" t="e">
        <f>N13-O13</f>
        <v>#REF!</v>
      </c>
      <c r="Q13" s="10"/>
      <c r="R13" s="10">
        <f>SUM(R4:R11)</f>
        <v>985283</v>
      </c>
      <c r="S13" s="10" t="e">
        <f>SUM(S4:S8)</f>
        <v>#REF!</v>
      </c>
      <c r="T13" s="54" t="e">
        <f>R13-S13</f>
        <v>#REF!</v>
      </c>
      <c r="U13" s="11"/>
      <c r="V13" s="10">
        <f>SUM(V4:V11)</f>
        <v>-3818835</v>
      </c>
      <c r="W13" s="10" t="e">
        <f>SUM(W4:W8)</f>
        <v>#REF!</v>
      </c>
      <c r="X13" s="54" t="e">
        <f>V13-W13</f>
        <v>#REF!</v>
      </c>
      <c r="Z13" s="10">
        <f>SUM(Z4:Z11)</f>
        <v>-4682742</v>
      </c>
      <c r="AA13" s="10" t="e">
        <f>SUM(AA4:AA8)</f>
        <v>#REF!</v>
      </c>
      <c r="AB13" s="54" t="e">
        <f>Z13-AA13</f>
        <v>#REF!</v>
      </c>
      <c r="AD13" s="10">
        <f>SUM(AD4:AD11)</f>
        <v>4377775</v>
      </c>
      <c r="AE13" s="10" t="e">
        <f>SUM(AE4:AE8)</f>
        <v>#REF!</v>
      </c>
      <c r="AF13" s="54" t="e">
        <f>AD13-AE13</f>
        <v>#REF!</v>
      </c>
      <c r="AH13" s="10">
        <f>SUM(AH4:AH11)</f>
        <v>19939602</v>
      </c>
      <c r="AI13" s="10" t="e">
        <f>SUM(AI4:AI8)</f>
        <v>#REF!</v>
      </c>
      <c r="AJ13" s="54" t="e">
        <f>AH13-AI13</f>
        <v>#REF!</v>
      </c>
      <c r="AL13" s="10">
        <f>SUM(AL4:AL11)</f>
        <v>15963745</v>
      </c>
      <c r="AM13" s="10" t="e">
        <f>SUM(AM4:AM8)</f>
        <v>#REF!</v>
      </c>
      <c r="AN13" s="54" t="e">
        <f>AL13-AM13</f>
        <v>#REF!</v>
      </c>
      <c r="AP13" s="10">
        <f>SUM(AP4:AP11)</f>
        <v>20983370</v>
      </c>
      <c r="AQ13" s="10" t="e">
        <f>SUM(AQ4:AQ8)</f>
        <v>#REF!</v>
      </c>
      <c r="AR13" s="54" t="e">
        <f>AP13-AQ13</f>
        <v>#REF!</v>
      </c>
      <c r="AT13" s="10">
        <f>SUM(AT4:AT11)</f>
        <v>14349663</v>
      </c>
      <c r="AU13" s="10" t="e">
        <f>SUM(AU4:AU8)</f>
        <v>#REF!</v>
      </c>
      <c r="AV13" s="54" t="e">
        <f>AT13-AU13</f>
        <v>#REF!</v>
      </c>
      <c r="AX13" s="10">
        <f>SUM(AX4:AX11)</f>
        <v>20368787</v>
      </c>
      <c r="AY13" s="10" t="e">
        <f>SUM(AY4:AY8)</f>
        <v>#REF!</v>
      </c>
      <c r="AZ13" s="54" t="e">
        <f>AX13-AY13</f>
        <v>#REF!</v>
      </c>
    </row>
    <row r="14" spans="1:52"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1"/>
      <c r="V14" s="10"/>
      <c r="W14" s="10"/>
      <c r="X14" s="10"/>
      <c r="Z14" s="10"/>
      <c r="AA14" s="10"/>
      <c r="AB14" s="10"/>
      <c r="AD14" s="10"/>
      <c r="AE14" s="10"/>
      <c r="AF14" s="10"/>
      <c r="AH14" s="10"/>
      <c r="AI14" s="10"/>
      <c r="AJ14" s="10"/>
      <c r="AL14" s="10"/>
      <c r="AM14" s="10"/>
      <c r="AN14" s="10"/>
      <c r="AP14" s="10"/>
      <c r="AQ14" s="10"/>
      <c r="AR14" s="10"/>
      <c r="AT14" s="10"/>
      <c r="AU14" s="10"/>
      <c r="AV14" s="10"/>
      <c r="AX14" s="10"/>
      <c r="AY14" s="10"/>
      <c r="AZ14" s="10"/>
    </row>
    <row r="15" spans="1:52">
      <c r="A15" s="3" t="s">
        <v>59</v>
      </c>
      <c r="B15" s="25">
        <f>B13*0.6516</f>
        <v>84486016</v>
      </c>
      <c r="C15" s="25" t="e">
        <f>C13*0.6516</f>
        <v>#REF!</v>
      </c>
      <c r="D15" s="11" t="e">
        <f>B15-C15</f>
        <v>#REF!</v>
      </c>
      <c r="E15" s="3"/>
      <c r="F15" s="25">
        <f>F13*0.6516</f>
        <v>11078867</v>
      </c>
      <c r="G15" s="25" t="e">
        <f>G13*0.6516</f>
        <v>#REF!</v>
      </c>
      <c r="H15" s="11" t="e">
        <f>F15-G15</f>
        <v>#REF!</v>
      </c>
      <c r="I15" s="10"/>
      <c r="J15" s="25">
        <f>J13*0.6516</f>
        <v>8711486</v>
      </c>
      <c r="K15" s="25" t="e">
        <f>K13*0.6516</f>
        <v>#REF!</v>
      </c>
      <c r="L15" s="11" t="e">
        <f>J15-K15</f>
        <v>#REF!</v>
      </c>
      <c r="M15" s="10"/>
      <c r="N15" s="25">
        <f>N13*0.6516</f>
        <v>7050794</v>
      </c>
      <c r="O15" s="25" t="e">
        <f>O13*0.6516</f>
        <v>#REF!</v>
      </c>
      <c r="P15" s="11" t="e">
        <f>N15-O15</f>
        <v>#REF!</v>
      </c>
      <c r="Q15" s="10"/>
      <c r="R15" s="25">
        <f>R13*0.6516</f>
        <v>642010</v>
      </c>
      <c r="S15" s="25" t="e">
        <f>S13*0.6516</f>
        <v>#REF!</v>
      </c>
      <c r="T15" s="11" t="e">
        <f>R15-S15</f>
        <v>#REF!</v>
      </c>
      <c r="U15" s="11"/>
      <c r="V15" s="25">
        <f>V13*0.6516</f>
        <v>-2488353</v>
      </c>
      <c r="W15" s="25" t="e">
        <f>W13*0.6516</f>
        <v>#REF!</v>
      </c>
      <c r="X15" s="11" t="e">
        <f>V15-W15</f>
        <v>#REF!</v>
      </c>
      <c r="Z15" s="25">
        <f>Z13*0.6516</f>
        <v>-3051275</v>
      </c>
      <c r="AA15" s="25" t="e">
        <f>AA13*0.6516</f>
        <v>#REF!</v>
      </c>
      <c r="AB15" s="11" t="e">
        <f>Z15-AA15</f>
        <v>#REF!</v>
      </c>
      <c r="AD15" s="25">
        <f>AD13*0.6516</f>
        <v>2852558</v>
      </c>
      <c r="AE15" s="25" t="e">
        <f>AE13*0.6516</f>
        <v>#REF!</v>
      </c>
      <c r="AF15" s="11" t="e">
        <f>AD15-AE15</f>
        <v>#REF!</v>
      </c>
      <c r="AH15" s="25">
        <f>AH13*0.6516</f>
        <v>12992645</v>
      </c>
      <c r="AI15" s="25" t="e">
        <f>AI13*0.6516</f>
        <v>#REF!</v>
      </c>
      <c r="AJ15" s="11" t="e">
        <f>AH15-AI15</f>
        <v>#REF!</v>
      </c>
      <c r="AL15" s="25">
        <f>AL13*0.6516</f>
        <v>10401976</v>
      </c>
      <c r="AM15" s="25" t="e">
        <f>AM13*0.6516</f>
        <v>#REF!</v>
      </c>
      <c r="AN15" s="11" t="e">
        <f>AL15-AM15</f>
        <v>#REF!</v>
      </c>
      <c r="AP15" s="25">
        <f>AP13*0.6516</f>
        <v>13672764</v>
      </c>
      <c r="AQ15" s="25" t="e">
        <f>AQ13*0.6516</f>
        <v>#REF!</v>
      </c>
      <c r="AR15" s="11" t="e">
        <f>AP15-AQ15</f>
        <v>#REF!</v>
      </c>
      <c r="AT15" s="25">
        <f>AT13*0.6516</f>
        <v>9350240</v>
      </c>
      <c r="AU15" s="25" t="e">
        <f>AU13*0.6516</f>
        <v>#REF!</v>
      </c>
      <c r="AV15" s="11" t="e">
        <f>AT15-AU15</f>
        <v>#REF!</v>
      </c>
      <c r="AX15" s="25">
        <f>AX13*0.6516</f>
        <v>13272302</v>
      </c>
      <c r="AY15" s="25" t="e">
        <f>AY13*0.6516</f>
        <v>#REF!</v>
      </c>
      <c r="AZ15" s="11" t="e">
        <f>AX15-AY15</f>
        <v>#REF!</v>
      </c>
    </row>
    <row r="16" spans="1:52">
      <c r="A16" t="s">
        <v>40</v>
      </c>
      <c r="B16" s="20">
        <f>SUM(F16,J16,N16,R16,V16,Z16,AD16,AH16,AL16,AP16,AT16,AX16)</f>
        <v>-9954077</v>
      </c>
      <c r="D16" s="11">
        <f>B16-C16</f>
        <v>-9954077</v>
      </c>
      <c r="F16" s="10">
        <v>-1021784</v>
      </c>
      <c r="G16" s="10"/>
      <c r="H16" s="11">
        <f>F16-G16</f>
        <v>-1021784</v>
      </c>
      <c r="I16" s="10"/>
      <c r="J16" s="10">
        <v>145512</v>
      </c>
      <c r="K16" s="10"/>
      <c r="L16" s="11">
        <f>J16-K16</f>
        <v>145512</v>
      </c>
      <c r="M16" s="10"/>
      <c r="N16" s="10">
        <v>-389601</v>
      </c>
      <c r="O16" s="10"/>
      <c r="P16" s="11">
        <f>N16-O16</f>
        <v>-389601</v>
      </c>
      <c r="Q16" s="10"/>
      <c r="R16" s="10">
        <v>-648479</v>
      </c>
      <c r="S16" s="10"/>
      <c r="T16" s="11">
        <f>R16-S16</f>
        <v>-648479</v>
      </c>
      <c r="U16" s="11"/>
      <c r="V16" s="10">
        <v>-1000049</v>
      </c>
      <c r="W16" s="10"/>
      <c r="X16" s="11">
        <f>V16-W16</f>
        <v>-1000049</v>
      </c>
      <c r="Z16" s="10">
        <v>-1458084</v>
      </c>
      <c r="AA16" s="10"/>
      <c r="AB16" s="11">
        <f>Z16-AA16</f>
        <v>-1458084</v>
      </c>
      <c r="AD16" s="10">
        <v>-1911136</v>
      </c>
      <c r="AE16" s="10"/>
      <c r="AF16" s="11">
        <f>AD16-AE16</f>
        <v>-1911136</v>
      </c>
      <c r="AH16" s="10">
        <v>-972212</v>
      </c>
      <c r="AI16" s="10"/>
      <c r="AJ16" s="11">
        <f>AH16-AI16</f>
        <v>-972212</v>
      </c>
      <c r="AL16" s="10">
        <v>-622762</v>
      </c>
      <c r="AM16" s="10"/>
      <c r="AN16" s="11">
        <f>AL16-AM16</f>
        <v>-622762</v>
      </c>
      <c r="AP16" s="10">
        <v>-42449</v>
      </c>
      <c r="AQ16" s="10"/>
      <c r="AR16" s="11">
        <f>AP16-AQ16</f>
        <v>-42449</v>
      </c>
      <c r="AT16" s="10">
        <v>-1086605</v>
      </c>
      <c r="AU16" s="10"/>
      <c r="AV16" s="11">
        <f>AT16-AU16</f>
        <v>-1086605</v>
      </c>
      <c r="AX16" s="10">
        <v>-946428</v>
      </c>
      <c r="AY16" s="10"/>
      <c r="AZ16" s="11">
        <f>AX16-AY16</f>
        <v>-946428</v>
      </c>
    </row>
    <row r="17" spans="1:53">
      <c r="A17" s="33" t="e">
        <f>#REF!</f>
        <v>#REF!</v>
      </c>
      <c r="B17" s="20">
        <f>SUM(F17,J17,N17,R17,V17,Z17,AD17,AH17,AL17,AP17,AT17,AX17)</f>
        <v>391512</v>
      </c>
      <c r="C17" s="33"/>
      <c r="D17" s="11">
        <f>B17-C17</f>
        <v>391512</v>
      </c>
      <c r="E17" s="33"/>
      <c r="F17" s="10">
        <v>32626</v>
      </c>
      <c r="G17" s="10"/>
      <c r="H17" s="11">
        <f>F17-G17</f>
        <v>32626</v>
      </c>
      <c r="I17" s="10"/>
      <c r="J17" s="10">
        <v>32626</v>
      </c>
      <c r="K17" s="10"/>
      <c r="L17" s="11">
        <f>J17-K17</f>
        <v>32626</v>
      </c>
      <c r="M17" s="10"/>
      <c r="N17" s="10">
        <v>32626</v>
      </c>
      <c r="O17" s="10"/>
      <c r="P17" s="11">
        <f>N17-O17</f>
        <v>32626</v>
      </c>
      <c r="Q17" s="10"/>
      <c r="R17" s="10">
        <v>32626</v>
      </c>
      <c r="S17" s="10"/>
      <c r="T17" s="11">
        <f>R17-S17</f>
        <v>32626</v>
      </c>
      <c r="U17" s="11"/>
      <c r="V17" s="10">
        <v>32626</v>
      </c>
      <c r="W17" s="10"/>
      <c r="X17" s="11">
        <f>V17-W17</f>
        <v>32626</v>
      </c>
      <c r="Z17" s="10">
        <v>32626</v>
      </c>
      <c r="AA17" s="10"/>
      <c r="AB17" s="11">
        <f>Z17-AA17</f>
        <v>32626</v>
      </c>
      <c r="AD17" s="10">
        <v>32626</v>
      </c>
      <c r="AE17" s="10"/>
      <c r="AF17" s="11">
        <f>AD17-AE17</f>
        <v>32626</v>
      </c>
      <c r="AH17" s="10">
        <v>32626</v>
      </c>
      <c r="AI17" s="10"/>
      <c r="AJ17" s="11">
        <f>AH17-AI17</f>
        <v>32626</v>
      </c>
      <c r="AL17" s="10">
        <v>32626</v>
      </c>
      <c r="AM17" s="10"/>
      <c r="AN17" s="11">
        <f>AL17-AM17</f>
        <v>32626</v>
      </c>
      <c r="AP17" s="10">
        <v>32626</v>
      </c>
      <c r="AQ17" s="10"/>
      <c r="AR17" s="11">
        <f>AP17-AQ17</f>
        <v>32626</v>
      </c>
      <c r="AT17" s="10">
        <v>32626</v>
      </c>
      <c r="AU17" s="10"/>
      <c r="AV17" s="11">
        <f>AT17-AU17</f>
        <v>32626</v>
      </c>
      <c r="AX17" s="10">
        <v>32626</v>
      </c>
      <c r="AY17" s="10"/>
      <c r="AZ17" s="11">
        <f>AX17-AY17</f>
        <v>32626</v>
      </c>
    </row>
    <row r="18" spans="1:53"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1"/>
      <c r="V18" s="10"/>
      <c r="W18" s="10"/>
      <c r="X18" s="10"/>
      <c r="Z18" s="10"/>
      <c r="AA18" s="10"/>
      <c r="AB18" s="10"/>
      <c r="AD18" s="10"/>
      <c r="AE18" s="10"/>
      <c r="AF18" s="10"/>
      <c r="AH18" s="10"/>
      <c r="AI18" s="10"/>
      <c r="AJ18" s="10"/>
      <c r="AL18" s="10"/>
      <c r="AM18" s="10"/>
      <c r="AN18" s="10"/>
      <c r="AP18" s="10"/>
      <c r="AQ18" s="10"/>
      <c r="AR18" s="10"/>
      <c r="AT18" s="10"/>
      <c r="AU18" s="10"/>
      <c r="AV18" s="10"/>
      <c r="AX18" s="10"/>
      <c r="AY18" s="10"/>
      <c r="AZ18" s="10"/>
    </row>
    <row r="19" spans="1:53">
      <c r="A19" t="s">
        <v>49</v>
      </c>
      <c r="D19" s="49" t="e">
        <f>D15+D16+D17</f>
        <v>#REF!</v>
      </c>
      <c r="F19" s="10"/>
      <c r="G19" s="10"/>
      <c r="H19" s="49" t="e">
        <f>H15+H16+H17</f>
        <v>#REF!</v>
      </c>
      <c r="I19" s="49"/>
      <c r="J19" s="49"/>
      <c r="K19" s="49"/>
      <c r="L19" s="49" t="e">
        <f>L15+L16+L17</f>
        <v>#REF!</v>
      </c>
      <c r="M19" s="49"/>
      <c r="N19" s="49"/>
      <c r="O19" s="49"/>
      <c r="P19" s="49" t="e">
        <f>P15+P16+P17</f>
        <v>#REF!</v>
      </c>
      <c r="Q19" s="49"/>
      <c r="R19" s="49"/>
      <c r="S19" s="49"/>
      <c r="T19" s="49" t="e">
        <f>T15+T16+T17</f>
        <v>#REF!</v>
      </c>
      <c r="U19" s="50"/>
      <c r="V19" s="49"/>
      <c r="W19" s="49"/>
      <c r="X19" s="49" t="e">
        <f>X15+X16+X17</f>
        <v>#REF!</v>
      </c>
      <c r="Y19" s="51"/>
      <c r="Z19" s="49"/>
      <c r="AA19" s="49"/>
      <c r="AB19" s="49" t="e">
        <f>AB15+AB16+AB17</f>
        <v>#REF!</v>
      </c>
      <c r="AC19" s="51"/>
      <c r="AD19" s="49"/>
      <c r="AE19" s="49"/>
      <c r="AF19" s="49" t="e">
        <f>SUM(AF15:AF17)</f>
        <v>#REF!</v>
      </c>
      <c r="AG19" s="51"/>
      <c r="AH19" s="49"/>
      <c r="AI19" s="49"/>
      <c r="AJ19" s="49" t="e">
        <f>SUM(AJ15:AJ17)</f>
        <v>#REF!</v>
      </c>
      <c r="AK19" s="51"/>
      <c r="AL19" s="49"/>
      <c r="AM19" s="49"/>
      <c r="AN19" s="49" t="e">
        <f>SUM(AN15:AN17)</f>
        <v>#REF!</v>
      </c>
      <c r="AO19" s="52"/>
      <c r="AP19" s="49"/>
      <c r="AQ19" s="49" t="e">
        <f>AQ15</f>
        <v>#REF!</v>
      </c>
      <c r="AR19" s="49" t="e">
        <f>SUM(AR15:AR17)</f>
        <v>#REF!</v>
      </c>
      <c r="AS19" s="52"/>
      <c r="AT19" s="49"/>
      <c r="AU19" s="49" t="e">
        <f>AU15</f>
        <v>#REF!</v>
      </c>
      <c r="AV19" s="49" t="e">
        <f>SUM(AV15:AV17)</f>
        <v>#REF!</v>
      </c>
      <c r="AW19" s="52"/>
      <c r="AX19" s="49"/>
      <c r="AY19" s="49" t="e">
        <f>AY15</f>
        <v>#REF!</v>
      </c>
      <c r="AZ19" s="49" t="e">
        <f>SUM(AZ15:AZ17)</f>
        <v>#REF!</v>
      </c>
    </row>
    <row r="20" spans="1:53">
      <c r="F20" s="10"/>
      <c r="G20" s="10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50"/>
      <c r="V20" s="49"/>
      <c r="W20" s="49"/>
      <c r="X20" s="49"/>
      <c r="Y20" s="51"/>
      <c r="Z20" s="49"/>
      <c r="AA20" s="49"/>
      <c r="AB20" s="49"/>
      <c r="AC20" s="51"/>
      <c r="AD20" s="49"/>
      <c r="AE20" s="49"/>
      <c r="AF20" s="49"/>
      <c r="AG20" s="51"/>
      <c r="AH20" s="49"/>
      <c r="AI20" s="49"/>
      <c r="AJ20" s="49"/>
      <c r="AK20" s="51"/>
      <c r="AL20" s="49"/>
      <c r="AM20" s="49"/>
      <c r="AN20" s="49"/>
      <c r="AO20" s="52"/>
      <c r="AP20" s="49"/>
      <c r="AQ20" s="49"/>
      <c r="AR20" s="49"/>
      <c r="AS20" s="52"/>
      <c r="AT20" s="49"/>
      <c r="AU20" s="49"/>
      <c r="AV20" s="49"/>
      <c r="AW20" s="52"/>
      <c r="AX20" s="49"/>
      <c r="AY20" s="49"/>
      <c r="AZ20" s="49"/>
    </row>
    <row r="21" spans="1:53">
      <c r="A21" t="s">
        <v>56</v>
      </c>
      <c r="F21" s="10"/>
      <c r="G21" s="34" t="s">
        <v>55</v>
      </c>
      <c r="H21" s="49" t="e">
        <f>H19</f>
        <v>#REF!</v>
      </c>
      <c r="I21" s="49"/>
      <c r="J21" s="49"/>
      <c r="K21" s="53" t="s">
        <v>55</v>
      </c>
      <c r="L21" s="49" t="e">
        <f>L19</f>
        <v>#REF!</v>
      </c>
      <c r="M21" s="49"/>
      <c r="N21" s="49"/>
      <c r="O21" s="53" t="s">
        <v>55</v>
      </c>
      <c r="P21" s="49" t="e">
        <f>P19</f>
        <v>#REF!</v>
      </c>
      <c r="Q21" s="49"/>
      <c r="R21" s="49"/>
      <c r="S21" s="53" t="s">
        <v>55</v>
      </c>
      <c r="T21" s="49" t="e">
        <f>T19</f>
        <v>#REF!</v>
      </c>
      <c r="U21" s="50"/>
      <c r="V21" s="49"/>
      <c r="W21" s="53" t="s">
        <v>55</v>
      </c>
      <c r="X21" s="49" t="e">
        <f>X19</f>
        <v>#REF!</v>
      </c>
      <c r="Y21" s="51"/>
      <c r="Z21" s="49"/>
      <c r="AA21" s="49" t="s">
        <v>55</v>
      </c>
      <c r="AB21" s="49" t="e">
        <f>AB19</f>
        <v>#REF!</v>
      </c>
      <c r="AC21" s="51"/>
      <c r="AD21" s="49"/>
      <c r="AE21" s="49" t="s">
        <v>55</v>
      </c>
      <c r="AF21" s="49" t="e">
        <f>AF19</f>
        <v>#REF!</v>
      </c>
      <c r="AG21" s="51"/>
      <c r="AH21" s="49"/>
      <c r="AI21" s="49"/>
      <c r="AJ21" s="49" t="s">
        <v>55</v>
      </c>
      <c r="AK21" s="51"/>
      <c r="AL21" s="49"/>
      <c r="AM21" s="49"/>
      <c r="AN21" s="49"/>
      <c r="AO21" s="52"/>
      <c r="AP21" s="49"/>
      <c r="AQ21" s="49"/>
      <c r="AR21" s="49"/>
      <c r="AS21" s="52"/>
      <c r="AT21" s="49"/>
      <c r="AU21" s="49"/>
      <c r="AV21" s="49"/>
      <c r="AW21" s="52"/>
      <c r="AX21" s="49"/>
      <c r="AY21" s="49"/>
      <c r="AZ21" s="49" t="e">
        <f>H19+L19+P19+T19+X19+AB19+AF19+AJ19+AN19+AR19+AV19+AZ19</f>
        <v>#REF!</v>
      </c>
      <c r="BA21" t="s">
        <v>63</v>
      </c>
    </row>
    <row r="22" spans="1:53"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1"/>
      <c r="V22" s="10"/>
      <c r="W22" s="10"/>
      <c r="X22" s="10"/>
      <c r="Z22" s="10"/>
      <c r="AA22" s="10"/>
      <c r="AB22" s="10"/>
      <c r="AD22" s="10"/>
      <c r="AE22" s="10"/>
      <c r="AF22" s="10"/>
      <c r="AH22" s="10"/>
      <c r="AI22" s="10"/>
      <c r="AJ22" s="10"/>
      <c r="AL22" s="10"/>
      <c r="AM22" s="10"/>
      <c r="AN22" s="10"/>
      <c r="AP22" s="10"/>
      <c r="AQ22" s="10"/>
      <c r="AR22" s="10"/>
      <c r="AT22" s="10"/>
      <c r="AU22" s="10"/>
      <c r="AV22" s="10"/>
      <c r="AX22" s="10"/>
      <c r="AY22" s="10"/>
      <c r="AZ22" s="10"/>
    </row>
    <row r="23" spans="1:53">
      <c r="A23" t="s">
        <v>50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1"/>
      <c r="V23" s="10"/>
      <c r="W23" s="10"/>
      <c r="X23" s="25"/>
      <c r="Z23" s="10"/>
      <c r="AA23" s="10"/>
      <c r="AB23" s="25"/>
      <c r="AD23" s="10"/>
      <c r="AE23" s="10"/>
      <c r="AF23" s="25"/>
      <c r="AH23" s="10"/>
      <c r="AI23" s="10"/>
      <c r="AJ23" s="10"/>
      <c r="AL23" s="10"/>
      <c r="AM23" s="10"/>
      <c r="AN23" s="25"/>
      <c r="AP23" s="10"/>
      <c r="AQ23" s="10"/>
      <c r="AR23" s="25"/>
      <c r="AT23" s="10"/>
      <c r="AU23" s="10"/>
      <c r="AV23" s="25"/>
      <c r="AX23" s="10"/>
      <c r="AY23" s="10"/>
      <c r="AZ23" s="25"/>
    </row>
    <row r="24" spans="1:53"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1"/>
      <c r="V24" s="10"/>
      <c r="W24" s="10"/>
      <c r="X24" s="10"/>
      <c r="Z24" s="10"/>
      <c r="AA24" s="10"/>
      <c r="AB24" s="10"/>
      <c r="AD24" s="10"/>
      <c r="AE24" s="10"/>
      <c r="AF24" s="10"/>
      <c r="AH24" s="10"/>
      <c r="AI24" s="10"/>
      <c r="AJ24" s="10"/>
      <c r="AL24" s="10"/>
      <c r="AM24" s="10"/>
      <c r="AN24" s="10"/>
      <c r="AP24" s="10"/>
      <c r="AQ24" s="10"/>
      <c r="AR24" s="10"/>
      <c r="AT24" s="10"/>
      <c r="AU24" s="10"/>
      <c r="AV24" s="10"/>
      <c r="AX24" s="10"/>
      <c r="AY24" s="10"/>
      <c r="AZ24" s="10"/>
    </row>
    <row r="25" spans="1:53"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1"/>
      <c r="V25" s="10"/>
      <c r="W25" s="10"/>
      <c r="X25" s="10"/>
      <c r="Z25" s="10"/>
      <c r="AA25" s="10"/>
      <c r="AB25" s="10"/>
      <c r="AD25" s="10"/>
      <c r="AE25" s="10"/>
      <c r="AF25" s="10"/>
      <c r="AH25" s="10"/>
      <c r="AI25" s="10"/>
      <c r="AJ25" s="10"/>
      <c r="AL25" s="10"/>
      <c r="AM25" s="10"/>
      <c r="AN25" s="10"/>
      <c r="AP25" s="10"/>
      <c r="AQ25" s="10"/>
      <c r="AR25" s="10"/>
      <c r="AT25" s="10"/>
      <c r="AU25" s="10"/>
      <c r="AV25" s="10"/>
      <c r="AX25" s="10"/>
      <c r="AY25" s="10"/>
      <c r="AZ25" s="10"/>
    </row>
    <row r="26" spans="1:53">
      <c r="A26" s="6" t="s">
        <v>41</v>
      </c>
      <c r="B26" s="32"/>
      <c r="C26" s="32"/>
      <c r="D26" s="32"/>
      <c r="E26" s="32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1"/>
      <c r="V26" s="10"/>
      <c r="W26" s="10"/>
      <c r="X26" s="10"/>
      <c r="Z26" s="10"/>
      <c r="AA26" s="10"/>
      <c r="AB26" s="10"/>
      <c r="AD26" s="10"/>
      <c r="AE26" s="10"/>
      <c r="AF26" s="10"/>
      <c r="AH26" s="10"/>
      <c r="AI26" s="10"/>
      <c r="AJ26" s="10"/>
      <c r="AL26" s="10"/>
      <c r="AM26" s="10"/>
      <c r="AN26" s="10"/>
      <c r="AP26" s="10"/>
      <c r="AQ26" s="10"/>
      <c r="AR26" s="10"/>
      <c r="AT26" s="10"/>
      <c r="AU26" s="10"/>
      <c r="AV26" s="10"/>
      <c r="AX26" s="10"/>
      <c r="AY26" s="10"/>
      <c r="AZ26" s="10"/>
    </row>
    <row r="27" spans="1:53">
      <c r="A27" s="32"/>
      <c r="B27" s="32"/>
      <c r="C27" s="32"/>
      <c r="D27" s="32"/>
      <c r="E27" s="3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1"/>
      <c r="V27" s="10"/>
      <c r="W27" s="10"/>
      <c r="X27" s="10"/>
      <c r="Z27" s="10"/>
      <c r="AA27" s="10"/>
      <c r="AB27" s="10"/>
      <c r="AD27" s="10"/>
      <c r="AE27" s="10"/>
      <c r="AF27" s="10"/>
      <c r="AH27" s="10"/>
      <c r="AI27" s="10"/>
      <c r="AJ27" s="10"/>
      <c r="AL27" s="10"/>
      <c r="AM27" s="10"/>
      <c r="AN27" s="10"/>
      <c r="AP27" s="10"/>
      <c r="AQ27" s="10"/>
      <c r="AR27" s="10"/>
      <c r="AT27" s="10"/>
      <c r="AU27" s="10"/>
      <c r="AV27" s="10"/>
      <c r="AX27" s="10"/>
      <c r="AY27" s="10"/>
      <c r="AZ27" s="10"/>
    </row>
    <row r="28" spans="1:53">
      <c r="A28" s="32" t="s">
        <v>95</v>
      </c>
      <c r="B28" s="62">
        <f>B31/8760</f>
        <v>1024.7</v>
      </c>
      <c r="C28" s="62">
        <f>C31/8760</f>
        <v>959.2</v>
      </c>
      <c r="D28" s="60">
        <f>C28-B28</f>
        <v>-65.5</v>
      </c>
      <c r="E28" s="3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1"/>
      <c r="V28" s="10"/>
      <c r="W28" s="10"/>
      <c r="X28" s="10"/>
      <c r="Z28" s="10"/>
      <c r="AA28" s="10"/>
      <c r="AB28" s="10"/>
      <c r="AD28" s="10"/>
      <c r="AE28" s="10"/>
      <c r="AF28" s="10"/>
      <c r="AH28" s="10"/>
      <c r="AI28" s="10"/>
      <c r="AJ28" s="10"/>
      <c r="AL28" s="10"/>
      <c r="AM28" s="10"/>
      <c r="AN28" s="10"/>
      <c r="AP28" s="10"/>
      <c r="AQ28" s="10"/>
      <c r="AR28" s="10"/>
      <c r="AT28" s="10"/>
      <c r="AU28" s="10"/>
      <c r="AV28" s="10"/>
      <c r="AX28" s="10"/>
      <c r="AY28" s="10"/>
      <c r="AZ28" s="10"/>
    </row>
    <row r="29" spans="1:53">
      <c r="A29" t="s">
        <v>94</v>
      </c>
      <c r="B29" s="59">
        <f>B30/8760</f>
        <v>545</v>
      </c>
      <c r="C29" s="59">
        <f>C30/8760</f>
        <v>503.7</v>
      </c>
      <c r="D29" s="61">
        <f>B29-C29</f>
        <v>41.3</v>
      </c>
      <c r="F29" s="10"/>
      <c r="G29" s="10"/>
      <c r="H29" s="42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1"/>
      <c r="V29" s="10"/>
      <c r="W29" s="10"/>
      <c r="X29" s="10"/>
      <c r="Z29" s="10"/>
      <c r="AA29" s="10"/>
      <c r="AB29" s="10"/>
      <c r="AD29" s="10"/>
      <c r="AE29" s="10"/>
      <c r="AF29" s="10"/>
      <c r="AH29" s="10"/>
      <c r="AI29" s="10"/>
      <c r="AJ29" s="10"/>
      <c r="AL29" s="10"/>
      <c r="AM29" s="10"/>
      <c r="AN29" s="10"/>
      <c r="AP29" s="10"/>
      <c r="AQ29" s="10"/>
      <c r="AR29" s="10"/>
      <c r="AT29" s="10"/>
      <c r="AU29" s="10"/>
      <c r="AV29" s="10"/>
      <c r="AX29" s="10"/>
      <c r="AY29" s="10"/>
      <c r="AZ29" s="10"/>
    </row>
    <row r="30" spans="1:53">
      <c r="A30" t="s">
        <v>42</v>
      </c>
      <c r="B30" s="12">
        <f>SUM(F30,J30,N30,R30,V30,Z30,AD30,AH30,AL30,AP30,AT30,AX30)</f>
        <v>4773882</v>
      </c>
      <c r="C30" s="12">
        <f>SUM(G30,K30,O30,S30,W30,AA30,AE30,AI30,AM30,AQ30,AU30,AY30)</f>
        <v>4412300</v>
      </c>
      <c r="D30" s="46">
        <f>B30-C30</f>
        <v>361582</v>
      </c>
      <c r="F30" s="22">
        <v>349531</v>
      </c>
      <c r="G30" s="22">
        <v>311600</v>
      </c>
      <c r="H30" s="46">
        <f>F30-G30</f>
        <v>37931</v>
      </c>
      <c r="J30" s="22">
        <v>352032</v>
      </c>
      <c r="K30" s="22">
        <v>313400</v>
      </c>
      <c r="L30" s="46">
        <f>J30-K30</f>
        <v>38632</v>
      </c>
      <c r="N30" s="22">
        <v>379656</v>
      </c>
      <c r="O30" s="22">
        <v>353500</v>
      </c>
      <c r="P30" s="46">
        <f>N30-O30</f>
        <v>26156</v>
      </c>
      <c r="R30" s="22">
        <v>498497</v>
      </c>
      <c r="S30" s="22">
        <v>425100</v>
      </c>
      <c r="T30" s="46">
        <f>R30-S30</f>
        <v>73397</v>
      </c>
      <c r="V30" s="22">
        <v>698088</v>
      </c>
      <c r="W30" s="22">
        <v>617600</v>
      </c>
      <c r="X30" s="46">
        <f>V30-W30</f>
        <v>80488</v>
      </c>
      <c r="Z30" s="22">
        <v>697424</v>
      </c>
      <c r="AA30" s="22">
        <v>622300</v>
      </c>
      <c r="AB30" s="46">
        <f>Z30-AA30</f>
        <v>75124</v>
      </c>
      <c r="AD30" s="22">
        <v>453192</v>
      </c>
      <c r="AE30" s="22">
        <v>444900</v>
      </c>
      <c r="AF30" s="46">
        <f>AD30-AE30</f>
        <v>8292</v>
      </c>
      <c r="AH30" s="22">
        <v>259896</v>
      </c>
      <c r="AI30" s="22">
        <v>277600</v>
      </c>
      <c r="AJ30" s="46">
        <f>AH30-AI30</f>
        <v>-17704</v>
      </c>
      <c r="AL30" s="22">
        <v>220560</v>
      </c>
      <c r="AM30" s="22">
        <v>171900</v>
      </c>
      <c r="AN30" s="46">
        <f>AL30-AM30</f>
        <v>48660</v>
      </c>
      <c r="AP30" s="22">
        <v>223638</v>
      </c>
      <c r="AQ30" s="22">
        <v>217000</v>
      </c>
      <c r="AR30" s="46">
        <f>AP30-AQ30</f>
        <v>6638</v>
      </c>
      <c r="AT30" s="22">
        <v>291120</v>
      </c>
      <c r="AU30" s="22">
        <v>322400</v>
      </c>
      <c r="AV30" s="46">
        <f>AT30-AU30</f>
        <v>-31280</v>
      </c>
      <c r="AX30" s="22">
        <v>350248</v>
      </c>
      <c r="AY30" s="22">
        <v>335000</v>
      </c>
      <c r="AZ30" s="46">
        <f>AX30-AY30</f>
        <v>15248</v>
      </c>
    </row>
    <row r="31" spans="1:53">
      <c r="A31" t="s">
        <v>87</v>
      </c>
      <c r="B31" s="12">
        <f>SUM(F31,J31,N31,R31,V31,Z31,AD31,AH31,AL31,AP31,AT31,AX31)</f>
        <v>8976405</v>
      </c>
      <c r="C31" s="12">
        <f>SUM(G31,K31,O31,S31,W31,AA31,AE31,AI31,AM31,AQ31,AU31,AY31)</f>
        <v>8402700</v>
      </c>
      <c r="D31" s="46">
        <f>C31-B31</f>
        <v>-573705</v>
      </c>
      <c r="F31" s="22">
        <f>919303-43775</f>
        <v>875528</v>
      </c>
      <c r="G31" s="22">
        <v>819800</v>
      </c>
      <c r="H31" s="46">
        <f>G31-F31</f>
        <v>-55728</v>
      </c>
      <c r="J31" s="22">
        <f>818916-36999</f>
        <v>781917</v>
      </c>
      <c r="K31" s="22">
        <v>694500</v>
      </c>
      <c r="L31" s="46">
        <f>K31-J31</f>
        <v>-87417</v>
      </c>
      <c r="N31" s="22">
        <f>836776-(24986+19655)</f>
        <v>792135</v>
      </c>
      <c r="O31" s="22">
        <v>723400</v>
      </c>
      <c r="P31" s="46">
        <f>O31-N31</f>
        <v>-68735</v>
      </c>
      <c r="R31" s="22">
        <f>727001-(25082+17990)</f>
        <v>683929</v>
      </c>
      <c r="S31" s="22">
        <v>641200</v>
      </c>
      <c r="T31" s="46">
        <f>S31-R31</f>
        <v>-42729</v>
      </c>
      <c r="V31" s="22">
        <f>707463-(21153+16627)</f>
        <v>669683</v>
      </c>
      <c r="W31" s="22">
        <v>630300</v>
      </c>
      <c r="X31" s="46">
        <f>W31-V31</f>
        <v>-39383</v>
      </c>
      <c r="Z31" s="22">
        <f>687851-(23096+18607)</f>
        <v>646148</v>
      </c>
      <c r="AA31" s="22">
        <v>630500</v>
      </c>
      <c r="AB31" s="46">
        <f>AA31-Z31</f>
        <v>-15648</v>
      </c>
      <c r="AD31" s="22">
        <f>780016-(27601+21908)</f>
        <v>730507</v>
      </c>
      <c r="AE31" s="22">
        <v>681000</v>
      </c>
      <c r="AF31" s="46">
        <f>AE31-AD31</f>
        <v>-49507</v>
      </c>
      <c r="AH31" s="22">
        <f>811898-(23969+17890)</f>
        <v>770039</v>
      </c>
      <c r="AI31" s="22">
        <v>675700</v>
      </c>
      <c r="AJ31" s="46">
        <f>AI31-AH31</f>
        <v>-94339</v>
      </c>
      <c r="AL31" s="22">
        <f>716515-(23561+20434)</f>
        <v>672520</v>
      </c>
      <c r="AM31" s="22">
        <v>637900</v>
      </c>
      <c r="AN31" s="46">
        <f>AM31-AL31</f>
        <v>-34620</v>
      </c>
      <c r="AP31" s="22">
        <f>792722-(28196+20363)</f>
        <v>744163</v>
      </c>
      <c r="AQ31" s="22">
        <v>685600</v>
      </c>
      <c r="AR31" s="46">
        <f>AQ31-AP31</f>
        <v>-58563</v>
      </c>
      <c r="AT31" s="22">
        <f>778802-(23990+19677)</f>
        <v>735135</v>
      </c>
      <c r="AU31" s="22">
        <v>740300</v>
      </c>
      <c r="AV31" s="46">
        <f>AU31-AT31</f>
        <v>5165</v>
      </c>
      <c r="AX31" s="22">
        <f>921527-(25293+21533)</f>
        <v>874701</v>
      </c>
      <c r="AY31" s="22">
        <v>842500</v>
      </c>
      <c r="AZ31" s="46">
        <f>AY31-AX31</f>
        <v>-32201</v>
      </c>
    </row>
    <row r="32" spans="1:53">
      <c r="F32" s="22"/>
      <c r="G32" s="22"/>
      <c r="H32" s="22"/>
      <c r="J32" s="22"/>
      <c r="K32" s="22"/>
      <c r="L32" s="22"/>
      <c r="N32" s="22"/>
      <c r="O32" s="22"/>
      <c r="P32" s="22"/>
      <c r="R32" s="22"/>
      <c r="S32" s="22"/>
      <c r="T32" s="22"/>
      <c r="V32" s="22"/>
      <c r="W32" s="22"/>
      <c r="X32" s="22"/>
      <c r="Z32" s="22"/>
      <c r="AA32" s="22"/>
      <c r="AB32" s="22"/>
      <c r="AD32" s="22"/>
      <c r="AE32" s="22"/>
      <c r="AF32" s="22"/>
      <c r="AH32" s="22"/>
      <c r="AI32" s="22"/>
      <c r="AJ32" s="22"/>
      <c r="AL32" s="22"/>
      <c r="AM32" s="22"/>
      <c r="AN32" s="22"/>
      <c r="AP32" s="22"/>
      <c r="AQ32" s="22"/>
      <c r="AR32" s="22"/>
      <c r="AT32" s="22"/>
      <c r="AU32" s="22"/>
      <c r="AV32" s="22"/>
      <c r="AX32" s="22"/>
      <c r="AY32" s="22"/>
      <c r="AZ32" s="22"/>
    </row>
    <row r="33" spans="1:52">
      <c r="A33" t="s">
        <v>30</v>
      </c>
      <c r="B33" s="12">
        <f>SUM(F33,J33,N33,R33,V33,Z33,AD33,AH33,AL33,AP33,AT33,AX33)</f>
        <v>1614672</v>
      </c>
      <c r="C33" s="12">
        <f>SUM(G33,K33,O33,S33,W33,AA33,AE33,AI33,AM33,AQ33,AU33,AY33)</f>
        <v>1586000</v>
      </c>
      <c r="D33" s="22">
        <f>B33-C33</f>
        <v>28672</v>
      </c>
      <c r="F33" s="22">
        <v>145080</v>
      </c>
      <c r="G33" s="22">
        <v>148000</v>
      </c>
      <c r="H33" s="22">
        <f>F33-G33</f>
        <v>-2920</v>
      </c>
      <c r="I33" s="10"/>
      <c r="J33" s="22">
        <v>131040</v>
      </c>
      <c r="K33" s="22">
        <v>133500</v>
      </c>
      <c r="L33" s="22">
        <f>J33-K33</f>
        <v>-2460</v>
      </c>
      <c r="M33" s="10"/>
      <c r="N33" s="22">
        <v>145080</v>
      </c>
      <c r="O33" s="22">
        <v>136500</v>
      </c>
      <c r="P33" s="22">
        <f>N33-O33</f>
        <v>8580</v>
      </c>
      <c r="Q33" s="10"/>
      <c r="R33" s="22">
        <v>140205</v>
      </c>
      <c r="S33" s="22">
        <v>102100</v>
      </c>
      <c r="T33" s="22">
        <f>R33-S33</f>
        <v>38105</v>
      </c>
      <c r="U33" s="11"/>
      <c r="V33" s="22">
        <v>80352</v>
      </c>
      <c r="W33" s="22">
        <v>88300</v>
      </c>
      <c r="X33" s="22">
        <f>V33-W33</f>
        <v>-7948</v>
      </c>
      <c r="Z33" s="22">
        <v>111600</v>
      </c>
      <c r="AA33" s="22">
        <v>96700</v>
      </c>
      <c r="AB33" s="22">
        <f>Z33-AA33</f>
        <v>14900</v>
      </c>
      <c r="AD33" s="22">
        <v>145080</v>
      </c>
      <c r="AE33" s="22">
        <v>147000</v>
      </c>
      <c r="AF33" s="22">
        <f>AD33-AE33</f>
        <v>-1920</v>
      </c>
      <c r="AH33" s="22">
        <v>145080</v>
      </c>
      <c r="AI33" s="22">
        <v>148700</v>
      </c>
      <c r="AJ33" s="22">
        <f>AH33-AI33</f>
        <v>-3620</v>
      </c>
      <c r="AL33" s="22">
        <v>140400</v>
      </c>
      <c r="AM33" s="22">
        <v>143900</v>
      </c>
      <c r="AN33" s="22">
        <f>AL33-AM33</f>
        <v>-3500</v>
      </c>
      <c r="AP33" s="22">
        <v>145275</v>
      </c>
      <c r="AQ33" s="77">
        <v>148700</v>
      </c>
      <c r="AR33" s="22">
        <f>AP33-AQ33</f>
        <v>-3425</v>
      </c>
      <c r="AT33" s="22">
        <v>140400</v>
      </c>
      <c r="AU33" s="77">
        <v>143900</v>
      </c>
      <c r="AV33" s="22">
        <f>AT33-AU33</f>
        <v>-3500</v>
      </c>
      <c r="AX33" s="22">
        <v>145080</v>
      </c>
      <c r="AY33" s="22">
        <v>148700</v>
      </c>
      <c r="AZ33" s="22">
        <f>AX33-AY33</f>
        <v>-3620</v>
      </c>
    </row>
    <row r="34" spans="1:52">
      <c r="A34" t="s">
        <v>43</v>
      </c>
      <c r="B34" s="12">
        <f t="shared" ref="B34:B39" si="1">SUM(F34,J34,N34,R34,V34,Z34,AD34,AH34,AL34,AP34,AT34,AX34)</f>
        <v>352704</v>
      </c>
      <c r="C34" s="12">
        <f t="shared" ref="C34:C39" si="2">SUM(G34,K34,O34,S34,W34,AA34,AE34,AI34,AM34,AQ34,AU34,AY34)</f>
        <v>357400</v>
      </c>
      <c r="D34" s="22">
        <f t="shared" ref="D34:D40" si="3">B34-C34</f>
        <v>-4696</v>
      </c>
      <c r="F34" s="22">
        <v>32736</v>
      </c>
      <c r="G34" s="22">
        <v>32000</v>
      </c>
      <c r="H34" s="22">
        <f t="shared" ref="H34:H40" si="4">F34-G34</f>
        <v>736</v>
      </c>
      <c r="J34" s="22">
        <v>29568</v>
      </c>
      <c r="K34" s="22">
        <v>28700</v>
      </c>
      <c r="L34" s="22">
        <f t="shared" ref="L34:L40" si="5">J34-K34</f>
        <v>868</v>
      </c>
      <c r="N34" s="22">
        <v>32736</v>
      </c>
      <c r="O34" s="22">
        <v>33800</v>
      </c>
      <c r="P34" s="22">
        <f t="shared" ref="P34:P40" si="6">N34-O34</f>
        <v>-1064</v>
      </c>
      <c r="R34" s="22">
        <v>31636</v>
      </c>
      <c r="S34" s="22">
        <v>32500</v>
      </c>
      <c r="T34" s="22">
        <f t="shared" ref="T34:T40" si="7">R34-S34</f>
        <v>-864</v>
      </c>
      <c r="V34" s="22">
        <v>0</v>
      </c>
      <c r="W34" s="22">
        <v>17200</v>
      </c>
      <c r="X34" s="22">
        <f t="shared" ref="X34:X40" si="8">V34-W34</f>
        <v>-17200</v>
      </c>
      <c r="Z34" s="22">
        <v>31680</v>
      </c>
      <c r="AA34" s="22">
        <v>12200</v>
      </c>
      <c r="AB34" s="22">
        <f t="shared" ref="AB34:AB40" si="9">Z34-AA34</f>
        <v>19480</v>
      </c>
      <c r="AD34" s="22">
        <v>32736</v>
      </c>
      <c r="AE34" s="22">
        <v>32200</v>
      </c>
      <c r="AF34" s="22">
        <f t="shared" ref="AF34:AF40" si="10">AD34-AE34</f>
        <v>536</v>
      </c>
      <c r="AH34" s="22">
        <v>32736</v>
      </c>
      <c r="AI34" s="22">
        <v>34200</v>
      </c>
      <c r="AJ34" s="22">
        <f t="shared" ref="AJ34:AJ40" si="11">AH34-AI34</f>
        <v>-1464</v>
      </c>
      <c r="AL34" s="22">
        <v>31680</v>
      </c>
      <c r="AM34" s="22">
        <v>33100</v>
      </c>
      <c r="AN34" s="22">
        <f t="shared" ref="AN34:AN40" si="12">AL34-AM34</f>
        <v>-1420</v>
      </c>
      <c r="AP34" s="22">
        <v>32780</v>
      </c>
      <c r="AQ34" s="22">
        <v>34200</v>
      </c>
      <c r="AR34" s="22">
        <f t="shared" ref="AR34:AR40" si="13">AP34-AQ34</f>
        <v>-1420</v>
      </c>
      <c r="AT34" s="22">
        <v>31680</v>
      </c>
      <c r="AU34" s="22">
        <v>33100</v>
      </c>
      <c r="AV34" s="22">
        <f t="shared" ref="AV34:AV40" si="14">AT34-AU34</f>
        <v>-1420</v>
      </c>
      <c r="AX34" s="22">
        <v>32736</v>
      </c>
      <c r="AY34" s="22">
        <v>34200</v>
      </c>
      <c r="AZ34" s="22">
        <f t="shared" ref="AZ34:AZ40" si="15">AX34-AY34</f>
        <v>-1464</v>
      </c>
    </row>
    <row r="35" spans="1:52">
      <c r="A35" t="s">
        <v>44</v>
      </c>
      <c r="B35" s="12">
        <f t="shared" si="1"/>
        <v>0</v>
      </c>
      <c r="C35" s="12">
        <f t="shared" si="2"/>
        <v>10900</v>
      </c>
      <c r="D35" s="22">
        <f t="shared" si="3"/>
        <v>-10900</v>
      </c>
      <c r="F35" s="22"/>
      <c r="G35" s="22">
        <v>200</v>
      </c>
      <c r="H35" s="22">
        <f t="shared" si="4"/>
        <v>-200</v>
      </c>
      <c r="J35" s="22"/>
      <c r="K35" s="22">
        <v>100</v>
      </c>
      <c r="L35" s="22">
        <f t="shared" si="5"/>
        <v>-100</v>
      </c>
      <c r="N35" s="22"/>
      <c r="O35" s="22">
        <v>1500</v>
      </c>
      <c r="P35" s="22">
        <f t="shared" si="6"/>
        <v>-1500</v>
      </c>
      <c r="R35" s="22"/>
      <c r="S35" s="22">
        <v>500</v>
      </c>
      <c r="T35" s="22">
        <f t="shared" si="7"/>
        <v>-500</v>
      </c>
      <c r="V35" s="22"/>
      <c r="W35" s="22">
        <v>1600</v>
      </c>
      <c r="X35" s="22">
        <f t="shared" si="8"/>
        <v>-1600</v>
      </c>
      <c r="Z35" s="22"/>
      <c r="AA35" s="22">
        <v>0</v>
      </c>
      <c r="AB35" s="22">
        <f t="shared" si="9"/>
        <v>0</v>
      </c>
      <c r="AD35" s="22"/>
      <c r="AE35" s="22">
        <v>800</v>
      </c>
      <c r="AF35" s="22">
        <f t="shared" si="10"/>
        <v>-800</v>
      </c>
      <c r="AH35" s="22"/>
      <c r="AI35" s="22">
        <v>1500</v>
      </c>
      <c r="AJ35" s="22">
        <f t="shared" si="11"/>
        <v>-1500</v>
      </c>
      <c r="AL35" s="22"/>
      <c r="AM35" s="22">
        <v>1500</v>
      </c>
      <c r="AN35" s="22">
        <f t="shared" si="12"/>
        <v>-1500</v>
      </c>
      <c r="AP35" s="22"/>
      <c r="AQ35" s="22">
        <v>2700</v>
      </c>
      <c r="AR35" s="22">
        <f t="shared" si="13"/>
        <v>-2700</v>
      </c>
      <c r="AT35" s="22"/>
      <c r="AU35" s="22">
        <v>500</v>
      </c>
      <c r="AV35" s="22">
        <f t="shared" si="14"/>
        <v>-500</v>
      </c>
      <c r="AX35" s="22"/>
      <c r="AY35" s="22">
        <v>0</v>
      </c>
      <c r="AZ35" s="22">
        <f t="shared" si="15"/>
        <v>0</v>
      </c>
    </row>
    <row r="36" spans="1:52">
      <c r="A36" t="s">
        <v>45</v>
      </c>
      <c r="B36" s="12">
        <f t="shared" si="1"/>
        <v>0</v>
      </c>
      <c r="C36" s="12">
        <f t="shared" si="2"/>
        <v>0</v>
      </c>
      <c r="D36" s="22">
        <f t="shared" si="3"/>
        <v>0</v>
      </c>
      <c r="F36" s="22">
        <v>0</v>
      </c>
      <c r="G36" s="22">
        <v>0</v>
      </c>
      <c r="H36" s="22">
        <f t="shared" si="4"/>
        <v>0</v>
      </c>
      <c r="J36" s="22">
        <v>0</v>
      </c>
      <c r="K36" s="22">
        <v>0</v>
      </c>
      <c r="L36" s="22">
        <f t="shared" si="5"/>
        <v>0</v>
      </c>
      <c r="N36" s="22">
        <v>0</v>
      </c>
      <c r="O36" s="22">
        <v>0</v>
      </c>
      <c r="P36" s="22">
        <f t="shared" si="6"/>
        <v>0</v>
      </c>
      <c r="R36" s="22">
        <v>0</v>
      </c>
      <c r="S36" s="22">
        <v>0</v>
      </c>
      <c r="T36" s="22">
        <f t="shared" si="7"/>
        <v>0</v>
      </c>
      <c r="V36" s="22">
        <v>0</v>
      </c>
      <c r="W36" s="22">
        <v>0</v>
      </c>
      <c r="X36" s="22">
        <f t="shared" si="8"/>
        <v>0</v>
      </c>
      <c r="Z36" s="22">
        <v>0</v>
      </c>
      <c r="AA36" s="22">
        <v>0</v>
      </c>
      <c r="AB36" s="22">
        <f t="shared" si="9"/>
        <v>0</v>
      </c>
      <c r="AD36" s="22">
        <v>0</v>
      </c>
      <c r="AE36" s="22">
        <v>0</v>
      </c>
      <c r="AF36" s="22">
        <f t="shared" si="10"/>
        <v>0</v>
      </c>
      <c r="AH36" s="22">
        <v>0</v>
      </c>
      <c r="AI36" s="22">
        <v>0</v>
      </c>
      <c r="AJ36" s="22">
        <f t="shared" si="11"/>
        <v>0</v>
      </c>
      <c r="AL36" s="22">
        <v>0</v>
      </c>
      <c r="AM36" s="22">
        <v>0</v>
      </c>
      <c r="AN36" s="22">
        <f t="shared" si="12"/>
        <v>0</v>
      </c>
      <c r="AP36" s="22">
        <v>0</v>
      </c>
      <c r="AQ36" s="22">
        <v>0</v>
      </c>
      <c r="AR36" s="22">
        <f t="shared" si="13"/>
        <v>0</v>
      </c>
      <c r="AT36" s="22">
        <v>0</v>
      </c>
      <c r="AU36" s="22">
        <v>0</v>
      </c>
      <c r="AV36" s="22">
        <f t="shared" si="14"/>
        <v>0</v>
      </c>
      <c r="AX36" s="22">
        <v>0</v>
      </c>
      <c r="AY36" s="22">
        <v>0</v>
      </c>
      <c r="AZ36" s="22">
        <f t="shared" si="15"/>
        <v>0</v>
      </c>
    </row>
    <row r="37" spans="1:52">
      <c r="A37" t="s">
        <v>46</v>
      </c>
      <c r="B37" s="12">
        <f t="shared" si="1"/>
        <v>0</v>
      </c>
      <c r="C37" s="12">
        <f t="shared" si="2"/>
        <v>1200</v>
      </c>
      <c r="D37" s="22">
        <f t="shared" si="3"/>
        <v>-1200</v>
      </c>
      <c r="F37" s="22">
        <v>0</v>
      </c>
      <c r="G37" s="22">
        <v>0</v>
      </c>
      <c r="H37" s="22">
        <f t="shared" si="4"/>
        <v>0</v>
      </c>
      <c r="J37" s="22">
        <v>0</v>
      </c>
      <c r="K37" s="22">
        <v>0</v>
      </c>
      <c r="L37" s="22">
        <f t="shared" si="5"/>
        <v>0</v>
      </c>
      <c r="N37" s="22">
        <v>0</v>
      </c>
      <c r="O37" s="22">
        <v>0</v>
      </c>
      <c r="P37" s="22">
        <f t="shared" si="6"/>
        <v>0</v>
      </c>
      <c r="R37" s="22">
        <v>0</v>
      </c>
      <c r="S37" s="22">
        <v>0</v>
      </c>
      <c r="T37" s="22">
        <f t="shared" si="7"/>
        <v>0</v>
      </c>
      <c r="V37" s="22">
        <v>0</v>
      </c>
      <c r="W37" s="22">
        <v>200</v>
      </c>
      <c r="X37" s="22">
        <f t="shared" si="8"/>
        <v>-200</v>
      </c>
      <c r="Z37" s="22">
        <v>0</v>
      </c>
      <c r="AA37" s="22">
        <v>0</v>
      </c>
      <c r="AB37" s="22">
        <f t="shared" si="9"/>
        <v>0</v>
      </c>
      <c r="AD37" s="22">
        <v>0</v>
      </c>
      <c r="AE37" s="22">
        <v>400</v>
      </c>
      <c r="AF37" s="22">
        <f t="shared" si="10"/>
        <v>-400</v>
      </c>
      <c r="AH37" s="22">
        <v>0</v>
      </c>
      <c r="AI37" s="22">
        <v>100</v>
      </c>
      <c r="AJ37" s="22">
        <f t="shared" si="11"/>
        <v>-100</v>
      </c>
      <c r="AL37" s="22">
        <v>0</v>
      </c>
      <c r="AM37" s="22">
        <v>0</v>
      </c>
      <c r="AN37" s="22">
        <f t="shared" si="12"/>
        <v>0</v>
      </c>
      <c r="AP37" s="22">
        <v>0</v>
      </c>
      <c r="AQ37" s="22">
        <v>500</v>
      </c>
      <c r="AR37" s="22">
        <f t="shared" si="13"/>
        <v>-500</v>
      </c>
      <c r="AT37" s="22">
        <v>0</v>
      </c>
      <c r="AU37" s="22">
        <v>0</v>
      </c>
      <c r="AV37" s="22">
        <f t="shared" si="14"/>
        <v>0</v>
      </c>
      <c r="AX37" s="22">
        <v>0</v>
      </c>
      <c r="AY37" s="22">
        <v>0</v>
      </c>
      <c r="AZ37" s="22">
        <f t="shared" si="15"/>
        <v>0</v>
      </c>
    </row>
    <row r="38" spans="1:52">
      <c r="A38" t="s">
        <v>33</v>
      </c>
      <c r="B38" s="12">
        <f t="shared" si="1"/>
        <v>0</v>
      </c>
      <c r="C38" s="12">
        <f t="shared" si="2"/>
        <v>60100</v>
      </c>
      <c r="D38" s="22">
        <f t="shared" si="3"/>
        <v>-60100</v>
      </c>
      <c r="F38" s="22">
        <v>0</v>
      </c>
      <c r="G38" s="22">
        <v>1500</v>
      </c>
      <c r="H38" s="22">
        <f t="shared" si="4"/>
        <v>-1500</v>
      </c>
      <c r="J38" s="22">
        <v>0</v>
      </c>
      <c r="K38" s="22">
        <v>500</v>
      </c>
      <c r="L38" s="22">
        <f t="shared" si="5"/>
        <v>-500</v>
      </c>
      <c r="N38" s="22">
        <v>0</v>
      </c>
      <c r="O38" s="22">
        <v>9500</v>
      </c>
      <c r="P38" s="22">
        <f t="shared" si="6"/>
        <v>-9500</v>
      </c>
      <c r="R38" s="22">
        <v>0</v>
      </c>
      <c r="S38" s="22">
        <v>4400</v>
      </c>
      <c r="T38" s="22">
        <f t="shared" si="7"/>
        <v>-4400</v>
      </c>
      <c r="V38" s="22">
        <v>0</v>
      </c>
      <c r="W38" s="22">
        <v>7300</v>
      </c>
      <c r="X38" s="22">
        <f t="shared" si="8"/>
        <v>-7300</v>
      </c>
      <c r="Z38" s="22">
        <v>0</v>
      </c>
      <c r="AA38" s="22">
        <v>100</v>
      </c>
      <c r="AB38" s="22">
        <f t="shared" si="9"/>
        <v>-100</v>
      </c>
      <c r="AD38" s="22">
        <v>0</v>
      </c>
      <c r="AE38" s="22">
        <v>4200</v>
      </c>
      <c r="AF38" s="22">
        <f t="shared" si="10"/>
        <v>-4200</v>
      </c>
      <c r="AH38" s="22">
        <v>0</v>
      </c>
      <c r="AI38" s="22">
        <v>7400</v>
      </c>
      <c r="AJ38" s="22">
        <f t="shared" si="11"/>
        <v>-7400</v>
      </c>
      <c r="AL38" s="22">
        <v>0</v>
      </c>
      <c r="AM38" s="22">
        <v>8400</v>
      </c>
      <c r="AN38" s="22">
        <f t="shared" si="12"/>
        <v>-8400</v>
      </c>
      <c r="AP38" s="22">
        <v>0</v>
      </c>
      <c r="AQ38" s="22">
        <v>11600</v>
      </c>
      <c r="AR38" s="22">
        <f t="shared" si="13"/>
        <v>-11600</v>
      </c>
      <c r="AT38" s="22">
        <v>0</v>
      </c>
      <c r="AU38" s="22">
        <v>4800</v>
      </c>
      <c r="AV38" s="22">
        <f t="shared" si="14"/>
        <v>-4800</v>
      </c>
      <c r="AX38" s="22">
        <v>0</v>
      </c>
      <c r="AY38" s="22">
        <v>400</v>
      </c>
      <c r="AZ38" s="22">
        <f t="shared" si="15"/>
        <v>-400</v>
      </c>
    </row>
    <row r="39" spans="1:52">
      <c r="A39" t="s">
        <v>47</v>
      </c>
      <c r="B39" s="16">
        <f t="shared" si="1"/>
        <v>1473573</v>
      </c>
      <c r="C39" s="16">
        <f t="shared" si="2"/>
        <v>1525700</v>
      </c>
      <c r="D39" s="23">
        <f t="shared" si="3"/>
        <v>-52127</v>
      </c>
      <c r="F39" s="23">
        <v>0</v>
      </c>
      <c r="G39" s="23">
        <v>133900</v>
      </c>
      <c r="H39" s="23">
        <f t="shared" si="4"/>
        <v>-133900</v>
      </c>
      <c r="J39" s="5">
        <v>170016</v>
      </c>
      <c r="K39" s="23">
        <v>101200</v>
      </c>
      <c r="L39" s="23">
        <f t="shared" si="5"/>
        <v>68816</v>
      </c>
      <c r="N39" s="23">
        <v>186744</v>
      </c>
      <c r="O39" s="23">
        <v>172900</v>
      </c>
      <c r="P39" s="23">
        <f t="shared" si="6"/>
        <v>13844</v>
      </c>
      <c r="R39" s="23">
        <v>0</v>
      </c>
      <c r="S39" s="23">
        <v>136600</v>
      </c>
      <c r="T39" s="23">
        <f t="shared" si="7"/>
        <v>-136600</v>
      </c>
      <c r="V39" s="5">
        <v>0</v>
      </c>
      <c r="W39" s="23">
        <v>72600</v>
      </c>
      <c r="X39" s="23">
        <f t="shared" si="8"/>
        <v>-72600</v>
      </c>
      <c r="Z39" s="23">
        <v>0</v>
      </c>
      <c r="AA39" s="23">
        <v>21100</v>
      </c>
      <c r="AB39" s="23">
        <f t="shared" si="9"/>
        <v>-21100</v>
      </c>
      <c r="AD39" s="23">
        <v>174766</v>
      </c>
      <c r="AE39" s="23">
        <v>89500</v>
      </c>
      <c r="AF39" s="23">
        <f t="shared" si="10"/>
        <v>85266</v>
      </c>
      <c r="AH39" s="23">
        <v>183792</v>
      </c>
      <c r="AI39" s="23">
        <v>131000</v>
      </c>
      <c r="AJ39" s="23">
        <f t="shared" si="11"/>
        <v>52792</v>
      </c>
      <c r="AL39" s="23">
        <v>181120</v>
      </c>
      <c r="AM39" s="23">
        <v>157600</v>
      </c>
      <c r="AN39" s="23">
        <f t="shared" si="12"/>
        <v>23520</v>
      </c>
      <c r="AP39" s="23">
        <v>191919</v>
      </c>
      <c r="AQ39" s="23">
        <v>175100</v>
      </c>
      <c r="AR39" s="23">
        <f t="shared" si="13"/>
        <v>16819</v>
      </c>
      <c r="AT39" s="23">
        <v>189040</v>
      </c>
      <c r="AU39" s="23">
        <v>170500</v>
      </c>
      <c r="AV39" s="23">
        <f t="shared" si="14"/>
        <v>18540</v>
      </c>
      <c r="AX39" s="23">
        <v>196176</v>
      </c>
      <c r="AY39" s="23">
        <v>163700</v>
      </c>
      <c r="AZ39" s="23">
        <f t="shared" si="15"/>
        <v>32476</v>
      </c>
    </row>
    <row r="40" spans="1:52">
      <c r="A40" t="s">
        <v>48</v>
      </c>
      <c r="B40" s="12">
        <f>SUM(B33:B39)</f>
        <v>3440949</v>
      </c>
      <c r="C40" s="12">
        <f>SUM(C33:C39)</f>
        <v>3541300</v>
      </c>
      <c r="D40" s="24">
        <f t="shared" si="3"/>
        <v>-100351</v>
      </c>
      <c r="F40" s="12">
        <f>SUM(F33:F39)</f>
        <v>177816</v>
      </c>
      <c r="G40" s="12">
        <f>SUM(G33:G39)</f>
        <v>315600</v>
      </c>
      <c r="H40" s="24">
        <f t="shared" si="4"/>
        <v>-137784</v>
      </c>
      <c r="J40" s="12">
        <f>SUM(J33:J39)</f>
        <v>330624</v>
      </c>
      <c r="K40" s="12">
        <f>SUM(K33:K39)</f>
        <v>264000</v>
      </c>
      <c r="L40" s="24">
        <f t="shared" si="5"/>
        <v>66624</v>
      </c>
      <c r="N40" s="12">
        <f>SUM(N33:N39)</f>
        <v>364560</v>
      </c>
      <c r="O40" s="12">
        <f>SUM(O33:O39)</f>
        <v>354200</v>
      </c>
      <c r="P40" s="24">
        <f t="shared" si="6"/>
        <v>10360</v>
      </c>
      <c r="R40" s="12">
        <f>SUM(R33:R39)</f>
        <v>171841</v>
      </c>
      <c r="S40" s="12">
        <f>SUM(S33:S39)</f>
        <v>276100</v>
      </c>
      <c r="T40" s="24">
        <f t="shared" si="7"/>
        <v>-104259</v>
      </c>
      <c r="V40" s="12">
        <f>SUM(V33:V39)</f>
        <v>80352</v>
      </c>
      <c r="W40" s="12">
        <f>SUM(W33:W39)</f>
        <v>187200</v>
      </c>
      <c r="X40" s="24">
        <f t="shared" si="8"/>
        <v>-106848</v>
      </c>
      <c r="Z40" s="12">
        <f>SUM(Z33:Z39)</f>
        <v>143280</v>
      </c>
      <c r="AA40" s="12">
        <f>SUM(AA33:AA39)</f>
        <v>130100</v>
      </c>
      <c r="AB40" s="24">
        <f t="shared" si="9"/>
        <v>13180</v>
      </c>
      <c r="AD40" s="12">
        <f>SUM(AD33:AD39)</f>
        <v>352582</v>
      </c>
      <c r="AE40" s="12">
        <f>SUM(AE33:AE39)</f>
        <v>274100</v>
      </c>
      <c r="AF40" s="24">
        <f t="shared" si="10"/>
        <v>78482</v>
      </c>
      <c r="AH40" s="12">
        <f>SUM(AH33:AH39)</f>
        <v>361608</v>
      </c>
      <c r="AI40" s="12">
        <f>SUM(AI33:AI39)</f>
        <v>322900</v>
      </c>
      <c r="AJ40" s="24">
        <f t="shared" si="11"/>
        <v>38708</v>
      </c>
      <c r="AL40" s="12">
        <f>SUM(AL33:AL39)</f>
        <v>353200</v>
      </c>
      <c r="AM40" s="12">
        <f>SUM(AM33:AM39)</f>
        <v>344500</v>
      </c>
      <c r="AN40" s="24">
        <f t="shared" si="12"/>
        <v>8700</v>
      </c>
      <c r="AP40" s="12">
        <f>SUM(AP33:AP39)</f>
        <v>369974</v>
      </c>
      <c r="AQ40" s="12">
        <f>SUM(AQ33:AQ39)</f>
        <v>372800</v>
      </c>
      <c r="AR40" s="24">
        <f t="shared" si="13"/>
        <v>-2826</v>
      </c>
      <c r="AT40" s="12">
        <f>SUM(AT33:AT39)</f>
        <v>361120</v>
      </c>
      <c r="AU40" s="12">
        <f>SUM(AU33:AU39)</f>
        <v>352800</v>
      </c>
      <c r="AV40" s="24">
        <f t="shared" si="14"/>
        <v>8320</v>
      </c>
      <c r="AX40" s="12">
        <f>SUM(AX33:AX39)</f>
        <v>373992</v>
      </c>
      <c r="AY40" s="12">
        <f>SUM(AY33:AY39)</f>
        <v>347000</v>
      </c>
      <c r="AZ40" s="24">
        <f t="shared" si="15"/>
        <v>26992</v>
      </c>
    </row>
    <row r="41" spans="1:52">
      <c r="N41" s="37"/>
      <c r="Z41"/>
      <c r="AA41"/>
      <c r="AB41"/>
      <c r="AD41"/>
      <c r="AE41"/>
      <c r="AF41"/>
      <c r="AH41"/>
      <c r="AI41"/>
      <c r="AJ41"/>
      <c r="AL41"/>
      <c r="AM41"/>
      <c r="AN41"/>
      <c r="AP41"/>
      <c r="AQ41"/>
      <c r="AR41"/>
    </row>
    <row r="42" spans="1:52">
      <c r="A42" t="s">
        <v>51</v>
      </c>
      <c r="F42" s="35">
        <v>65.5</v>
      </c>
      <c r="G42" s="35">
        <v>61.06</v>
      </c>
      <c r="H42" s="38">
        <f>F42-G42</f>
        <v>4.4400000000000004</v>
      </c>
      <c r="J42" s="37">
        <v>67</v>
      </c>
      <c r="K42" s="37">
        <v>59.04</v>
      </c>
      <c r="L42" s="38">
        <f>J42-K42</f>
        <v>7.96</v>
      </c>
      <c r="N42" s="37">
        <v>55</v>
      </c>
      <c r="O42" s="37">
        <v>63.96</v>
      </c>
      <c r="P42" s="38">
        <f>N42-O42</f>
        <v>-8.9600000000000009</v>
      </c>
      <c r="R42" s="43">
        <v>0</v>
      </c>
      <c r="S42" s="37">
        <v>46.94</v>
      </c>
      <c r="T42" s="38">
        <f>R42-S42</f>
        <v>-46.94</v>
      </c>
      <c r="V42" s="43">
        <v>0</v>
      </c>
      <c r="W42" s="37">
        <v>49</v>
      </c>
      <c r="X42" s="38">
        <f>V42-W42</f>
        <v>-49</v>
      </c>
      <c r="Z42" s="43">
        <v>0</v>
      </c>
      <c r="AA42" s="37">
        <v>49.39</v>
      </c>
      <c r="AB42" s="38">
        <f>Z42-AA42</f>
        <v>-49.39</v>
      </c>
      <c r="AD42" s="43">
        <v>0</v>
      </c>
      <c r="AE42" s="3">
        <v>61.85</v>
      </c>
      <c r="AF42" s="38">
        <f>AD42-AE42</f>
        <v>-61.85</v>
      </c>
      <c r="AH42" s="43">
        <v>77.48</v>
      </c>
      <c r="AI42" s="43">
        <v>65.92</v>
      </c>
      <c r="AJ42" s="38">
        <f>AH42-AI42</f>
        <v>11.56</v>
      </c>
      <c r="AL42" s="43">
        <v>75</v>
      </c>
      <c r="AM42" s="43">
        <v>65.31</v>
      </c>
      <c r="AN42" s="37">
        <f>AL42-AM42</f>
        <v>9.69</v>
      </c>
      <c r="AP42" s="44">
        <v>72.5</v>
      </c>
      <c r="AQ42" s="43">
        <v>60.51</v>
      </c>
      <c r="AR42" s="37">
        <f>AP42-AQ42</f>
        <v>11.99</v>
      </c>
      <c r="AS42" s="37"/>
      <c r="AT42" s="43">
        <v>0</v>
      </c>
      <c r="AU42" s="43">
        <v>59.38</v>
      </c>
      <c r="AV42" s="37">
        <f>AT42-AU42</f>
        <v>-59.38</v>
      </c>
      <c r="AW42" s="37"/>
      <c r="AX42" s="44">
        <v>83.5</v>
      </c>
      <c r="AY42" s="43">
        <v>68.64</v>
      </c>
      <c r="AZ42" s="37">
        <f>AX42-AY42</f>
        <v>14.86</v>
      </c>
    </row>
    <row r="43" spans="1:52">
      <c r="A43" t="s">
        <v>52</v>
      </c>
      <c r="F43" s="43">
        <v>0</v>
      </c>
      <c r="G43" s="35">
        <v>60.13</v>
      </c>
      <c r="H43" s="38">
        <f>F43-G43</f>
        <v>-60.13</v>
      </c>
      <c r="J43" s="43">
        <v>0</v>
      </c>
      <c r="K43" s="37">
        <v>61.17</v>
      </c>
      <c r="L43" s="38">
        <f>J43-K43</f>
        <v>-61.17</v>
      </c>
      <c r="N43" s="37">
        <v>63</v>
      </c>
      <c r="O43" s="37">
        <v>56.05</v>
      </c>
      <c r="P43" s="38">
        <f>N43-O43</f>
        <v>6.95</v>
      </c>
      <c r="R43" s="37">
        <v>53.46</v>
      </c>
      <c r="S43" s="37">
        <v>46.37</v>
      </c>
      <c r="T43" s="38">
        <f>R43-S43</f>
        <v>7.09</v>
      </c>
      <c r="V43" s="37">
        <v>30.59</v>
      </c>
      <c r="W43" s="37">
        <v>38.450000000000003</v>
      </c>
      <c r="X43" s="38">
        <f>V43-W43</f>
        <v>-7.86</v>
      </c>
      <c r="Z43" s="37">
        <v>32.64</v>
      </c>
      <c r="AA43" s="37">
        <v>37.1</v>
      </c>
      <c r="AB43" s="38">
        <f>Z43-AA43</f>
        <v>-4.46</v>
      </c>
      <c r="AD43" s="3">
        <v>59.77</v>
      </c>
      <c r="AE43" s="3">
        <v>51.21</v>
      </c>
      <c r="AF43" s="38">
        <f>AD43-AE43</f>
        <v>8.56</v>
      </c>
      <c r="AH43" s="43">
        <v>0</v>
      </c>
      <c r="AI43" s="43">
        <v>68.069999999999993</v>
      </c>
      <c r="AJ43" s="38">
        <f>AH43-AI43</f>
        <v>-68.069999999999993</v>
      </c>
      <c r="AL43" s="43">
        <v>0</v>
      </c>
      <c r="AM43" s="43">
        <v>54.45</v>
      </c>
      <c r="AN43" s="37">
        <f>AL43-AM43</f>
        <v>-54.45</v>
      </c>
      <c r="AP43" s="44">
        <v>62</v>
      </c>
      <c r="AQ43" s="43">
        <v>51.14</v>
      </c>
      <c r="AR43" s="37">
        <f>AP43-AQ43</f>
        <v>10.86</v>
      </c>
      <c r="AS43" s="37"/>
      <c r="AT43" s="44">
        <v>69.52</v>
      </c>
      <c r="AU43" s="43">
        <v>57.63</v>
      </c>
      <c r="AV43" s="37">
        <f>AT43-AU43</f>
        <v>11.89</v>
      </c>
      <c r="AW43" s="37"/>
      <c r="AX43" s="44">
        <v>72</v>
      </c>
      <c r="AY43" s="43">
        <v>61.07</v>
      </c>
      <c r="AZ43" s="37">
        <f>AX43-AY43</f>
        <v>10.93</v>
      </c>
    </row>
    <row r="44" spans="1:52">
      <c r="B44" s="65">
        <f>10316862/B39</f>
        <v>7.0012999999999996</v>
      </c>
      <c r="D44" s="12"/>
    </row>
    <row r="45" spans="1:52">
      <c r="B45" s="65"/>
      <c r="C45" s="22">
        <f>(C39)*B44</f>
        <v>10681883</v>
      </c>
      <c r="D45" s="12"/>
    </row>
    <row r="46" spans="1:52">
      <c r="A46" t="s">
        <v>64</v>
      </c>
      <c r="B46" s="10">
        <f>87493079</f>
        <v>87493079</v>
      </c>
      <c r="C46" s="38">
        <f>C45*7.25</f>
        <v>77443651.75</v>
      </c>
      <c r="D46" s="38">
        <f>B46-C46</f>
        <v>10049427.25</v>
      </c>
      <c r="F46" s="37"/>
      <c r="G46" s="18">
        <f>G48/G47</f>
        <v>8</v>
      </c>
      <c r="H46" s="38">
        <f>F46-G46</f>
        <v>-8</v>
      </c>
      <c r="J46">
        <v>8.0500000000000007</v>
      </c>
      <c r="K46" s="18">
        <f>K48/K47</f>
        <v>8.01</v>
      </c>
      <c r="L46" s="38">
        <f>J46-K46</f>
        <v>0.04</v>
      </c>
      <c r="N46">
        <v>8.15</v>
      </c>
      <c r="O46" s="18">
        <f>O48/O47</f>
        <v>7.86</v>
      </c>
      <c r="P46" s="38">
        <f>N46-O46</f>
        <v>0.28999999999999998</v>
      </c>
      <c r="R46">
        <v>8.08</v>
      </c>
      <c r="S46" s="18">
        <f>S48/S47</f>
        <v>6.93</v>
      </c>
      <c r="T46" s="38">
        <f>R46-S46</f>
        <v>1.1499999999999999</v>
      </c>
      <c r="V46" s="37">
        <v>8.1</v>
      </c>
      <c r="W46" s="18">
        <f>W48/W47</f>
        <v>6.79</v>
      </c>
      <c r="X46" s="38">
        <f>V46-W46</f>
        <v>1.31</v>
      </c>
      <c r="Y46" s="43"/>
      <c r="Z46" s="43">
        <v>8.15</v>
      </c>
      <c r="AA46" s="18">
        <f>AA48/AA47</f>
        <v>6.93</v>
      </c>
      <c r="AB46" s="38">
        <f>Z46-AA46</f>
        <v>1.22</v>
      </c>
      <c r="AC46" s="43"/>
      <c r="AD46" s="43">
        <v>8.2200000000000006</v>
      </c>
      <c r="AE46" s="18">
        <f>AE48/AE47</f>
        <v>6.89</v>
      </c>
      <c r="AF46" s="38">
        <f>AD46-AE46</f>
        <v>1.33</v>
      </c>
      <c r="AG46" s="43"/>
      <c r="AH46" s="43">
        <v>8.27</v>
      </c>
      <c r="AI46" s="18">
        <f>AI48/AI47</f>
        <v>6.94</v>
      </c>
      <c r="AJ46" s="38">
        <f>AH46-AI46</f>
        <v>1.33</v>
      </c>
      <c r="AK46" s="43"/>
      <c r="AL46" s="43">
        <v>8.2899999999999991</v>
      </c>
      <c r="AM46" s="18">
        <f>AM48/AM47</f>
        <v>6.92</v>
      </c>
      <c r="AN46" s="38">
        <f>AL46-AM46</f>
        <v>1.37</v>
      </c>
      <c r="AO46" s="37"/>
      <c r="AP46" s="43">
        <v>8.35</v>
      </c>
      <c r="AQ46" s="18">
        <f>AQ48/AQ47</f>
        <v>6.95</v>
      </c>
      <c r="AR46" s="38">
        <f>AP46-AQ46</f>
        <v>1.4</v>
      </c>
      <c r="AS46" s="37"/>
      <c r="AT46" s="37">
        <v>8.89</v>
      </c>
      <c r="AU46" s="18">
        <f>AU48/AU47</f>
        <v>7.29</v>
      </c>
      <c r="AV46" s="38">
        <f>AT46-AU46</f>
        <v>1.6</v>
      </c>
      <c r="AW46" s="37"/>
      <c r="AX46" s="37">
        <v>9.5</v>
      </c>
      <c r="AY46" s="18">
        <f>AY48/AY47</f>
        <v>7.6</v>
      </c>
      <c r="AZ46" s="38">
        <f>AX46-AY46</f>
        <v>1.9</v>
      </c>
    </row>
    <row r="47" spans="1:52">
      <c r="A47" t="s">
        <v>65</v>
      </c>
      <c r="D47" s="38">
        <f>D46*0.6516</f>
        <v>6548206.7999999998</v>
      </c>
      <c r="G47" s="45">
        <v>7</v>
      </c>
      <c r="H47" s="38">
        <f>F47-G47</f>
        <v>-7</v>
      </c>
      <c r="J47">
        <v>6.976</v>
      </c>
      <c r="K47" s="45">
        <v>7</v>
      </c>
      <c r="L47" s="38">
        <f>J47-K47</f>
        <v>-0.02</v>
      </c>
      <c r="N47">
        <v>6.952</v>
      </c>
      <c r="O47" s="45">
        <v>7</v>
      </c>
      <c r="P47" s="38">
        <f>N47-O47</f>
        <v>-0.05</v>
      </c>
      <c r="R47">
        <v>6.9429999999999996</v>
      </c>
      <c r="S47" s="45">
        <v>7</v>
      </c>
      <c r="T47" s="38">
        <f>R47-S47</f>
        <v>-0.06</v>
      </c>
      <c r="V47">
        <v>6.9379999999999997</v>
      </c>
      <c r="W47" s="45">
        <v>7</v>
      </c>
      <c r="X47" s="38">
        <f>V47-W47</f>
        <v>-0.06</v>
      </c>
      <c r="Z47" s="3">
        <v>6.9470000000000001</v>
      </c>
      <c r="AA47" s="45">
        <v>7</v>
      </c>
      <c r="AB47" s="38">
        <f>Z47-AA47</f>
        <v>-0.05</v>
      </c>
      <c r="AD47" s="3">
        <v>6.9619999999999997</v>
      </c>
      <c r="AE47" s="45">
        <v>7</v>
      </c>
      <c r="AF47" s="38">
        <f>AD47-AE47</f>
        <v>-0.04</v>
      </c>
      <c r="AH47" s="3">
        <v>6.952</v>
      </c>
      <c r="AI47" s="45">
        <v>7</v>
      </c>
      <c r="AJ47" s="38">
        <f>AH47-AI47</f>
        <v>-0.05</v>
      </c>
      <c r="AL47" s="3">
        <v>6.9409999999999998</v>
      </c>
      <c r="AM47" s="45">
        <v>7</v>
      </c>
      <c r="AN47" s="38">
        <f>AL47-AM47</f>
        <v>-0.06</v>
      </c>
      <c r="AP47" s="3">
        <v>6.944</v>
      </c>
      <c r="AQ47" s="45">
        <v>7</v>
      </c>
      <c r="AR47" s="38">
        <f>AP47-AQ47</f>
        <v>-0.06</v>
      </c>
      <c r="AT47">
        <v>6.968</v>
      </c>
      <c r="AU47" s="45">
        <v>7</v>
      </c>
      <c r="AV47" s="38">
        <f>AT47-AU47</f>
        <v>-0.03</v>
      </c>
      <c r="AX47">
        <v>6.9870000000000001</v>
      </c>
      <c r="AY47" s="45">
        <v>7</v>
      </c>
      <c r="AZ47" s="38">
        <f>AX47-AY47</f>
        <v>-0.01</v>
      </c>
    </row>
    <row r="48" spans="1:52">
      <c r="A48" t="s">
        <v>66</v>
      </c>
      <c r="D48" s="66">
        <f>-D39*61*0.6516</f>
        <v>2071923.1</v>
      </c>
      <c r="F48" s="18">
        <f>F46*F47</f>
        <v>0</v>
      </c>
      <c r="G48" s="37">
        <f>7501/G39*1000</f>
        <v>56.02</v>
      </c>
      <c r="H48" s="38">
        <f>F48-G48</f>
        <v>-56.02</v>
      </c>
      <c r="J48" s="18">
        <f>J46*J47</f>
        <v>56.16</v>
      </c>
      <c r="K48" s="37">
        <f>5677/K39*1000</f>
        <v>56.1</v>
      </c>
      <c r="L48" s="38">
        <f>J48-K48</f>
        <v>0.06</v>
      </c>
      <c r="N48" s="18">
        <f>N46*N47</f>
        <v>56.66</v>
      </c>
      <c r="O48" s="37">
        <f>9518/O39*1000</f>
        <v>55.05</v>
      </c>
      <c r="P48" s="38">
        <f>N48-O48</f>
        <v>1.61</v>
      </c>
      <c r="R48" s="18">
        <f>R46*R47</f>
        <v>56.1</v>
      </c>
      <c r="S48" s="37">
        <f>6625/S39*1000</f>
        <v>48.5</v>
      </c>
      <c r="T48" s="38">
        <f>R48-S48</f>
        <v>7.6</v>
      </c>
      <c r="V48" s="18">
        <f>V46*V47</f>
        <v>56.2</v>
      </c>
      <c r="W48" s="37">
        <f>3452/W39*1000</f>
        <v>47.55</v>
      </c>
      <c r="X48" s="38">
        <f>V48-W48</f>
        <v>8.65</v>
      </c>
      <c r="Z48" s="18">
        <f>Z46*Z47</f>
        <v>56.62</v>
      </c>
      <c r="AA48" s="37">
        <f>1024/AA39*1000</f>
        <v>48.53</v>
      </c>
      <c r="AB48" s="38">
        <f>Z48-AA48</f>
        <v>8.09</v>
      </c>
      <c r="AD48" s="18">
        <f>AD46*AD47</f>
        <v>57.23</v>
      </c>
      <c r="AE48" s="37">
        <f>4315/AE39*1000</f>
        <v>48.21</v>
      </c>
      <c r="AF48" s="38">
        <f>AD48-AE48</f>
        <v>9.02</v>
      </c>
      <c r="AH48" s="18">
        <f>AH46*AH47</f>
        <v>57.49</v>
      </c>
      <c r="AI48" s="37">
        <f>6365/AI39*1000</f>
        <v>48.59</v>
      </c>
      <c r="AJ48" s="38">
        <f>AH48-AI48</f>
        <v>8.9</v>
      </c>
      <c r="AL48" s="18">
        <f>AL46*AL47</f>
        <v>57.54</v>
      </c>
      <c r="AM48" s="37">
        <f>7631/AM39*1000</f>
        <v>48.42</v>
      </c>
      <c r="AN48" s="38">
        <f>AL48-AM48</f>
        <v>9.1199999999999992</v>
      </c>
      <c r="AP48" s="18">
        <f>AP46*AP47</f>
        <v>57.98</v>
      </c>
      <c r="AQ48" s="37">
        <f>8520/AQ39*1000</f>
        <v>48.66</v>
      </c>
      <c r="AR48" s="38">
        <f>AP48-AQ48</f>
        <v>9.32</v>
      </c>
      <c r="AT48" s="18">
        <f>AT46*AT47</f>
        <v>61.95</v>
      </c>
      <c r="AU48" s="37">
        <f>8695/AU39*1000</f>
        <v>51</v>
      </c>
      <c r="AV48" s="38">
        <f>AT48-AU48</f>
        <v>10.95</v>
      </c>
      <c r="AX48" s="18">
        <f>AX46*AX47</f>
        <v>66.38</v>
      </c>
      <c r="AY48" s="37">
        <f>8712/AY39*1000</f>
        <v>53.22</v>
      </c>
      <c r="AZ48" s="38">
        <f>AX48-AY48</f>
        <v>13.16</v>
      </c>
    </row>
    <row r="49" spans="1:52">
      <c r="D49" s="38">
        <f>D47-D48</f>
        <v>4476283.7</v>
      </c>
      <c r="F49" s="18"/>
      <c r="G49" s="37"/>
      <c r="H49" s="38"/>
      <c r="J49" s="18"/>
      <c r="K49" s="37"/>
      <c r="L49" s="38"/>
      <c r="N49" s="18"/>
      <c r="O49" s="37"/>
      <c r="P49" s="38"/>
      <c r="R49" s="18"/>
      <c r="S49" s="37"/>
      <c r="T49" s="38"/>
      <c r="V49" s="18"/>
      <c r="W49" s="37"/>
      <c r="X49" s="38"/>
      <c r="Z49" s="18"/>
      <c r="AA49" s="37"/>
      <c r="AB49" s="38"/>
      <c r="AD49" s="18"/>
      <c r="AE49" s="37"/>
      <c r="AF49" s="38"/>
      <c r="AH49" s="18"/>
      <c r="AI49" s="37"/>
      <c r="AJ49" s="38"/>
      <c r="AL49" s="18"/>
      <c r="AM49" s="37"/>
      <c r="AN49" s="38"/>
      <c r="AP49" s="18"/>
      <c r="AQ49" s="37"/>
      <c r="AR49" s="38"/>
      <c r="AT49" s="18"/>
      <c r="AU49" s="37"/>
      <c r="AV49" s="38"/>
      <c r="AX49" s="18"/>
      <c r="AY49" s="37"/>
      <c r="AZ49" s="38"/>
    </row>
    <row r="50" spans="1:52">
      <c r="F50" s="18"/>
      <c r="G50" s="37"/>
      <c r="H50" s="38"/>
      <c r="J50" s="18"/>
      <c r="K50" s="37"/>
      <c r="L50" s="38"/>
      <c r="N50" s="18"/>
      <c r="O50" s="37"/>
      <c r="P50" s="38"/>
      <c r="R50" s="18"/>
      <c r="S50" s="37"/>
      <c r="T50" s="38"/>
      <c r="V50" s="18"/>
      <c r="W50" s="37"/>
      <c r="X50" s="38"/>
      <c r="Z50" s="18"/>
      <c r="AA50" s="37"/>
      <c r="AB50" s="38"/>
      <c r="AD50" s="18"/>
      <c r="AE50" s="37"/>
      <c r="AF50" s="38"/>
      <c r="AH50" s="18"/>
      <c r="AI50" s="37"/>
      <c r="AJ50" s="38"/>
      <c r="AL50" s="18"/>
      <c r="AM50" s="37"/>
      <c r="AN50" s="38"/>
      <c r="AP50" s="18"/>
      <c r="AQ50" s="37"/>
      <c r="AR50" s="38"/>
      <c r="AT50" s="18"/>
      <c r="AU50" s="37"/>
      <c r="AV50" s="38"/>
      <c r="AX50" s="18"/>
      <c r="AY50" s="37"/>
      <c r="AZ50" s="38"/>
    </row>
    <row r="51" spans="1:52">
      <c r="F51" s="18"/>
      <c r="G51" s="37"/>
      <c r="H51" s="38"/>
      <c r="J51" s="18"/>
      <c r="K51" s="37"/>
      <c r="L51" s="38"/>
      <c r="N51" s="18"/>
      <c r="O51" s="37"/>
      <c r="P51" s="38"/>
      <c r="R51" s="18"/>
      <c r="S51" s="37"/>
      <c r="T51" s="38"/>
      <c r="V51" s="18"/>
      <c r="W51" s="37"/>
      <c r="X51" s="38"/>
      <c r="Z51" s="18"/>
      <c r="AA51" s="37"/>
      <c r="AB51" s="38"/>
      <c r="AD51" s="18"/>
      <c r="AE51" s="37"/>
      <c r="AF51" s="38"/>
      <c r="AH51" s="18"/>
      <c r="AI51" s="37"/>
      <c r="AJ51" s="38"/>
      <c r="AL51" s="18"/>
      <c r="AM51" s="37"/>
      <c r="AN51" s="38"/>
      <c r="AP51" s="18"/>
      <c r="AQ51" s="37"/>
      <c r="AR51" s="38"/>
      <c r="AT51" s="18"/>
      <c r="AU51" s="37"/>
      <c r="AV51" s="38"/>
      <c r="AX51" s="18"/>
      <c r="AY51" s="37"/>
      <c r="AZ51" s="38"/>
    </row>
    <row r="52" spans="1:52">
      <c r="A52" s="9" t="s">
        <v>100</v>
      </c>
      <c r="B52" s="9"/>
      <c r="C52" s="9"/>
      <c r="D52" s="9"/>
      <c r="E52" s="9"/>
    </row>
    <row r="53" spans="1:52">
      <c r="A53" s="9" t="s">
        <v>93</v>
      </c>
      <c r="B53" s="9"/>
      <c r="C53" s="9"/>
      <c r="D53" s="9"/>
      <c r="E53" s="9"/>
    </row>
    <row r="54" spans="1:52">
      <c r="A54" t="s">
        <v>96</v>
      </c>
      <c r="D54" s="20">
        <f>SUM(H54:AZ54)*0.6516</f>
        <v>-11420799</v>
      </c>
      <c r="G54" t="s">
        <v>81</v>
      </c>
      <c r="H54" s="10">
        <f>-H30*F42</f>
        <v>-2484481</v>
      </c>
      <c r="L54" s="10">
        <f>-L30*J42</f>
        <v>-2588344</v>
      </c>
      <c r="P54" s="10">
        <f>-P30*N42</f>
        <v>-1438580</v>
      </c>
      <c r="T54" s="10">
        <f>-T30*R43</f>
        <v>-3923804</v>
      </c>
      <c r="X54" s="10">
        <f>-X30*V43</f>
        <v>-2462128</v>
      </c>
      <c r="AB54" s="10">
        <f>-AB30*Z43</f>
        <v>-2452047</v>
      </c>
      <c r="AF54" s="10">
        <f>-AF30*AD43</f>
        <v>-495613</v>
      </c>
      <c r="AJ54" s="10">
        <f>-AJ30*AH42</f>
        <v>1371706</v>
      </c>
      <c r="AN54" s="10">
        <f>-AN30*AL42</f>
        <v>-3649500</v>
      </c>
      <c r="AR54" s="10">
        <f>-AR30*AP42</f>
        <v>-481255</v>
      </c>
      <c r="AV54" s="10">
        <f>-AV30*AT43</f>
        <v>2174586</v>
      </c>
      <c r="AZ54" s="10">
        <f>-AZ30*AX43</f>
        <v>-1097856</v>
      </c>
    </row>
    <row r="55" spans="1:52">
      <c r="A55" t="s">
        <v>98</v>
      </c>
      <c r="D55" s="20">
        <f>SUM(H55:AZ55)*0.6516</f>
        <v>23690518</v>
      </c>
      <c r="G55" t="s">
        <v>83</v>
      </c>
      <c r="H55" s="10">
        <f>-H31*F42</f>
        <v>3650184</v>
      </c>
      <c r="L55" s="10">
        <f>-L31*J42</f>
        <v>5856939</v>
      </c>
      <c r="P55" s="10">
        <f>-P31*N42</f>
        <v>3780425</v>
      </c>
      <c r="T55" s="10">
        <f>-T31*R43</f>
        <v>2284292</v>
      </c>
      <c r="X55" s="10">
        <f>-X31*V43</f>
        <v>1204726</v>
      </c>
      <c r="AB55" s="10">
        <f>-AB31*Z43</f>
        <v>510751</v>
      </c>
      <c r="AF55" s="10">
        <f>-AF31*AD43</f>
        <v>2959033</v>
      </c>
      <c r="AJ55" s="10">
        <f>-AJ31*AH42</f>
        <v>7309386</v>
      </c>
      <c r="AN55" s="10">
        <f>-AN31*AL42</f>
        <v>2596500</v>
      </c>
      <c r="AR55" s="10">
        <f>-AR31*AP42</f>
        <v>4245818</v>
      </c>
      <c r="AV55" s="10">
        <f>-AV31*AT43</f>
        <v>-359071</v>
      </c>
      <c r="AZ55" s="10">
        <f>-AZ31*AX43</f>
        <v>2318472</v>
      </c>
    </row>
    <row r="56" spans="1:52">
      <c r="A56" t="s">
        <v>97</v>
      </c>
      <c r="D56" s="58" t="e">
        <f>D15-(D54+D55)</f>
        <v>#REF!</v>
      </c>
      <c r="H56" s="10"/>
      <c r="L56" s="10"/>
    </row>
    <row r="57" spans="1:52">
      <c r="A57" t="s">
        <v>99</v>
      </c>
      <c r="D57" s="20" t="e">
        <f>SUM(D54:D56)</f>
        <v>#REF!</v>
      </c>
      <c r="H57" s="10"/>
      <c r="L57" s="10"/>
    </row>
    <row r="58" spans="1:52">
      <c r="H58" s="10"/>
      <c r="L58" s="10"/>
    </row>
    <row r="59" spans="1:52">
      <c r="H59" s="10"/>
      <c r="L59" s="10"/>
    </row>
    <row r="60" spans="1:52">
      <c r="A60" t="s">
        <v>90</v>
      </c>
      <c r="G60" t="s">
        <v>83</v>
      </c>
      <c r="H60" s="10">
        <f>-H39*F42</f>
        <v>8770450</v>
      </c>
      <c r="L60" s="10">
        <f>L39*J42</f>
        <v>4610672</v>
      </c>
    </row>
    <row r="61" spans="1:52">
      <c r="A61" t="s">
        <v>67</v>
      </c>
      <c r="G61" t="s">
        <v>81</v>
      </c>
      <c r="H61" s="10">
        <v>-7501000</v>
      </c>
      <c r="L61" s="10">
        <f>5677000-10725658</f>
        <v>-5048658</v>
      </c>
    </row>
    <row r="62" spans="1:52">
      <c r="A62" t="s">
        <v>80</v>
      </c>
      <c r="H62" s="10">
        <f>525000-520000</f>
        <v>5000</v>
      </c>
      <c r="L62" s="10"/>
    </row>
    <row r="63" spans="1:52">
      <c r="A63" t="s">
        <v>68</v>
      </c>
      <c r="H63" s="10"/>
    </row>
    <row r="64" spans="1:52">
      <c r="A64" t="s">
        <v>69</v>
      </c>
      <c r="H64" s="10">
        <f>18200*H42</f>
        <v>80808</v>
      </c>
      <c r="L64" s="10">
        <f>-44900*L42</f>
        <v>-357404</v>
      </c>
    </row>
    <row r="65" spans="1:62">
      <c r="A65" t="s">
        <v>70</v>
      </c>
      <c r="G65" t="s">
        <v>83</v>
      </c>
      <c r="H65" s="47">
        <f>865323-728000</f>
        <v>137323</v>
      </c>
      <c r="L65" s="10">
        <f>865323-728000</f>
        <v>137323</v>
      </c>
    </row>
    <row r="66" spans="1:62">
      <c r="A66" t="s">
        <v>88</v>
      </c>
      <c r="H66" s="47">
        <f>-H34*F42</f>
        <v>-48208</v>
      </c>
      <c r="L66" s="10"/>
    </row>
    <row r="67" spans="1:62">
      <c r="A67" t="s">
        <v>91</v>
      </c>
      <c r="H67" s="47">
        <f>-116000</f>
        <v>-116000</v>
      </c>
      <c r="L67" s="10"/>
    </row>
    <row r="68" spans="1:62">
      <c r="A68" t="s">
        <v>92</v>
      </c>
      <c r="H68" s="47">
        <f>+H38*F42</f>
        <v>-98250</v>
      </c>
      <c r="L68" s="10"/>
    </row>
    <row r="69" spans="1:62">
      <c r="A69" t="s">
        <v>71</v>
      </c>
      <c r="G69" t="s">
        <v>86</v>
      </c>
      <c r="H69" s="47">
        <f>1066171-989000</f>
        <v>77171</v>
      </c>
    </row>
    <row r="70" spans="1:62">
      <c r="A70" t="s">
        <v>89</v>
      </c>
      <c r="H70" s="47">
        <f>-H33*F42</f>
        <v>191260</v>
      </c>
    </row>
    <row r="71" spans="1:62">
      <c r="A71" t="s">
        <v>72</v>
      </c>
      <c r="G71" t="s">
        <v>81</v>
      </c>
      <c r="H71" s="47">
        <f>-25*4343*3</f>
        <v>-325725</v>
      </c>
    </row>
    <row r="72" spans="1:62">
      <c r="A72" t="s">
        <v>73</v>
      </c>
      <c r="H72" s="47">
        <v>-69812</v>
      </c>
    </row>
    <row r="73" spans="1:62">
      <c r="A73" t="s">
        <v>74</v>
      </c>
      <c r="G73" t="s">
        <v>81</v>
      </c>
      <c r="H73" s="47">
        <v>-317400</v>
      </c>
    </row>
    <row r="76" spans="1:62">
      <c r="A76" t="s">
        <v>84</v>
      </c>
      <c r="F76" s="10">
        <v>7402450</v>
      </c>
      <c r="G76" s="10" t="s">
        <v>81</v>
      </c>
      <c r="H76" s="47">
        <f>-(F78-F42)*F77</f>
        <v>-1206150</v>
      </c>
      <c r="I76" s="10"/>
      <c r="J76" s="10">
        <v>6612200</v>
      </c>
      <c r="K76" s="10"/>
      <c r="L76" s="47">
        <f>(J78-J42)*J77</f>
        <v>501600</v>
      </c>
      <c r="M76" s="10"/>
      <c r="N76" s="10">
        <v>14137350</v>
      </c>
      <c r="O76" s="10"/>
      <c r="P76" s="47">
        <f>(N78-N42)*N77</f>
        <v>5260026</v>
      </c>
      <c r="Q76" s="10"/>
      <c r="R76" s="10">
        <v>5663000</v>
      </c>
      <c r="S76" s="10"/>
      <c r="T76" s="10">
        <f>-(R78-R43)*R77</f>
        <v>638883</v>
      </c>
      <c r="U76" s="11"/>
      <c r="V76" s="10">
        <v>6234450</v>
      </c>
      <c r="W76" s="10"/>
      <c r="X76" s="10">
        <f>(V78-V43)*V77</f>
        <v>1933250</v>
      </c>
      <c r="Y76" s="11"/>
      <c r="Z76" s="11">
        <v>5874200</v>
      </c>
      <c r="AA76" s="11"/>
      <c r="AB76" s="10">
        <f>(Z78-Z43)*Z77</f>
        <v>1513688</v>
      </c>
      <c r="AC76" s="11"/>
      <c r="AD76" s="11">
        <v>1760050</v>
      </c>
      <c r="AE76" s="11"/>
      <c r="AF76" s="10">
        <f>(AD78-AD43)*AD77</f>
        <v>134368</v>
      </c>
      <c r="AG76" s="11"/>
      <c r="AH76" s="11">
        <v>547950</v>
      </c>
      <c r="AI76" s="11"/>
      <c r="AJ76" s="10">
        <f>(AH78-AH42)*AH77</f>
        <v>-56394</v>
      </c>
      <c r="AK76" s="11"/>
      <c r="AL76" s="11">
        <v>562000</v>
      </c>
      <c r="AM76" s="11"/>
      <c r="AN76" s="10">
        <f>(AL78-AL42)*AL77</f>
        <v>-38000</v>
      </c>
      <c r="AO76" s="10"/>
      <c r="AP76" s="11">
        <v>544906</v>
      </c>
      <c r="AQ76" s="11"/>
      <c r="AR76" s="10">
        <f>(AP78-AP43)*AP77</f>
        <v>34956</v>
      </c>
      <c r="AS76" s="10"/>
      <c r="AT76" s="10">
        <v>530000</v>
      </c>
      <c r="AU76" s="10"/>
      <c r="AV76" s="10">
        <f>(AT78-AT43)*AT77</f>
        <v>-26160</v>
      </c>
      <c r="AW76" s="10"/>
      <c r="AX76" s="10">
        <v>569750</v>
      </c>
      <c r="AY76" s="10"/>
      <c r="AZ76" s="10">
        <f>(AX78-AX43)*AX77</f>
        <v>-49450</v>
      </c>
    </row>
    <row r="77" spans="1:62">
      <c r="A77" t="s">
        <v>75</v>
      </c>
      <c r="F77" s="22">
        <v>94600</v>
      </c>
      <c r="J77" s="22">
        <v>91200</v>
      </c>
      <c r="K77" s="22"/>
      <c r="L77" s="22"/>
      <c r="M77" s="22"/>
      <c r="N77" s="22">
        <v>161400</v>
      </c>
      <c r="O77" s="22"/>
      <c r="P77" s="22"/>
      <c r="Q77" s="22"/>
      <c r="R77" s="22">
        <v>117875</v>
      </c>
      <c r="S77" s="22"/>
      <c r="T77" s="22"/>
      <c r="U77" s="24"/>
      <c r="V77" s="22">
        <v>140600</v>
      </c>
      <c r="W77" s="22"/>
      <c r="X77" s="22"/>
      <c r="Y77" s="24"/>
      <c r="Z77" s="24">
        <v>133600</v>
      </c>
      <c r="AA77" s="24"/>
      <c r="AB77" s="24"/>
      <c r="AC77" s="24"/>
      <c r="AD77" s="24">
        <v>27200</v>
      </c>
      <c r="AE77" s="24"/>
      <c r="AF77" s="24"/>
      <c r="AG77" s="24"/>
      <c r="AH77" s="24">
        <v>7800</v>
      </c>
      <c r="AI77" s="24"/>
      <c r="AJ77" s="24"/>
      <c r="AK77" s="24"/>
      <c r="AL77" s="24">
        <v>8000</v>
      </c>
      <c r="AM77" s="24"/>
      <c r="AN77" s="24"/>
      <c r="AO77" s="22"/>
      <c r="AP77" s="24">
        <v>8225</v>
      </c>
      <c r="AQ77" s="24"/>
      <c r="AR77" s="24"/>
      <c r="AS77" s="22"/>
      <c r="AT77" s="22">
        <v>8000</v>
      </c>
      <c r="AU77" s="22"/>
      <c r="AV77" s="22"/>
      <c r="AW77" s="22"/>
      <c r="AX77" s="22">
        <v>8600</v>
      </c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</row>
    <row r="78" spans="1:62">
      <c r="A78" t="s">
        <v>76</v>
      </c>
      <c r="F78" s="37">
        <f>F76/F77</f>
        <v>78.25</v>
      </c>
      <c r="J78" s="37">
        <f>J76/J77</f>
        <v>72.5</v>
      </c>
      <c r="N78" s="37">
        <f>N76/N77</f>
        <v>87.59</v>
      </c>
      <c r="R78" s="37">
        <f>R76/R77</f>
        <v>48.04</v>
      </c>
      <c r="V78" s="37">
        <f>V76/V77</f>
        <v>44.34</v>
      </c>
      <c r="Z78" s="37">
        <f>Z76/Z77</f>
        <v>43.97</v>
      </c>
      <c r="AD78" s="37">
        <f>AD76/AD77</f>
        <v>64.709999999999994</v>
      </c>
      <c r="AH78" s="37">
        <f>AH76/AH77</f>
        <v>70.25</v>
      </c>
      <c r="AL78" s="37">
        <f>AL76/AL77</f>
        <v>70.25</v>
      </c>
      <c r="AP78" s="37">
        <f>AP76/AP77</f>
        <v>66.25</v>
      </c>
      <c r="AT78" s="37">
        <f>AT76/AT77</f>
        <v>66.25</v>
      </c>
      <c r="AX78" s="37">
        <f>AX76/AX77</f>
        <v>66.25</v>
      </c>
    </row>
    <row r="80" spans="1:62">
      <c r="A80" t="s">
        <v>85</v>
      </c>
      <c r="F80" s="10">
        <v>840000</v>
      </c>
      <c r="G80" t="s">
        <v>83</v>
      </c>
      <c r="H80" s="56">
        <f>-(F42-F82)*F81</f>
        <v>185000</v>
      </c>
      <c r="J80" s="37">
        <v>0</v>
      </c>
      <c r="N80" s="10">
        <v>3488100</v>
      </c>
      <c r="P80" s="12">
        <f>(N43-N82)*N81</f>
        <v>-464160</v>
      </c>
      <c r="R80" s="10">
        <v>2908500</v>
      </c>
      <c r="T80" s="12">
        <f>(R43-R82)*R81</f>
        <v>-349009</v>
      </c>
    </row>
    <row r="81" spans="1:18">
      <c r="A81" t="s">
        <v>77</v>
      </c>
      <c r="F81" s="22">
        <v>10000</v>
      </c>
      <c r="J81">
        <v>0</v>
      </c>
      <c r="N81" s="22">
        <v>48000</v>
      </c>
      <c r="R81" s="22">
        <v>47875</v>
      </c>
    </row>
    <row r="82" spans="1:18">
      <c r="A82" t="s">
        <v>78</v>
      </c>
      <c r="F82" s="37">
        <f>F80/F81</f>
        <v>84</v>
      </c>
      <c r="H82" s="5"/>
      <c r="L82" s="5"/>
      <c r="N82" s="37">
        <f>N80/N81</f>
        <v>72.67</v>
      </c>
      <c r="R82" s="37">
        <f>R80/R81</f>
        <v>60.75</v>
      </c>
    </row>
    <row r="84" spans="1:18">
      <c r="A84" t="s">
        <v>79</v>
      </c>
      <c r="H84" s="55">
        <f>SUM(H54:H83)</f>
        <v>930170</v>
      </c>
      <c r="L84" s="55">
        <f>SUM(L54:L83)</f>
        <v>3112128</v>
      </c>
    </row>
    <row r="85" spans="1:18">
      <c r="A85" t="s">
        <v>82</v>
      </c>
      <c r="H85" s="39"/>
    </row>
  </sheetData>
  <phoneticPr fontId="0" type="noConversion"/>
  <pageMargins left="0" right="0" top="1" bottom="1" header="0.5" footer="0.5"/>
  <pageSetup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topLeftCell="B1" workbookViewId="0">
      <selection activeCell="G8" sqref="G8"/>
    </sheetView>
  </sheetViews>
  <sheetFormatPr defaultRowHeight="12.75" outlineLevelCol="1"/>
  <cols>
    <col min="1" max="1" width="4.85546875" style="144" customWidth="1"/>
    <col min="2" max="2" width="10.7109375" style="32" customWidth="1"/>
    <col min="3" max="3" width="33" style="32" customWidth="1"/>
    <col min="4" max="4" width="11.42578125" style="32" customWidth="1" outlineLevel="1"/>
    <col min="5" max="5" width="13.5703125" style="32" customWidth="1" outlineLevel="1"/>
    <col min="6" max="6" width="13.7109375" style="32" customWidth="1"/>
    <col min="7" max="8" width="13.5703125" style="32" customWidth="1"/>
    <col min="9" max="10" width="12.42578125" style="32" customWidth="1"/>
    <col min="11" max="11" width="12.7109375" style="32" customWidth="1"/>
    <col min="12" max="15" width="12.42578125" style="32" customWidth="1"/>
    <col min="16" max="17" width="13.5703125" style="32" customWidth="1"/>
    <col min="18" max="24" width="9.140625" customWidth="1"/>
    <col min="26" max="26" width="10.140625" bestFit="1" customWidth="1"/>
  </cols>
  <sheetData>
    <row r="1" spans="1:17">
      <c r="A1" s="234" t="s">
        <v>220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17" ht="15.75">
      <c r="A2" s="235" t="s">
        <v>288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</row>
    <row r="3" spans="1:17">
      <c r="A3" s="145" t="s">
        <v>0</v>
      </c>
    </row>
    <row r="4" spans="1:17">
      <c r="A4" s="144" t="s">
        <v>1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</row>
    <row r="5" spans="1:17">
      <c r="B5" s="4" t="s">
        <v>221</v>
      </c>
      <c r="C5" s="6"/>
      <c r="D5" s="451" t="s">
        <v>10</v>
      </c>
      <c r="E5" s="451"/>
      <c r="F5" s="13">
        <v>41305</v>
      </c>
      <c r="G5" s="13">
        <v>41333</v>
      </c>
      <c r="H5" s="13">
        <v>41364</v>
      </c>
      <c r="I5" s="13">
        <v>41394</v>
      </c>
      <c r="J5" s="13">
        <v>41425</v>
      </c>
      <c r="K5" s="13">
        <v>41455</v>
      </c>
      <c r="L5" s="13">
        <v>41486</v>
      </c>
      <c r="M5" s="13">
        <v>41517</v>
      </c>
      <c r="N5" s="13">
        <v>41547</v>
      </c>
      <c r="O5" s="13">
        <v>41578</v>
      </c>
      <c r="P5" s="13">
        <v>41608</v>
      </c>
      <c r="Q5" s="13">
        <v>41639</v>
      </c>
    </row>
    <row r="6" spans="1:17">
      <c r="A6" s="144">
        <v>1</v>
      </c>
      <c r="B6" s="32" t="s">
        <v>3</v>
      </c>
      <c r="D6" s="452">
        <f>'WA Summary '!D6:E6</f>
        <v>103993001</v>
      </c>
      <c r="E6" s="452"/>
      <c r="F6" s="189">
        <f>'WA Summary '!F6</f>
        <v>16833261</v>
      </c>
      <c r="G6" s="189">
        <f>'WA Summary '!G6</f>
        <v>15418244</v>
      </c>
      <c r="H6" s="189">
        <f>'WA Summary '!H6</f>
        <v>12301548</v>
      </c>
      <c r="I6" s="189">
        <f>'WA Summary '!I6</f>
        <v>11248597</v>
      </c>
      <c r="J6" s="189">
        <f>'WA Summary '!J6</f>
        <v>7857289</v>
      </c>
      <c r="K6" s="189">
        <f>'WA Summary '!K6</f>
        <v>8387960</v>
      </c>
      <c r="L6" s="189">
        <f>'WA Summary '!L6</f>
        <v>6606233</v>
      </c>
      <c r="M6" s="189">
        <f>'WA Summary '!M6</f>
        <v>15747984</v>
      </c>
      <c r="N6" s="189">
        <f>'WA Summary '!N6</f>
        <v>9527787</v>
      </c>
      <c r="O6" s="189">
        <f>'WA Summary '!O6</f>
        <v>0</v>
      </c>
      <c r="P6" s="189">
        <f>'WA Summary '!P6</f>
        <v>31525</v>
      </c>
      <c r="Q6" s="189">
        <f>'WA Summary '!Q6</f>
        <v>32573</v>
      </c>
    </row>
    <row r="7" spans="1:17">
      <c r="A7" s="144">
        <f>A6+1</f>
        <v>2</v>
      </c>
      <c r="B7" s="32" t="s">
        <v>6</v>
      </c>
      <c r="D7" s="453">
        <f>'WA Summary '!D7:E7</f>
        <v>-75999293</v>
      </c>
      <c r="E7" s="453"/>
      <c r="F7" s="189">
        <f>'WA Summary '!F7</f>
        <v>-14027524</v>
      </c>
      <c r="G7" s="189">
        <f>'WA Summary '!G7</f>
        <v>-9676671</v>
      </c>
      <c r="H7" s="189">
        <f>'WA Summary '!H7</f>
        <v>-11198097</v>
      </c>
      <c r="I7" s="189">
        <f>'WA Summary '!I7</f>
        <v>-11240332</v>
      </c>
      <c r="J7" s="189">
        <f>'WA Summary '!J7</f>
        <v>-6705953</v>
      </c>
      <c r="K7" s="189">
        <f>'WA Summary '!K7</f>
        <v>-7688520</v>
      </c>
      <c r="L7" s="189">
        <f>'WA Summary '!L7</f>
        <v>-2002952</v>
      </c>
      <c r="M7" s="189">
        <f>'WA Summary '!M7</f>
        <v>-8712018</v>
      </c>
      <c r="N7" s="189">
        <f>'WA Summary '!N7</f>
        <v>-4747226</v>
      </c>
      <c r="O7" s="189">
        <f>'WA Summary '!O7</f>
        <v>0</v>
      </c>
      <c r="P7" s="189">
        <f>'WA Summary '!P7</f>
        <v>0</v>
      </c>
      <c r="Q7" s="189">
        <f>'WA Summary '!Q7</f>
        <v>0</v>
      </c>
    </row>
    <row r="8" spans="1:17">
      <c r="A8" s="144">
        <f>+A7+1</f>
        <v>3</v>
      </c>
      <c r="B8" s="204" t="s">
        <v>285</v>
      </c>
      <c r="D8" s="447" t="e">
        <f>'WA Summary '!#REF!</f>
        <v>#REF!</v>
      </c>
      <c r="E8" s="447"/>
      <c r="F8" s="189" t="e">
        <f>'WA Summary '!#REF!</f>
        <v>#REF!</v>
      </c>
      <c r="G8" s="189" t="e">
        <f>'WA Summary '!#REF!</f>
        <v>#REF!</v>
      </c>
      <c r="H8" s="189" t="e">
        <f>'WA Summary '!#REF!</f>
        <v>#REF!</v>
      </c>
      <c r="I8" s="189" t="e">
        <f>'WA Summary '!#REF!</f>
        <v>#REF!</v>
      </c>
      <c r="J8" s="189" t="e">
        <f>'WA Summary '!#REF!</f>
        <v>#REF!</v>
      </c>
      <c r="K8" s="189" t="e">
        <f>'WA Summary '!#REF!</f>
        <v>#REF!</v>
      </c>
      <c r="L8" s="189" t="e">
        <f>'WA Summary '!#REF!</f>
        <v>#REF!</v>
      </c>
      <c r="M8" s="189" t="e">
        <f>'WA Summary '!#REF!</f>
        <v>#REF!</v>
      </c>
      <c r="N8" s="189" t="e">
        <f>'WA Summary '!#REF!</f>
        <v>#REF!</v>
      </c>
      <c r="O8" s="189" t="e">
        <f>'WA Summary '!#REF!</f>
        <v>#REF!</v>
      </c>
      <c r="P8" s="189" t="e">
        <f>'WA Summary '!#REF!</f>
        <v>#REF!</v>
      </c>
      <c r="Q8" s="189" t="e">
        <f>'WA Summary '!#REF!</f>
        <v>#REF!</v>
      </c>
    </row>
    <row r="9" spans="1:17">
      <c r="A9" s="144">
        <f t="shared" ref="A9:A15" si="0">A8+1</f>
        <v>4</v>
      </c>
      <c r="B9" s="32" t="s">
        <v>4</v>
      </c>
      <c r="D9" s="447">
        <f>'WA Summary '!D8:E8</f>
        <v>17759523</v>
      </c>
      <c r="E9" s="447"/>
      <c r="F9" s="189">
        <f>'WA Summary '!F8</f>
        <v>2809889</v>
      </c>
      <c r="G9" s="189">
        <f>'WA Summary '!G8</f>
        <v>1451692</v>
      </c>
      <c r="H9" s="189">
        <f>'WA Summary '!H8</f>
        <v>2809269</v>
      </c>
      <c r="I9" s="189">
        <f>'WA Summary '!I8</f>
        <v>2116433</v>
      </c>
      <c r="J9" s="189">
        <f>'WA Summary '!J8</f>
        <v>593184</v>
      </c>
      <c r="K9" s="189">
        <f>'WA Summary '!K8</f>
        <v>1706688</v>
      </c>
      <c r="L9" s="189">
        <f>'WA Summary '!L8</f>
        <v>1521108</v>
      </c>
      <c r="M9" s="189">
        <f>'WA Summary '!M8</f>
        <v>2093856</v>
      </c>
      <c r="N9" s="189">
        <f>'WA Summary '!N8</f>
        <v>2657404</v>
      </c>
      <c r="O9" s="189">
        <f>'WA Summary '!O8</f>
        <v>0</v>
      </c>
      <c r="P9" s="189">
        <f>'WA Summary '!P8</f>
        <v>0</v>
      </c>
      <c r="Q9" s="189">
        <f>'WA Summary '!Q8</f>
        <v>0</v>
      </c>
    </row>
    <row r="10" spans="1:17">
      <c r="A10" s="144">
        <f t="shared" si="0"/>
        <v>5</v>
      </c>
      <c r="B10" s="32" t="s">
        <v>5</v>
      </c>
      <c r="D10" s="447">
        <f>'WA Summary '!D9:E9</f>
        <v>47108370</v>
      </c>
      <c r="E10" s="447"/>
      <c r="F10" s="189">
        <f>'WA Summary '!F9</f>
        <v>6964296</v>
      </c>
      <c r="G10" s="189">
        <f>'WA Summary '!G9</f>
        <v>4564678</v>
      </c>
      <c r="H10" s="189">
        <f>'WA Summary '!H9</f>
        <v>6313406</v>
      </c>
      <c r="I10" s="189">
        <f>'WA Summary '!I9</f>
        <v>4231002</v>
      </c>
      <c r="J10" s="189">
        <f>'WA Summary '!J9</f>
        <v>1876822</v>
      </c>
      <c r="K10" s="189">
        <f>'WA Summary '!K9</f>
        <v>2234952</v>
      </c>
      <c r="L10" s="189">
        <f>'WA Summary '!L9</f>
        <v>7376855</v>
      </c>
      <c r="M10" s="189">
        <f>'WA Summary '!M9</f>
        <v>7709363</v>
      </c>
      <c r="N10" s="189">
        <f>'WA Summary '!N9</f>
        <v>5836996</v>
      </c>
      <c r="O10" s="189">
        <f>'WA Summary '!O9</f>
        <v>0</v>
      </c>
      <c r="P10" s="189">
        <f>'WA Summary '!P9</f>
        <v>0</v>
      </c>
      <c r="Q10" s="189">
        <f>'WA Summary '!Q9</f>
        <v>0</v>
      </c>
    </row>
    <row r="11" spans="1:17">
      <c r="A11" s="144">
        <f t="shared" si="0"/>
        <v>6</v>
      </c>
      <c r="B11" s="51" t="s">
        <v>139</v>
      </c>
      <c r="C11" s="41"/>
      <c r="D11" s="447"/>
      <c r="E11" s="447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</row>
    <row r="12" spans="1:17">
      <c r="A12" s="146">
        <f t="shared" si="0"/>
        <v>7</v>
      </c>
      <c r="B12" s="51" t="s">
        <v>106</v>
      </c>
      <c r="C12" s="41"/>
      <c r="D12" s="413">
        <f>'WA Summary '!D11:E11</f>
        <v>13236702</v>
      </c>
      <c r="E12" s="413"/>
      <c r="F12" s="189">
        <f>'WA Summary '!F11</f>
        <v>1537140</v>
      </c>
      <c r="G12" s="189">
        <f>'WA Summary '!G11</f>
        <v>1480382</v>
      </c>
      <c r="H12" s="189">
        <f>'WA Summary '!H11</f>
        <v>1516859</v>
      </c>
      <c r="I12" s="189">
        <f>'WA Summary '!I11</f>
        <v>1455249</v>
      </c>
      <c r="J12" s="189">
        <f>'WA Summary '!J11</f>
        <v>1428486</v>
      </c>
      <c r="K12" s="189">
        <f>'WA Summary '!K11</f>
        <v>1408481</v>
      </c>
      <c r="L12" s="189">
        <f>'WA Summary '!L11</f>
        <v>1431372</v>
      </c>
      <c r="M12" s="189">
        <f>'WA Summary '!M11</f>
        <v>1471267</v>
      </c>
      <c r="N12" s="189">
        <f>'WA Summary '!N11</f>
        <v>1507466</v>
      </c>
      <c r="O12" s="189">
        <f>'WA Summary '!O11</f>
        <v>0</v>
      </c>
      <c r="P12" s="189">
        <f>'WA Summary '!P11</f>
        <v>0</v>
      </c>
      <c r="Q12" s="189">
        <f>'WA Summary '!Q11</f>
        <v>0</v>
      </c>
    </row>
    <row r="13" spans="1:17">
      <c r="A13" s="146">
        <f t="shared" si="0"/>
        <v>8</v>
      </c>
      <c r="B13" s="51" t="s">
        <v>107</v>
      </c>
      <c r="C13" s="41"/>
      <c r="D13" s="413">
        <f>'WA Summary '!D12:E12</f>
        <v>490776</v>
      </c>
      <c r="E13" s="413"/>
      <c r="F13" s="189">
        <f>'WA Summary '!F12</f>
        <v>64248</v>
      </c>
      <c r="G13" s="189">
        <f>'WA Summary '!G12</f>
        <v>38145</v>
      </c>
      <c r="H13" s="189">
        <f>'WA Summary '!H12</f>
        <v>56451</v>
      </c>
      <c r="I13" s="189">
        <f>'WA Summary '!I12</f>
        <v>55776</v>
      </c>
      <c r="J13" s="189">
        <f>'WA Summary '!J12</f>
        <v>56900</v>
      </c>
      <c r="K13" s="189">
        <f>'WA Summary '!K12</f>
        <v>54711</v>
      </c>
      <c r="L13" s="189">
        <f>'WA Summary '!L12</f>
        <v>42517</v>
      </c>
      <c r="M13" s="189">
        <f>'WA Summary '!M12</f>
        <v>54638</v>
      </c>
      <c r="N13" s="189">
        <f>'WA Summary '!N12</f>
        <v>67390</v>
      </c>
      <c r="O13" s="189">
        <f>'WA Summary '!O12</f>
        <v>0</v>
      </c>
      <c r="P13" s="189">
        <f>'WA Summary '!P12</f>
        <v>0</v>
      </c>
      <c r="Q13" s="189">
        <f>'WA Summary '!Q12</f>
        <v>0</v>
      </c>
    </row>
    <row r="14" spans="1:17">
      <c r="A14" s="144">
        <f t="shared" si="0"/>
        <v>9</v>
      </c>
      <c r="B14" s="52" t="s">
        <v>188</v>
      </c>
      <c r="D14" s="448" t="e">
        <f>'WA Summary '!#REF!</f>
        <v>#REF!</v>
      </c>
      <c r="E14" s="448"/>
      <c r="F14" s="189" t="e">
        <f>'WA Summary '!#REF!</f>
        <v>#REF!</v>
      </c>
      <c r="G14" s="189" t="e">
        <f>'WA Summary '!#REF!</f>
        <v>#REF!</v>
      </c>
      <c r="H14" s="189" t="e">
        <f>'WA Summary '!#REF!</f>
        <v>#REF!</v>
      </c>
      <c r="I14" s="189" t="e">
        <f>'WA Summary '!#REF!</f>
        <v>#REF!</v>
      </c>
      <c r="J14" s="189" t="e">
        <f>'WA Summary '!#REF!</f>
        <v>#REF!</v>
      </c>
      <c r="K14" s="189" t="e">
        <f>'WA Summary '!#REF!</f>
        <v>#REF!</v>
      </c>
      <c r="L14" s="189" t="e">
        <f>'WA Summary '!#REF!</f>
        <v>#REF!</v>
      </c>
      <c r="M14" s="189" t="e">
        <f>'WA Summary '!#REF!</f>
        <v>#REF!</v>
      </c>
      <c r="N14" s="189" t="e">
        <f>'WA Summary '!#REF!</f>
        <v>#REF!</v>
      </c>
      <c r="O14" s="189" t="e">
        <f>'WA Summary '!#REF!</f>
        <v>#REF!</v>
      </c>
      <c r="P14" s="189" t="e">
        <f>'WA Summary '!#REF!</f>
        <v>#REF!</v>
      </c>
      <c r="Q14" s="189" t="e">
        <f>'WA Summary '!#REF!</f>
        <v>#REF!</v>
      </c>
    </row>
    <row r="15" spans="1:17">
      <c r="A15" s="144">
        <f t="shared" si="0"/>
        <v>10</v>
      </c>
      <c r="B15" s="165" t="s">
        <v>11</v>
      </c>
      <c r="C15" s="165"/>
      <c r="D15" s="445" t="e">
        <f>SUM(D6:E14)</f>
        <v>#REF!</v>
      </c>
      <c r="E15" s="445"/>
      <c r="F15" s="190" t="e">
        <f>SUM(F6:F14)</f>
        <v>#REF!</v>
      </c>
      <c r="G15" s="190" t="e">
        <f t="shared" ref="G15:Q15" si="1">SUM(G6:G14)</f>
        <v>#REF!</v>
      </c>
      <c r="H15" s="190" t="e">
        <f t="shared" si="1"/>
        <v>#REF!</v>
      </c>
      <c r="I15" s="190" t="e">
        <f t="shared" si="1"/>
        <v>#REF!</v>
      </c>
      <c r="J15" s="190" t="e">
        <f t="shared" si="1"/>
        <v>#REF!</v>
      </c>
      <c r="K15" s="190" t="e">
        <f t="shared" si="1"/>
        <v>#REF!</v>
      </c>
      <c r="L15" s="190" t="e">
        <f t="shared" si="1"/>
        <v>#REF!</v>
      </c>
      <c r="M15" s="190" t="e">
        <f t="shared" si="1"/>
        <v>#REF!</v>
      </c>
      <c r="N15" s="190" t="e">
        <f t="shared" si="1"/>
        <v>#REF!</v>
      </c>
      <c r="O15" s="190" t="e">
        <f t="shared" si="1"/>
        <v>#REF!</v>
      </c>
      <c r="P15" s="190" t="e">
        <f t="shared" si="1"/>
        <v>#REF!</v>
      </c>
      <c r="Q15" s="190" t="e">
        <f t="shared" si="1"/>
        <v>#REF!</v>
      </c>
    </row>
    <row r="16" spans="1:17" ht="25.5" customHeight="1">
      <c r="B16" s="4" t="s">
        <v>13</v>
      </c>
      <c r="C16" s="6"/>
      <c r="D16" s="449" t="str">
        <f>'WA Summary '!D14:E14</f>
        <v>Total through September</v>
      </c>
      <c r="E16" s="449"/>
      <c r="F16" s="207">
        <f>F5</f>
        <v>41305</v>
      </c>
      <c r="G16" s="207">
        <f>G5</f>
        <v>41333</v>
      </c>
      <c r="H16" s="207">
        <f t="shared" ref="H16:Q16" si="2">H5</f>
        <v>41364</v>
      </c>
      <c r="I16" s="207">
        <f t="shared" si="2"/>
        <v>41394</v>
      </c>
      <c r="J16" s="207">
        <f t="shared" si="2"/>
        <v>41425</v>
      </c>
      <c r="K16" s="207">
        <f t="shared" si="2"/>
        <v>41455</v>
      </c>
      <c r="L16" s="207">
        <f t="shared" si="2"/>
        <v>41486</v>
      </c>
      <c r="M16" s="207">
        <f t="shared" si="2"/>
        <v>41517</v>
      </c>
      <c r="N16" s="207">
        <f t="shared" si="2"/>
        <v>41547</v>
      </c>
      <c r="O16" s="207">
        <f t="shared" si="2"/>
        <v>41578</v>
      </c>
      <c r="P16" s="207">
        <f t="shared" si="2"/>
        <v>41608</v>
      </c>
      <c r="Q16" s="207">
        <f t="shared" si="2"/>
        <v>41639</v>
      </c>
    </row>
    <row r="17" spans="1:26">
      <c r="A17" s="144">
        <f>A15+1</f>
        <v>11</v>
      </c>
      <c r="B17" s="155" t="s">
        <v>3</v>
      </c>
      <c r="C17" s="154"/>
      <c r="D17" s="450">
        <f>'WA Summary '!D15:E15</f>
        <v>81329147</v>
      </c>
      <c r="E17" s="450"/>
      <c r="F17" s="208">
        <f>'WA Summary '!F15</f>
        <v>12127251</v>
      </c>
      <c r="G17" s="208">
        <f>'WA Summary '!G15</f>
        <v>11591985</v>
      </c>
      <c r="H17" s="208">
        <f>'WA Summary '!H15</f>
        <v>10660401</v>
      </c>
      <c r="I17" s="208">
        <f>'WA Summary '!I15</f>
        <v>10031882</v>
      </c>
      <c r="J17" s="208">
        <f>'WA Summary '!J15</f>
        <v>7204007</v>
      </c>
      <c r="K17" s="208">
        <f>'WA Summary '!K15</f>
        <v>6832768</v>
      </c>
      <c r="L17" s="208">
        <f>'WA Summary '!L15</f>
        <v>7367141</v>
      </c>
      <c r="M17" s="208">
        <f>'WA Summary '!M15</f>
        <v>8064916</v>
      </c>
      <c r="N17" s="208">
        <f>'WA Summary '!N15</f>
        <v>7448796</v>
      </c>
      <c r="O17" s="208">
        <f>'WA Summary '!O15</f>
        <v>7999787</v>
      </c>
      <c r="P17" s="208">
        <f>'WA Summary '!P15</f>
        <v>11642227</v>
      </c>
      <c r="Q17" s="208">
        <f>'WA Summary '!Q15</f>
        <v>12112599</v>
      </c>
    </row>
    <row r="18" spans="1:26">
      <c r="A18" s="144">
        <f t="shared" ref="A18:A33" si="3">A17+1</f>
        <v>12</v>
      </c>
      <c r="B18" s="155" t="s">
        <v>6</v>
      </c>
      <c r="C18" s="154"/>
      <c r="D18" s="443">
        <f>'WA Summary '!D16:E16</f>
        <v>-50643553</v>
      </c>
      <c r="E18" s="443"/>
      <c r="F18" s="209">
        <f>'WA Summary '!F16</f>
        <v>-7154528</v>
      </c>
      <c r="G18" s="209">
        <f>'WA Summary '!G16</f>
        <v>-6331583</v>
      </c>
      <c r="H18" s="209">
        <f>'WA Summary '!H16</f>
        <v>-7373144</v>
      </c>
      <c r="I18" s="209">
        <f>'WA Summary '!I16</f>
        <v>-9451450</v>
      </c>
      <c r="J18" s="209">
        <f>'WA Summary '!J16</f>
        <v>-3992970</v>
      </c>
      <c r="K18" s="209">
        <f>'WA Summary '!K16</f>
        <v>-3782256</v>
      </c>
      <c r="L18" s="209">
        <f>'WA Summary '!L16</f>
        <v>-5325599</v>
      </c>
      <c r="M18" s="209">
        <f>'WA Summary '!M16</f>
        <v>-3215251</v>
      </c>
      <c r="N18" s="209">
        <f>'WA Summary '!N16</f>
        <v>-4016772</v>
      </c>
      <c r="O18" s="209">
        <f>'WA Summary '!O16</f>
        <v>-3304259</v>
      </c>
      <c r="P18" s="209">
        <f>'WA Summary '!P16</f>
        <v>-4468025</v>
      </c>
      <c r="Q18" s="209">
        <f>'WA Summary '!Q16</f>
        <v>-6320023</v>
      </c>
    </row>
    <row r="19" spans="1:26">
      <c r="A19" s="144">
        <f>+A18+1</f>
        <v>13</v>
      </c>
      <c r="B19" s="205" t="s">
        <v>285</v>
      </c>
      <c r="C19" s="154"/>
      <c r="D19" s="443" t="e">
        <f>'WA Summary '!#REF!</f>
        <v>#REF!</v>
      </c>
      <c r="E19" s="443"/>
      <c r="F19" s="209" t="e">
        <f>'WA Summary '!#REF!</f>
        <v>#REF!</v>
      </c>
      <c r="G19" s="209" t="e">
        <f>'WA Summary '!#REF!</f>
        <v>#REF!</v>
      </c>
      <c r="H19" s="209" t="e">
        <f>'WA Summary '!#REF!</f>
        <v>#REF!</v>
      </c>
      <c r="I19" s="209" t="e">
        <f>'WA Summary '!#REF!</f>
        <v>#REF!</v>
      </c>
      <c r="J19" s="209" t="e">
        <f>'WA Summary '!#REF!</f>
        <v>#REF!</v>
      </c>
      <c r="K19" s="209" t="e">
        <f>'WA Summary '!#REF!</f>
        <v>#REF!</v>
      </c>
      <c r="L19" s="209" t="e">
        <f>'WA Summary '!#REF!</f>
        <v>#REF!</v>
      </c>
      <c r="M19" s="209" t="e">
        <f>'WA Summary '!#REF!</f>
        <v>#REF!</v>
      </c>
      <c r="N19" s="209" t="e">
        <f>'WA Summary '!#REF!</f>
        <v>#REF!</v>
      </c>
      <c r="O19" s="209" t="e">
        <f>'WA Summary '!#REF!</f>
        <v>#REF!</v>
      </c>
      <c r="P19" s="209" t="e">
        <f>'WA Summary '!#REF!</f>
        <v>#REF!</v>
      </c>
      <c r="Q19" s="209" t="e">
        <f>'WA Summary '!#REF!</f>
        <v>#REF!</v>
      </c>
    </row>
    <row r="20" spans="1:26">
      <c r="A20" s="144">
        <f>+A19+1</f>
        <v>14</v>
      </c>
      <c r="B20" s="155" t="s">
        <v>4</v>
      </c>
      <c r="C20" s="154"/>
      <c r="D20" s="443">
        <f>'WA Summary '!D17:E17</f>
        <v>20030089</v>
      </c>
      <c r="E20" s="443"/>
      <c r="F20" s="208">
        <f>'WA Summary '!F17</f>
        <v>2667343</v>
      </c>
      <c r="G20" s="208">
        <f>'WA Summary '!G17</f>
        <v>2503517</v>
      </c>
      <c r="H20" s="208">
        <f>'WA Summary '!H17</f>
        <v>2494287</v>
      </c>
      <c r="I20" s="208">
        <f>'WA Summary '!I17</f>
        <v>2179004</v>
      </c>
      <c r="J20" s="208">
        <f>'WA Summary '!J17</f>
        <v>1551263</v>
      </c>
      <c r="K20" s="208">
        <f>'WA Summary '!K17</f>
        <v>1358751</v>
      </c>
      <c r="L20" s="208">
        <f>'WA Summary '!L17</f>
        <v>2219592</v>
      </c>
      <c r="M20" s="208">
        <f>'WA Summary '!M17</f>
        <v>2478125</v>
      </c>
      <c r="N20" s="208">
        <f>'WA Summary '!N17</f>
        <v>2578207</v>
      </c>
      <c r="O20" s="208">
        <f>'WA Summary '!O17</f>
        <v>2592987</v>
      </c>
      <c r="P20" s="208">
        <f>'WA Summary '!P17</f>
        <v>2566833</v>
      </c>
      <c r="Q20" s="208">
        <f>'WA Summary '!Q17</f>
        <v>2703884</v>
      </c>
    </row>
    <row r="21" spans="1:26">
      <c r="A21" s="144">
        <f t="shared" si="3"/>
        <v>15</v>
      </c>
      <c r="B21" s="155" t="s">
        <v>5</v>
      </c>
      <c r="C21" s="154"/>
      <c r="D21" s="443">
        <f>'WA Summary '!D18:E18</f>
        <v>51351467</v>
      </c>
      <c r="E21" s="443"/>
      <c r="F21" s="208">
        <f>'WA Summary '!F18</f>
        <v>8481668</v>
      </c>
      <c r="G21" s="208">
        <f>'WA Summary '!G18</f>
        <v>7698692</v>
      </c>
      <c r="H21" s="208">
        <f>'WA Summary '!H18</f>
        <v>7292619</v>
      </c>
      <c r="I21" s="208">
        <f>'WA Summary '!I18</f>
        <v>5265751</v>
      </c>
      <c r="J21" s="208">
        <f>'WA Summary '!J18</f>
        <v>1426182</v>
      </c>
      <c r="K21" s="208">
        <f>'WA Summary '!K18</f>
        <v>1698327</v>
      </c>
      <c r="L21" s="208">
        <f>'WA Summary '!L18</f>
        <v>5653252</v>
      </c>
      <c r="M21" s="208">
        <f>'WA Summary '!M18</f>
        <v>7341418</v>
      </c>
      <c r="N21" s="208">
        <f>'WA Summary '!N18</f>
        <v>6493558</v>
      </c>
      <c r="O21" s="208">
        <f>'WA Summary '!O18</f>
        <v>6103470</v>
      </c>
      <c r="P21" s="208">
        <f>'WA Summary '!P18</f>
        <v>6561954</v>
      </c>
      <c r="Q21" s="208">
        <f>'WA Summary '!Q18</f>
        <v>8397561</v>
      </c>
    </row>
    <row r="22" spans="1:26">
      <c r="A22" s="144">
        <f t="shared" si="3"/>
        <v>16</v>
      </c>
      <c r="B22" s="155" t="s">
        <v>139</v>
      </c>
      <c r="C22" s="154"/>
      <c r="D22" s="443"/>
      <c r="E22" s="443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</row>
    <row r="23" spans="1:26">
      <c r="A23" s="144">
        <f t="shared" si="3"/>
        <v>17</v>
      </c>
      <c r="B23" s="155" t="s">
        <v>106</v>
      </c>
      <c r="C23" s="154"/>
      <c r="D23" s="443">
        <f>'WA Summary '!D20:E20</f>
        <v>13075098</v>
      </c>
      <c r="E23" s="443"/>
      <c r="F23" s="210">
        <f>'WA Summary '!F20</f>
        <v>1503379</v>
      </c>
      <c r="G23" s="210">
        <f>'WA Summary '!G20</f>
        <v>1417562</v>
      </c>
      <c r="H23" s="210">
        <f>'WA Summary '!H20</f>
        <v>1557827</v>
      </c>
      <c r="I23" s="210">
        <f>'WA Summary '!I20</f>
        <v>1347286</v>
      </c>
      <c r="J23" s="210">
        <f>'WA Summary '!J20</f>
        <v>1394142</v>
      </c>
      <c r="K23" s="210">
        <f>'WA Summary '!K20</f>
        <v>1391308</v>
      </c>
      <c r="L23" s="208">
        <f>'WA Summary '!L20</f>
        <v>1452951</v>
      </c>
      <c r="M23" s="208">
        <f>'WA Summary '!M20</f>
        <v>1443202</v>
      </c>
      <c r="N23" s="208">
        <f>'WA Summary '!N20</f>
        <v>1567441</v>
      </c>
      <c r="O23" s="208">
        <f>'WA Summary '!O20</f>
        <v>1406861</v>
      </c>
      <c r="P23" s="208">
        <f>'WA Summary '!P20</f>
        <v>1416449</v>
      </c>
      <c r="Q23" s="208">
        <f>'WA Summary '!Q20</f>
        <v>1446134</v>
      </c>
    </row>
    <row r="24" spans="1:26">
      <c r="A24" s="144">
        <f t="shared" si="3"/>
        <v>18</v>
      </c>
      <c r="B24" s="155" t="s">
        <v>107</v>
      </c>
      <c r="C24" s="155"/>
      <c r="D24" s="444">
        <f>'WA Summary '!D21:E21</f>
        <v>401250</v>
      </c>
      <c r="E24" s="444"/>
      <c r="F24" s="208">
        <f>'WA Summary '!F21</f>
        <v>57500</v>
      </c>
      <c r="G24" s="208">
        <f>'WA Summary '!G21</f>
        <v>57500</v>
      </c>
      <c r="H24" s="208">
        <f>'WA Summary '!H21</f>
        <v>57500</v>
      </c>
      <c r="I24" s="208">
        <f>'WA Summary '!I21</f>
        <v>57500</v>
      </c>
      <c r="J24" s="208">
        <f>'WA Summary '!J21</f>
        <v>34250</v>
      </c>
      <c r="K24" s="208">
        <f>'WA Summary '!K21</f>
        <v>34250</v>
      </c>
      <c r="L24" s="208">
        <f>'WA Summary '!L21</f>
        <v>34250</v>
      </c>
      <c r="M24" s="208">
        <f>'WA Summary '!M21</f>
        <v>34250</v>
      </c>
      <c r="N24" s="208">
        <f>'WA Summary '!N21</f>
        <v>34250</v>
      </c>
      <c r="O24" s="208">
        <f>'WA Summary '!O21</f>
        <v>34250</v>
      </c>
      <c r="P24" s="208">
        <f>'WA Summary '!P21</f>
        <v>34250</v>
      </c>
      <c r="Q24" s="208">
        <f>'WA Summary '!Q21</f>
        <v>34250</v>
      </c>
    </row>
    <row r="25" spans="1:26">
      <c r="A25" s="144">
        <f t="shared" si="3"/>
        <v>19</v>
      </c>
      <c r="B25" s="165" t="s">
        <v>7</v>
      </c>
      <c r="C25" s="165"/>
      <c r="D25" s="445" t="e">
        <f>SUM(D17:E24)</f>
        <v>#REF!</v>
      </c>
      <c r="E25" s="445"/>
      <c r="F25" s="166" t="e">
        <f>SUM(F17:F24)</f>
        <v>#REF!</v>
      </c>
      <c r="G25" s="166" t="e">
        <f t="shared" ref="G25:Q25" si="4">SUM(G17:G24)</f>
        <v>#REF!</v>
      </c>
      <c r="H25" s="166" t="e">
        <f t="shared" si="4"/>
        <v>#REF!</v>
      </c>
      <c r="I25" s="166" t="e">
        <f t="shared" si="4"/>
        <v>#REF!</v>
      </c>
      <c r="J25" s="166" t="e">
        <f t="shared" si="4"/>
        <v>#REF!</v>
      </c>
      <c r="K25" s="166" t="e">
        <f t="shared" si="4"/>
        <v>#REF!</v>
      </c>
      <c r="L25" s="166" t="e">
        <f t="shared" si="4"/>
        <v>#REF!</v>
      </c>
      <c r="M25" s="166" t="e">
        <f t="shared" si="4"/>
        <v>#REF!</v>
      </c>
      <c r="N25" s="166" t="e">
        <f t="shared" si="4"/>
        <v>#REF!</v>
      </c>
      <c r="O25" s="166" t="e">
        <f t="shared" si="4"/>
        <v>#REF!</v>
      </c>
      <c r="P25" s="166" t="e">
        <f t="shared" si="4"/>
        <v>#REF!</v>
      </c>
      <c r="Q25" s="166" t="e">
        <f t="shared" si="4"/>
        <v>#REF!</v>
      </c>
    </row>
    <row r="26" spans="1:26">
      <c r="A26" s="144">
        <f t="shared" si="3"/>
        <v>20</v>
      </c>
      <c r="B26" s="165" t="s">
        <v>8</v>
      </c>
      <c r="C26" s="165"/>
      <c r="D26" s="446" t="e">
        <f>D15-D25</f>
        <v>#REF!</v>
      </c>
      <c r="E26" s="446" t="str">
        <f>IF(E15=0," ",E15-E25)</f>
        <v xml:space="preserve"> </v>
      </c>
      <c r="F26" s="166" t="e">
        <f>IF(F15=0," ",F15-F25)</f>
        <v>#REF!</v>
      </c>
      <c r="G26" s="166" t="e">
        <f t="shared" ref="G26:Q26" si="5">IF(G15=0," ",G15-G25)</f>
        <v>#REF!</v>
      </c>
      <c r="H26" s="166" t="e">
        <f t="shared" si="5"/>
        <v>#REF!</v>
      </c>
      <c r="I26" s="166" t="e">
        <f t="shared" si="5"/>
        <v>#REF!</v>
      </c>
      <c r="J26" s="166" t="e">
        <f t="shared" si="5"/>
        <v>#REF!</v>
      </c>
      <c r="K26" s="166" t="e">
        <f t="shared" si="5"/>
        <v>#REF!</v>
      </c>
      <c r="L26" s="166" t="e">
        <f>IF(L15=0," ",L15-L25)</f>
        <v>#REF!</v>
      </c>
      <c r="M26" s="166" t="e">
        <f t="shared" si="5"/>
        <v>#REF!</v>
      </c>
      <c r="N26" s="166" t="e">
        <f t="shared" si="5"/>
        <v>#REF!</v>
      </c>
      <c r="O26" s="166" t="e">
        <f t="shared" si="5"/>
        <v>#REF!</v>
      </c>
      <c r="P26" s="166" t="e">
        <f t="shared" si="5"/>
        <v>#REF!</v>
      </c>
      <c r="Q26" s="166" t="e">
        <f t="shared" si="5"/>
        <v>#REF!</v>
      </c>
      <c r="Z26" s="8"/>
    </row>
    <row r="27" spans="1:26">
      <c r="A27" s="146">
        <f t="shared" si="3"/>
        <v>21</v>
      </c>
      <c r="B27" s="187" t="s">
        <v>165</v>
      </c>
      <c r="C27" s="187"/>
      <c r="D27" s="440">
        <f>SUM(F27:Q27)</f>
        <v>-10307174</v>
      </c>
      <c r="E27" s="440"/>
      <c r="F27" s="188">
        <f>'WA Summary '!F25</f>
        <v>-641912</v>
      </c>
      <c r="G27" s="188">
        <f>'WA Summary '!G25</f>
        <v>-1114849</v>
      </c>
      <c r="H27" s="188">
        <f>'WA Summary '!H25</f>
        <v>-797723</v>
      </c>
      <c r="I27" s="188">
        <f>'WA Summary '!I25</f>
        <v>-1239602</v>
      </c>
      <c r="J27" s="188">
        <f>'WA Summary '!J25</f>
        <v>-1465561</v>
      </c>
      <c r="K27" s="188">
        <f>'WA Monthly'!J135</f>
        <v>-1476561</v>
      </c>
      <c r="L27" s="188">
        <f>'WA Monthly'!K135</f>
        <v>-1394230</v>
      </c>
      <c r="M27" s="188">
        <f>'WA Monthly'!L135</f>
        <v>-912263</v>
      </c>
      <c r="N27" s="188">
        <f>'WA Monthly'!M135</f>
        <v>-1264473</v>
      </c>
      <c r="O27" s="188" t="str">
        <f>'WA Monthly'!N135</f>
        <v xml:space="preserve"> </v>
      </c>
      <c r="P27" s="188">
        <f>'WA Monthly'!O135</f>
        <v>0</v>
      </c>
      <c r="Q27" s="188">
        <f>'WA Monthly'!P135</f>
        <v>0</v>
      </c>
    </row>
    <row r="28" spans="1:26" ht="15">
      <c r="A28" s="144">
        <f t="shared" si="3"/>
        <v>22</v>
      </c>
      <c r="B28" s="32" t="s">
        <v>116</v>
      </c>
      <c r="D28" s="441" t="e">
        <f>D26+D27</f>
        <v>#REF!</v>
      </c>
      <c r="E28" s="441"/>
      <c r="F28" s="157" t="e">
        <f t="shared" ref="F28:Q28" si="6">SUM(F26:F27)</f>
        <v>#REF!</v>
      </c>
      <c r="G28" s="139" t="e">
        <f t="shared" si="6"/>
        <v>#REF!</v>
      </c>
      <c r="H28" s="139" t="e">
        <f t="shared" si="6"/>
        <v>#REF!</v>
      </c>
      <c r="I28" s="139" t="e">
        <f t="shared" si="6"/>
        <v>#REF!</v>
      </c>
      <c r="J28" s="139" t="e">
        <f t="shared" si="6"/>
        <v>#REF!</v>
      </c>
      <c r="K28" s="139" t="e">
        <f t="shared" si="6"/>
        <v>#REF!</v>
      </c>
      <c r="L28" s="139" t="e">
        <f t="shared" si="6"/>
        <v>#REF!</v>
      </c>
      <c r="M28" s="139" t="e">
        <f t="shared" si="6"/>
        <v>#REF!</v>
      </c>
      <c r="N28" s="139" t="e">
        <f t="shared" si="6"/>
        <v>#REF!</v>
      </c>
      <c r="O28" s="139" t="e">
        <f t="shared" si="6"/>
        <v>#REF!</v>
      </c>
      <c r="P28" s="139" t="e">
        <f t="shared" si="6"/>
        <v>#REF!</v>
      </c>
      <c r="Q28" s="139" t="e">
        <f t="shared" si="6"/>
        <v>#REF!</v>
      </c>
    </row>
    <row r="29" spans="1:26">
      <c r="A29" s="146">
        <f t="shared" si="3"/>
        <v>23</v>
      </c>
      <c r="B29" s="51" t="s">
        <v>218</v>
      </c>
      <c r="D29" s="159"/>
      <c r="E29" s="159"/>
      <c r="F29" s="211">
        <v>0.65239999999999998</v>
      </c>
      <c r="G29" s="211">
        <v>0.65239999999999998</v>
      </c>
      <c r="H29" s="211">
        <v>0.65239999999999998</v>
      </c>
      <c r="I29" s="211">
        <v>0.65239999999999998</v>
      </c>
      <c r="J29" s="211">
        <v>0.65239999999999998</v>
      </c>
      <c r="K29" s="211">
        <v>0.65239999999999998</v>
      </c>
      <c r="L29" s="211">
        <v>0.65239999999999998</v>
      </c>
      <c r="M29" s="211">
        <v>0.65239999999999998</v>
      </c>
      <c r="N29" s="211">
        <v>0.65239999999999998</v>
      </c>
      <c r="O29" s="211">
        <v>0.65239999999999998</v>
      </c>
      <c r="P29" s="211">
        <v>0.65239999999999998</v>
      </c>
      <c r="Q29" s="211">
        <v>0.65239999999999998</v>
      </c>
    </row>
    <row r="30" spans="1:26">
      <c r="A30" s="144">
        <f t="shared" si="3"/>
        <v>24</v>
      </c>
      <c r="B30" s="32" t="s">
        <v>219</v>
      </c>
      <c r="D30" s="421" t="e">
        <f>SUM(F30:Q30)</f>
        <v>#REF!</v>
      </c>
      <c r="E30" s="421"/>
      <c r="F30" s="163" t="e">
        <f>+F28*F29</f>
        <v>#REF!</v>
      </c>
      <c r="G30" s="163" t="e">
        <f>+G28*G29</f>
        <v>#REF!</v>
      </c>
      <c r="H30" s="163" t="e">
        <f>+H28*H29</f>
        <v>#REF!</v>
      </c>
      <c r="I30" s="163" t="e">
        <f t="shared" ref="I30:Q30" si="7">+I28*I29</f>
        <v>#REF!</v>
      </c>
      <c r="J30" s="163" t="e">
        <f t="shared" si="7"/>
        <v>#REF!</v>
      </c>
      <c r="K30" s="163" t="e">
        <f t="shared" si="7"/>
        <v>#REF!</v>
      </c>
      <c r="L30" s="163" t="e">
        <f t="shared" si="7"/>
        <v>#REF!</v>
      </c>
      <c r="M30" s="163" t="e">
        <f t="shared" si="7"/>
        <v>#REF!</v>
      </c>
      <c r="N30" s="163" t="e">
        <f t="shared" si="7"/>
        <v>#REF!</v>
      </c>
      <c r="O30" s="163" t="e">
        <f t="shared" si="7"/>
        <v>#REF!</v>
      </c>
      <c r="P30" s="163" t="e">
        <f t="shared" si="7"/>
        <v>#REF!</v>
      </c>
      <c r="Q30" s="163" t="e">
        <f t="shared" si="7"/>
        <v>#REF!</v>
      </c>
    </row>
    <row r="31" spans="1:26">
      <c r="A31" s="182">
        <f t="shared" si="3"/>
        <v>25</v>
      </c>
      <c r="B31" s="442" t="s">
        <v>248</v>
      </c>
      <c r="C31" s="442"/>
      <c r="D31" s="421">
        <f>SUM(F31:Q31)</f>
        <v>1014813</v>
      </c>
      <c r="E31" s="421"/>
      <c r="F31" s="212">
        <f>'WA Summary '!F30</f>
        <v>166826</v>
      </c>
      <c r="G31" s="212">
        <f>'WA Summary '!G30</f>
        <v>276446</v>
      </c>
      <c r="H31" s="212">
        <f>'WA Summary '!H30</f>
        <v>54137</v>
      </c>
      <c r="I31" s="212">
        <f>'WA Summary '!I30</f>
        <v>-41108</v>
      </c>
      <c r="J31" s="212">
        <f>'WA Summary '!J30</f>
        <v>276558</v>
      </c>
      <c r="K31" s="212">
        <f>'WA Summary '!K30</f>
        <v>82672</v>
      </c>
      <c r="L31" s="212">
        <f>'WA Summary '!L30</f>
        <v>114455</v>
      </c>
      <c r="M31" s="212">
        <f>'WA Summary '!M30</f>
        <v>-583396</v>
      </c>
      <c r="N31" s="212">
        <f>'WA Summary '!N30</f>
        <v>668223</v>
      </c>
      <c r="O31" s="170"/>
      <c r="P31" s="170"/>
      <c r="Q31" s="170"/>
    </row>
    <row r="32" spans="1:26">
      <c r="A32" s="169">
        <f t="shared" si="3"/>
        <v>26</v>
      </c>
      <c r="B32" s="426" t="s">
        <v>193</v>
      </c>
      <c r="C32" s="426"/>
      <c r="D32" s="428" t="e">
        <f>SUM(F32:Q32)</f>
        <v>#REF!</v>
      </c>
      <c r="E32" s="428"/>
      <c r="F32" s="185" t="e">
        <f>IF(F15=0," ",F30+F31)</f>
        <v>#REF!</v>
      </c>
      <c r="G32" s="185" t="e">
        <f t="shared" ref="G32:Q32" si="8">IF(G15=0," ",G30+G31)</f>
        <v>#REF!</v>
      </c>
      <c r="H32" s="185" t="e">
        <f t="shared" si="8"/>
        <v>#REF!</v>
      </c>
      <c r="I32" s="185" t="e">
        <f t="shared" si="8"/>
        <v>#REF!</v>
      </c>
      <c r="J32" s="185" t="e">
        <f t="shared" si="8"/>
        <v>#REF!</v>
      </c>
      <c r="K32" s="185" t="e">
        <f t="shared" si="8"/>
        <v>#REF!</v>
      </c>
      <c r="L32" s="185" t="e">
        <f t="shared" si="8"/>
        <v>#REF!</v>
      </c>
      <c r="M32" s="185" t="e">
        <f t="shared" si="8"/>
        <v>#REF!</v>
      </c>
      <c r="N32" s="185" t="e">
        <f t="shared" si="8"/>
        <v>#REF!</v>
      </c>
      <c r="O32" s="185" t="e">
        <f t="shared" si="8"/>
        <v>#REF!</v>
      </c>
      <c r="P32" s="185" t="e">
        <f t="shared" si="8"/>
        <v>#REF!</v>
      </c>
      <c r="Q32" s="185" t="e">
        <f t="shared" si="8"/>
        <v>#REF!</v>
      </c>
    </row>
    <row r="33" spans="1:17">
      <c r="A33" s="202">
        <f t="shared" si="3"/>
        <v>27</v>
      </c>
      <c r="B33" s="165" t="s">
        <v>282</v>
      </c>
      <c r="C33" s="165"/>
      <c r="D33" s="203"/>
      <c r="E33" s="203"/>
      <c r="F33" s="156" t="e">
        <f>IF(F15=0," ",F32)</f>
        <v>#REF!</v>
      </c>
      <c r="G33" s="156" t="e">
        <f>IF(G31=0," ",+F33+G32)</f>
        <v>#REF!</v>
      </c>
      <c r="H33" s="156" t="e">
        <f>IF(H31=0," ",+G33+H32)</f>
        <v>#REF!</v>
      </c>
      <c r="I33" s="156" t="e">
        <f t="shared" ref="I33:Q33" si="9">IF(I31=0," ",+H33+I32)</f>
        <v>#REF!</v>
      </c>
      <c r="J33" s="156" t="e">
        <f t="shared" si="9"/>
        <v>#REF!</v>
      </c>
      <c r="K33" s="156" t="e">
        <f t="shared" si="9"/>
        <v>#REF!</v>
      </c>
      <c r="L33" s="156" t="e">
        <f>IF(L31=0," ",+K33+L32)</f>
        <v>#REF!</v>
      </c>
      <c r="M33" s="156" t="e">
        <f>IF(M31=0," ",+L33+M32)</f>
        <v>#REF!</v>
      </c>
      <c r="N33" s="156" t="e">
        <f>IF(N31=0," ",+M33+N32)</f>
        <v>#REF!</v>
      </c>
      <c r="O33" s="156" t="str">
        <f t="shared" si="9"/>
        <v xml:space="preserve"> </v>
      </c>
      <c r="P33" s="156" t="str">
        <f t="shared" si="9"/>
        <v xml:space="preserve"> </v>
      </c>
      <c r="Q33" s="156" t="str">
        <f t="shared" si="9"/>
        <v xml:space="preserve"> </v>
      </c>
    </row>
    <row r="34" spans="1:17">
      <c r="A34" s="162" t="s">
        <v>102</v>
      </c>
      <c r="B34" s="167">
        <v>10000000</v>
      </c>
      <c r="C34" s="168" t="s">
        <v>103</v>
      </c>
      <c r="D34" s="68">
        <v>0.9</v>
      </c>
      <c r="E34" s="68">
        <v>0.9</v>
      </c>
      <c r="F34" s="157" t="e">
        <f>IF(F15=0," ",IF(ABS(F$33)&lt;$B34,0,(ABS(F$33)-$B34)*SIGN(F$33)))</f>
        <v>#REF!</v>
      </c>
      <c r="G34" s="157" t="e">
        <f t="shared" ref="G34:Q34" si="10">IF(G15=0," ",IF(ABS(G$33)&lt;$B34,0,(ABS(G$33)-$B34)*SIGN(G$33)))</f>
        <v>#REF!</v>
      </c>
      <c r="H34" s="157" t="e">
        <f t="shared" si="10"/>
        <v>#REF!</v>
      </c>
      <c r="I34" s="157" t="e">
        <f t="shared" si="10"/>
        <v>#REF!</v>
      </c>
      <c r="J34" s="157" t="e">
        <f t="shared" si="10"/>
        <v>#REF!</v>
      </c>
      <c r="K34" s="157" t="e">
        <f t="shared" si="10"/>
        <v>#REF!</v>
      </c>
      <c r="L34" s="157" t="e">
        <f t="shared" si="10"/>
        <v>#REF!</v>
      </c>
      <c r="M34" s="157" t="e">
        <f t="shared" si="10"/>
        <v>#REF!</v>
      </c>
      <c r="N34" s="157" t="e">
        <f t="shared" si="10"/>
        <v>#REF!</v>
      </c>
      <c r="O34" s="157" t="e">
        <f t="shared" si="10"/>
        <v>#REF!</v>
      </c>
      <c r="P34" s="157" t="e">
        <f t="shared" si="10"/>
        <v>#REF!</v>
      </c>
      <c r="Q34" s="157" t="e">
        <f t="shared" si="10"/>
        <v>#REF!</v>
      </c>
    </row>
    <row r="35" spans="1:17">
      <c r="A35" s="162" t="s">
        <v>102</v>
      </c>
      <c r="B35" s="167">
        <v>4000000</v>
      </c>
      <c r="C35" s="168" t="str">
        <f>"to "&amp;TEXT(B34,"$#,##0,,")&amp;"M"</f>
        <v>to $10M</v>
      </c>
      <c r="D35" s="68">
        <v>0.5</v>
      </c>
      <c r="E35" s="68">
        <v>0.75</v>
      </c>
      <c r="F35" s="157" t="e">
        <f>IF(F15=0," ",IF(ABS(F$33)&lt;$B35,0,MIN($B$34-$B$35,ABS(F$33)-$B35)*SIGN(F$33)))</f>
        <v>#REF!</v>
      </c>
      <c r="G35" s="157" t="e">
        <f t="shared" ref="G35:Q35" si="11">IF(G15=0," ",IF(ABS(G$33)&lt;$B35,0,MIN($B$34-$B$35,ABS(G$33)-$B35)*SIGN(G$33)))</f>
        <v>#REF!</v>
      </c>
      <c r="H35" s="157" t="e">
        <f t="shared" si="11"/>
        <v>#REF!</v>
      </c>
      <c r="I35" s="157" t="e">
        <f t="shared" si="11"/>
        <v>#REF!</v>
      </c>
      <c r="J35" s="157" t="e">
        <f t="shared" si="11"/>
        <v>#REF!</v>
      </c>
      <c r="K35" s="157" t="e">
        <f t="shared" si="11"/>
        <v>#REF!</v>
      </c>
      <c r="L35" s="157" t="e">
        <f t="shared" si="11"/>
        <v>#REF!</v>
      </c>
      <c r="M35" s="157" t="e">
        <f t="shared" si="11"/>
        <v>#REF!</v>
      </c>
      <c r="N35" s="157" t="e">
        <f t="shared" si="11"/>
        <v>#REF!</v>
      </c>
      <c r="O35" s="157" t="e">
        <f t="shared" si="11"/>
        <v>#REF!</v>
      </c>
      <c r="P35" s="157" t="e">
        <f t="shared" si="11"/>
        <v>#REF!</v>
      </c>
      <c r="Q35" s="157" t="e">
        <f t="shared" si="11"/>
        <v>#REF!</v>
      </c>
    </row>
    <row r="36" spans="1:17">
      <c r="A36" s="162" t="s">
        <v>102</v>
      </c>
      <c r="B36" s="167">
        <v>0</v>
      </c>
      <c r="C36" s="168" t="str">
        <f>"to "&amp;TEXT(B35,"$#,##0,,")&amp;"M"</f>
        <v>to $4M</v>
      </c>
      <c r="D36" s="68">
        <v>0</v>
      </c>
      <c r="E36" s="68">
        <v>0</v>
      </c>
      <c r="F36" s="157" t="e">
        <f>IF(F15=0," ",IF(ABS(F$33)&lt;$B36,0,MIN($B$35-$B$36,ABS(F$33)-$B36)*SIGN(F$33)))</f>
        <v>#REF!</v>
      </c>
      <c r="G36" s="157" t="e">
        <f t="shared" ref="G36:Q36" si="12">IF(G15=0," ",IF(ABS(G$33)&lt;$B36,0,MIN($B$35-$B$36,ABS(G$33)-$B36)*SIGN(G$33)))</f>
        <v>#REF!</v>
      </c>
      <c r="H36" s="157" t="e">
        <f t="shared" si="12"/>
        <v>#REF!</v>
      </c>
      <c r="I36" s="157" t="e">
        <f t="shared" si="12"/>
        <v>#REF!</v>
      </c>
      <c r="J36" s="157" t="e">
        <f t="shared" si="12"/>
        <v>#REF!</v>
      </c>
      <c r="K36" s="157" t="e">
        <f t="shared" si="12"/>
        <v>#REF!</v>
      </c>
      <c r="L36" s="157" t="e">
        <f t="shared" si="12"/>
        <v>#REF!</v>
      </c>
      <c r="M36" s="157" t="e">
        <f t="shared" si="12"/>
        <v>#REF!</v>
      </c>
      <c r="N36" s="157" t="e">
        <f t="shared" si="12"/>
        <v>#REF!</v>
      </c>
      <c r="O36" s="157" t="e">
        <f t="shared" si="12"/>
        <v>#REF!</v>
      </c>
      <c r="P36" s="157" t="e">
        <f t="shared" si="12"/>
        <v>#REF!</v>
      </c>
      <c r="Q36" s="157" t="e">
        <f t="shared" si="12"/>
        <v>#REF!</v>
      </c>
    </row>
    <row r="37" spans="1:17">
      <c r="A37" s="32"/>
      <c r="B37" s="69"/>
      <c r="C37" s="70" t="s">
        <v>104</v>
      </c>
      <c r="D37" s="150"/>
      <c r="E37" s="150"/>
      <c r="F37" s="161" t="e">
        <f>IF(F15=0," ",SUM(F34:F36)-F33)</f>
        <v>#REF!</v>
      </c>
      <c r="G37" s="161" t="e">
        <f t="shared" ref="G37:Q37" si="13">IF(G15=0," ",SUM(G34:G36)-G33)</f>
        <v>#REF!</v>
      </c>
      <c r="H37" s="161" t="e">
        <f t="shared" si="13"/>
        <v>#REF!</v>
      </c>
      <c r="I37" s="161" t="e">
        <f t="shared" si="13"/>
        <v>#REF!</v>
      </c>
      <c r="J37" s="161" t="e">
        <f t="shared" si="13"/>
        <v>#REF!</v>
      </c>
      <c r="K37" s="161" t="e">
        <f t="shared" si="13"/>
        <v>#REF!</v>
      </c>
      <c r="L37" s="161" t="e">
        <f t="shared" si="13"/>
        <v>#REF!</v>
      </c>
      <c r="M37" s="161" t="e">
        <f t="shared" si="13"/>
        <v>#REF!</v>
      </c>
      <c r="N37" s="161" t="e">
        <f t="shared" si="13"/>
        <v>#REF!</v>
      </c>
      <c r="O37" s="161" t="e">
        <f t="shared" si="13"/>
        <v>#REF!</v>
      </c>
      <c r="P37" s="161" t="e">
        <f t="shared" si="13"/>
        <v>#REF!</v>
      </c>
      <c r="Q37" s="161" t="e">
        <f t="shared" si="13"/>
        <v>#REF!</v>
      </c>
    </row>
    <row r="38" spans="1:17">
      <c r="A38" s="32" t="s">
        <v>249</v>
      </c>
      <c r="D38" s="152"/>
      <c r="E38" s="152"/>
      <c r="F38" s="157" t="e">
        <f>IF(F15=0," ",SUMPRODUCT(IF(F33&gt;0,$D$34:$D$36,$E$34:$E$36),F34:F36))</f>
        <v>#REF!</v>
      </c>
      <c r="G38" s="157" t="e">
        <f t="shared" ref="G38:Q38" si="14">IF(G15=0," ",SUMPRODUCT(IF(G33&gt;0,$D$34:$D$36,$E$34:$E$36),G34:G36))</f>
        <v>#REF!</v>
      </c>
      <c r="H38" s="157" t="e">
        <f t="shared" si="14"/>
        <v>#REF!</v>
      </c>
      <c r="I38" s="157" t="e">
        <f t="shared" si="14"/>
        <v>#REF!</v>
      </c>
      <c r="J38" s="157" t="e">
        <f t="shared" si="14"/>
        <v>#REF!</v>
      </c>
      <c r="K38" s="157" t="e">
        <f t="shared" si="14"/>
        <v>#REF!</v>
      </c>
      <c r="L38" s="157" t="e">
        <f t="shared" si="14"/>
        <v>#REF!</v>
      </c>
      <c r="M38" s="157" t="e">
        <f t="shared" si="14"/>
        <v>#REF!</v>
      </c>
      <c r="N38" s="157" t="e">
        <f t="shared" si="14"/>
        <v>#REF!</v>
      </c>
      <c r="O38" s="157" t="e">
        <f t="shared" si="14"/>
        <v>#REF!</v>
      </c>
      <c r="P38" s="157" t="e">
        <f t="shared" si="14"/>
        <v>#REF!</v>
      </c>
      <c r="Q38" s="157" t="e">
        <f t="shared" si="14"/>
        <v>#REF!</v>
      </c>
    </row>
    <row r="39" spans="1:17">
      <c r="A39" s="32" t="s">
        <v>105</v>
      </c>
      <c r="D39" s="153"/>
      <c r="E39" s="153"/>
      <c r="F39" s="157" t="e">
        <f>IF(F15=0," ",F38-D38)</f>
        <v>#REF!</v>
      </c>
      <c r="G39" s="157" t="e">
        <f t="shared" ref="G39:Q39" si="15">IF(G15=0," ",G38-F38)</f>
        <v>#REF!</v>
      </c>
      <c r="H39" s="157" t="e">
        <f t="shared" si="15"/>
        <v>#REF!</v>
      </c>
      <c r="I39" s="157" t="e">
        <f t="shared" si="15"/>
        <v>#REF!</v>
      </c>
      <c r="J39" s="157" t="e">
        <f t="shared" si="15"/>
        <v>#REF!</v>
      </c>
      <c r="K39" s="157" t="e">
        <f t="shared" si="15"/>
        <v>#REF!</v>
      </c>
      <c r="L39" s="157" t="e">
        <f t="shared" si="15"/>
        <v>#REF!</v>
      </c>
      <c r="M39" s="157" t="e">
        <f t="shared" si="15"/>
        <v>#REF!</v>
      </c>
      <c r="N39" s="157" t="e">
        <f t="shared" si="15"/>
        <v>#REF!</v>
      </c>
      <c r="O39" s="157" t="e">
        <f t="shared" si="15"/>
        <v>#REF!</v>
      </c>
      <c r="P39" s="157" t="e">
        <f t="shared" si="15"/>
        <v>#REF!</v>
      </c>
      <c r="Q39" s="157" t="e">
        <f t="shared" si="15"/>
        <v>#REF!</v>
      </c>
    </row>
    <row r="40" spans="1:17">
      <c r="A40" s="435" t="s">
        <v>252</v>
      </c>
      <c r="B40" s="435"/>
      <c r="C40" s="435"/>
      <c r="D40" s="428" t="e">
        <f>SUM(F40:Q40)</f>
        <v>#REF!</v>
      </c>
      <c r="E40" s="428"/>
      <c r="F40" s="171" t="e">
        <f>IF(F15=0," ",-F39-E39)</f>
        <v>#REF!</v>
      </c>
      <c r="G40" s="171" t="e">
        <f>IF(G15=0," ",-G39-F39)</f>
        <v>#REF!</v>
      </c>
      <c r="H40" s="171" t="e">
        <f>IF(H15=0," ",-H39-G39)</f>
        <v>#REF!</v>
      </c>
      <c r="I40" s="171" t="e">
        <f>IF(I15=0," ",-I39)</f>
        <v>#REF!</v>
      </c>
      <c r="J40" s="171" t="e">
        <f t="shared" ref="J40:Q40" si="16">IF(J15=0," ",-J39)</f>
        <v>#REF!</v>
      </c>
      <c r="K40" s="171" t="e">
        <f t="shared" si="16"/>
        <v>#REF!</v>
      </c>
      <c r="L40" s="171" t="e">
        <f t="shared" si="16"/>
        <v>#REF!</v>
      </c>
      <c r="M40" s="171" t="e">
        <f t="shared" si="16"/>
        <v>#REF!</v>
      </c>
      <c r="N40" s="171" t="e">
        <f t="shared" si="16"/>
        <v>#REF!</v>
      </c>
      <c r="O40" s="171" t="e">
        <f t="shared" si="16"/>
        <v>#REF!</v>
      </c>
      <c r="P40" s="171" t="e">
        <f t="shared" si="16"/>
        <v>#REF!</v>
      </c>
      <c r="Q40" s="171" t="e">
        <f t="shared" si="16"/>
        <v>#REF!</v>
      </c>
    </row>
    <row r="41" spans="1:17" ht="13.5" thickBot="1">
      <c r="A41" s="439" t="s">
        <v>108</v>
      </c>
      <c r="B41" s="439"/>
      <c r="C41" s="439"/>
      <c r="D41" s="147"/>
      <c r="E41" s="147"/>
      <c r="F41" s="173" t="e">
        <f>IF(F15=0," ",F33-F38)</f>
        <v>#REF!</v>
      </c>
      <c r="G41" s="173" t="e">
        <f t="shared" ref="G41:Q41" si="17">IF(G15=0," ",G33-G38)</f>
        <v>#REF!</v>
      </c>
      <c r="H41" s="173" t="e">
        <f t="shared" si="17"/>
        <v>#REF!</v>
      </c>
      <c r="I41" s="173" t="e">
        <f t="shared" si="17"/>
        <v>#REF!</v>
      </c>
      <c r="J41" s="173" t="e">
        <f t="shared" si="17"/>
        <v>#REF!</v>
      </c>
      <c r="K41" s="173" t="e">
        <f t="shared" si="17"/>
        <v>#REF!</v>
      </c>
      <c r="L41" s="173" t="e">
        <f t="shared" si="17"/>
        <v>#REF!</v>
      </c>
      <c r="M41" s="173" t="e">
        <f t="shared" si="17"/>
        <v>#REF!</v>
      </c>
      <c r="N41" s="173" t="e">
        <f t="shared" si="17"/>
        <v>#REF!</v>
      </c>
      <c r="O41" s="173" t="e">
        <f t="shared" si="17"/>
        <v>#REF!</v>
      </c>
      <c r="P41" s="173" t="e">
        <f t="shared" si="17"/>
        <v>#REF!</v>
      </c>
      <c r="Q41" s="173" t="e">
        <f t="shared" si="17"/>
        <v>#REF!</v>
      </c>
    </row>
    <row r="42" spans="1:17" ht="13.5" thickTop="1"/>
  </sheetData>
  <mergeCells count="32">
    <mergeCell ref="D10:E10"/>
    <mergeCell ref="D5:E5"/>
    <mergeCell ref="D6:E6"/>
    <mergeCell ref="D7:E7"/>
    <mergeCell ref="D8:E8"/>
    <mergeCell ref="D9:E9"/>
    <mergeCell ref="D22:E22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3:E23"/>
    <mergeCell ref="D24:E24"/>
    <mergeCell ref="D25:E25"/>
    <mergeCell ref="D26:E26"/>
    <mergeCell ref="A40:C40"/>
    <mergeCell ref="D40:E40"/>
    <mergeCell ref="A41:C41"/>
    <mergeCell ref="D27:E27"/>
    <mergeCell ref="D28:E28"/>
    <mergeCell ref="D30:E30"/>
    <mergeCell ref="B31:C31"/>
    <mergeCell ref="D31:E31"/>
    <mergeCell ref="B32:C32"/>
    <mergeCell ref="D32:E32"/>
  </mergeCells>
  <conditionalFormatting sqref="F37:Q37">
    <cfRule type="expression" dxfId="0" priority="2" stopIfTrue="1">
      <formula>ABS(F37)&gt;0.1</formula>
    </cfRule>
  </conditionalFormatting>
  <pageMargins left="0.2" right="0.2" top="0.75" bottom="0.75" header="0.3" footer="0.3"/>
  <pageSetup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sqref="A1:IV65536"/>
    </sheetView>
  </sheetViews>
  <sheetFormatPr defaultRowHeight="12.75"/>
  <cols>
    <col min="1" max="1" width="1.85546875" customWidth="1"/>
    <col min="2" max="2" width="3.7109375" customWidth="1"/>
    <col min="3" max="3" width="3.28515625" customWidth="1"/>
  </cols>
  <sheetData>
    <row r="1" spans="1:11">
      <c r="A1" s="410" t="s">
        <v>220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</row>
    <row r="2" spans="1:11" ht="15.75">
      <c r="A2" s="438" t="s">
        <v>293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</row>
    <row r="4" spans="1:11" ht="15.75">
      <c r="A4" s="213" t="s">
        <v>294</v>
      </c>
    </row>
    <row r="5" spans="1:11" ht="15.75">
      <c r="A5" s="213"/>
      <c r="B5" s="2">
        <v>1</v>
      </c>
      <c r="C5" s="2" t="s">
        <v>295</v>
      </c>
    </row>
    <row r="6" spans="1:11" ht="15.75">
      <c r="A6" s="213"/>
    </row>
    <row r="7" spans="1:11">
      <c r="B7" s="2">
        <v>2</v>
      </c>
      <c r="C7" s="2" t="s">
        <v>296</v>
      </c>
    </row>
    <row r="8" spans="1:11">
      <c r="D8" s="26" t="s">
        <v>297</v>
      </c>
    </row>
    <row r="9" spans="1:11">
      <c r="D9" s="26" t="s">
        <v>298</v>
      </c>
    </row>
    <row r="10" spans="1:11">
      <c r="D10" s="214" t="s">
        <v>299</v>
      </c>
    </row>
    <row r="11" spans="1:11">
      <c r="D11" s="26" t="s">
        <v>300</v>
      </c>
    </row>
    <row r="12" spans="1:11">
      <c r="D12" s="26" t="s">
        <v>301</v>
      </c>
    </row>
    <row r="13" spans="1:11">
      <c r="D13" s="26" t="s">
        <v>302</v>
      </c>
    </row>
    <row r="14" spans="1:11">
      <c r="D14" s="26" t="s">
        <v>303</v>
      </c>
    </row>
    <row r="16" spans="1:11">
      <c r="B16" s="2">
        <v>3</v>
      </c>
      <c r="C16" s="2" t="s">
        <v>304</v>
      </c>
    </row>
    <row r="17" spans="2:10">
      <c r="D17" s="26" t="s">
        <v>305</v>
      </c>
    </row>
    <row r="18" spans="2:10">
      <c r="D18" s="26" t="s">
        <v>306</v>
      </c>
    </row>
    <row r="19" spans="2:10">
      <c r="D19" s="26" t="s">
        <v>307</v>
      </c>
    </row>
    <row r="21" spans="2:10">
      <c r="B21" s="2">
        <v>4</v>
      </c>
      <c r="C21" s="2" t="s">
        <v>308</v>
      </c>
    </row>
    <row r="22" spans="2:10">
      <c r="D22" s="26" t="s">
        <v>309</v>
      </c>
    </row>
    <row r="23" spans="2:10">
      <c r="D23" s="26" t="s">
        <v>310</v>
      </c>
    </row>
    <row r="24" spans="2:10">
      <c r="D24" s="26" t="s">
        <v>311</v>
      </c>
    </row>
    <row r="25" spans="2:10">
      <c r="D25" s="26" t="s">
        <v>312</v>
      </c>
    </row>
    <row r="27" spans="2:10">
      <c r="B27" s="2">
        <v>5</v>
      </c>
      <c r="C27" s="2" t="s">
        <v>313</v>
      </c>
      <c r="D27" s="2"/>
    </row>
    <row r="28" spans="2:10">
      <c r="D28" s="26" t="s">
        <v>311</v>
      </c>
    </row>
    <row r="29" spans="2:10">
      <c r="D29" s="26" t="s">
        <v>312</v>
      </c>
    </row>
    <row r="31" spans="2:10">
      <c r="B31" s="2">
        <v>6</v>
      </c>
      <c r="C31" s="2" t="s">
        <v>314</v>
      </c>
      <c r="D31" s="2"/>
      <c r="E31" s="2"/>
      <c r="F31" s="2"/>
      <c r="G31" s="2"/>
      <c r="H31" s="2"/>
      <c r="I31" s="2"/>
      <c r="J31" s="2"/>
    </row>
    <row r="32" spans="2:10">
      <c r="B32" s="2"/>
      <c r="C32" s="2" t="s">
        <v>315</v>
      </c>
      <c r="D32" s="2"/>
      <c r="E32" s="2"/>
      <c r="F32" s="2"/>
      <c r="G32" s="2"/>
      <c r="H32" s="2"/>
      <c r="I32" s="2"/>
      <c r="J32" s="2"/>
    </row>
    <row r="34" spans="1:11" ht="15.75">
      <c r="A34" s="215" t="s">
        <v>316</v>
      </c>
      <c r="B34" s="216"/>
      <c r="C34" s="216"/>
      <c r="D34" s="216"/>
      <c r="E34" s="216"/>
      <c r="F34" s="216"/>
      <c r="G34" s="216"/>
      <c r="H34" s="216"/>
      <c r="I34" s="216"/>
      <c r="J34" s="216"/>
      <c r="K34" s="216"/>
    </row>
    <row r="35" spans="1:11" ht="15.75">
      <c r="A35" s="215"/>
      <c r="B35" s="217">
        <v>1</v>
      </c>
      <c r="C35" s="2" t="s">
        <v>317</v>
      </c>
      <c r="D35" s="216"/>
      <c r="E35" s="216"/>
      <c r="F35" s="216"/>
      <c r="G35" s="216"/>
      <c r="H35" s="216"/>
      <c r="I35" s="216"/>
      <c r="J35" s="216"/>
      <c r="K35" s="216"/>
    </row>
    <row r="36" spans="1:11" ht="15.75">
      <c r="A36" s="215"/>
      <c r="B36" s="216"/>
      <c r="C36" s="216"/>
      <c r="D36" s="216"/>
      <c r="E36" s="216"/>
      <c r="F36" s="216"/>
      <c r="G36" s="216"/>
      <c r="H36" s="216"/>
      <c r="I36" s="216"/>
      <c r="J36" s="216"/>
      <c r="K36" s="216"/>
    </row>
    <row r="37" spans="1:11">
      <c r="A37" s="216"/>
      <c r="B37" s="217">
        <v>2</v>
      </c>
      <c r="C37" s="217" t="s">
        <v>296</v>
      </c>
      <c r="D37" s="216"/>
      <c r="E37" s="216"/>
      <c r="F37" s="216"/>
      <c r="G37" s="216"/>
      <c r="H37" s="216"/>
      <c r="I37" s="216"/>
      <c r="J37" s="216"/>
      <c r="K37" s="216"/>
    </row>
    <row r="38" spans="1:11">
      <c r="A38" s="216"/>
      <c r="B38" s="216"/>
      <c r="C38" s="216"/>
      <c r="D38" s="214" t="s">
        <v>297</v>
      </c>
      <c r="E38" s="216"/>
      <c r="F38" s="216"/>
      <c r="G38" s="216"/>
      <c r="H38" s="216"/>
      <c r="I38" s="216"/>
      <c r="J38" s="216"/>
      <c r="K38" s="216"/>
    </row>
    <row r="39" spans="1:11">
      <c r="A39" s="216"/>
      <c r="B39" s="216"/>
      <c r="C39" s="216"/>
      <c r="D39" s="214" t="s">
        <v>298</v>
      </c>
      <c r="E39" s="216"/>
      <c r="F39" s="216"/>
      <c r="G39" s="216"/>
      <c r="H39" s="216"/>
      <c r="I39" s="216"/>
      <c r="J39" s="216"/>
      <c r="K39" s="216"/>
    </row>
    <row r="40" spans="1:11">
      <c r="A40" s="216"/>
      <c r="B40" s="216"/>
      <c r="C40" s="216"/>
      <c r="D40" s="214" t="s">
        <v>299</v>
      </c>
      <c r="E40" s="216"/>
      <c r="F40" s="216"/>
      <c r="G40" s="216"/>
      <c r="H40" s="216"/>
      <c r="I40" s="216"/>
      <c r="J40" s="216"/>
      <c r="K40" s="216"/>
    </row>
    <row r="41" spans="1:11">
      <c r="A41" s="216"/>
      <c r="B41" s="216"/>
      <c r="C41" s="216"/>
      <c r="D41" s="214" t="s">
        <v>300</v>
      </c>
      <c r="E41" s="216"/>
      <c r="F41" s="216"/>
      <c r="G41" s="216"/>
      <c r="H41" s="216"/>
      <c r="I41" s="216"/>
      <c r="J41" s="216"/>
      <c r="K41" s="216"/>
    </row>
    <row r="42" spans="1:11">
      <c r="A42" s="216"/>
      <c r="B42" s="216"/>
      <c r="C42" s="216"/>
      <c r="D42" s="214" t="s">
        <v>318</v>
      </c>
      <c r="E42" s="216"/>
      <c r="F42" s="216"/>
      <c r="G42" s="216"/>
      <c r="H42" s="216"/>
      <c r="I42" s="216"/>
      <c r="J42" s="216"/>
      <c r="K42" s="216"/>
    </row>
    <row r="43" spans="1:11">
      <c r="A43" s="216"/>
      <c r="B43" s="216"/>
      <c r="C43" s="216"/>
      <c r="D43" s="26" t="s">
        <v>302</v>
      </c>
      <c r="E43" s="216"/>
      <c r="F43" s="216"/>
      <c r="G43" s="216"/>
      <c r="H43" s="216"/>
      <c r="I43" s="216"/>
      <c r="J43" s="216"/>
      <c r="K43" s="216"/>
    </row>
    <row r="44" spans="1:11">
      <c r="A44" s="216"/>
      <c r="B44" s="216"/>
      <c r="C44" s="216"/>
      <c r="D44" s="214" t="s">
        <v>303</v>
      </c>
      <c r="E44" s="216"/>
      <c r="F44" s="216"/>
      <c r="G44" s="216"/>
      <c r="H44" s="216"/>
      <c r="I44" s="216"/>
      <c r="J44" s="216"/>
      <c r="K44" s="216"/>
    </row>
    <row r="45" spans="1:11">
      <c r="A45" s="216"/>
      <c r="B45" s="216"/>
      <c r="C45" s="216"/>
      <c r="D45" s="216"/>
      <c r="E45" s="216"/>
      <c r="F45" s="216"/>
      <c r="G45" s="216"/>
      <c r="H45" s="216"/>
      <c r="I45" s="216"/>
      <c r="J45" s="216"/>
      <c r="K45" s="216"/>
    </row>
    <row r="46" spans="1:11">
      <c r="A46" s="216"/>
      <c r="B46" s="217">
        <v>3</v>
      </c>
      <c r="C46" s="217" t="s">
        <v>308</v>
      </c>
      <c r="D46" s="216"/>
      <c r="E46" s="216"/>
      <c r="F46" s="216"/>
      <c r="G46" s="216"/>
      <c r="H46" s="216"/>
      <c r="I46" s="216"/>
      <c r="J46" s="216"/>
      <c r="K46" s="216"/>
    </row>
    <row r="47" spans="1:11">
      <c r="A47" s="216"/>
      <c r="B47" s="216"/>
      <c r="C47" s="216"/>
      <c r="D47" s="214" t="s">
        <v>309</v>
      </c>
      <c r="E47" s="216"/>
      <c r="F47" s="216"/>
      <c r="G47" s="216"/>
      <c r="H47" s="216"/>
      <c r="I47" s="216"/>
      <c r="J47" s="216"/>
      <c r="K47" s="216"/>
    </row>
    <row r="48" spans="1:11">
      <c r="A48" s="216"/>
      <c r="B48" s="216"/>
      <c r="C48" s="216"/>
      <c r="D48" s="214" t="s">
        <v>310</v>
      </c>
      <c r="E48" s="216"/>
      <c r="F48" s="216"/>
      <c r="G48" s="216"/>
      <c r="H48" s="216"/>
      <c r="I48" s="216"/>
      <c r="J48" s="216"/>
      <c r="K48" s="216"/>
    </row>
    <row r="49" spans="1:11">
      <c r="A49" s="216"/>
      <c r="B49" s="216"/>
      <c r="C49" s="216"/>
      <c r="D49" s="214" t="s">
        <v>311</v>
      </c>
      <c r="E49" s="216"/>
      <c r="F49" s="216"/>
      <c r="G49" s="216"/>
      <c r="H49" s="216"/>
      <c r="I49" s="216"/>
      <c r="J49" s="216"/>
      <c r="K49" s="216"/>
    </row>
    <row r="50" spans="1:11">
      <c r="A50" s="216"/>
      <c r="B50" s="216"/>
      <c r="C50" s="216"/>
      <c r="D50" s="214" t="s">
        <v>312</v>
      </c>
      <c r="E50" s="216"/>
      <c r="F50" s="216"/>
      <c r="G50" s="216"/>
      <c r="H50" s="216"/>
      <c r="I50" s="216"/>
      <c r="J50" s="216"/>
      <c r="K50" s="216"/>
    </row>
    <row r="51" spans="1:11">
      <c r="A51" s="216"/>
      <c r="B51" s="216"/>
      <c r="C51" s="216"/>
      <c r="D51" s="216"/>
      <c r="E51" s="216"/>
      <c r="F51" s="216"/>
      <c r="G51" s="216"/>
      <c r="H51" s="216"/>
      <c r="I51" s="216"/>
      <c r="J51" s="216"/>
      <c r="K51" s="216"/>
    </row>
    <row r="52" spans="1:11">
      <c r="A52" s="216"/>
      <c r="B52" s="217">
        <v>4</v>
      </c>
      <c r="C52" s="217" t="s">
        <v>313</v>
      </c>
      <c r="D52" s="217"/>
      <c r="E52" s="216"/>
      <c r="F52" s="216"/>
      <c r="G52" s="216"/>
      <c r="H52" s="216"/>
      <c r="I52" s="216"/>
      <c r="J52" s="216"/>
      <c r="K52" s="216"/>
    </row>
    <row r="53" spans="1:11">
      <c r="A53" s="216"/>
      <c r="B53" s="216"/>
      <c r="C53" s="216"/>
      <c r="D53" s="214" t="s">
        <v>311</v>
      </c>
      <c r="E53" s="216"/>
      <c r="F53" s="216"/>
      <c r="G53" s="216"/>
      <c r="H53" s="216"/>
      <c r="I53" s="216"/>
      <c r="J53" s="216"/>
      <c r="K53" s="216"/>
    </row>
    <row r="54" spans="1:11">
      <c r="A54" s="216"/>
      <c r="B54" s="216"/>
      <c r="C54" s="216"/>
      <c r="D54" s="214" t="s">
        <v>312</v>
      </c>
      <c r="E54" s="216"/>
      <c r="F54" s="216"/>
      <c r="G54" s="216"/>
      <c r="H54" s="216"/>
      <c r="I54" s="216"/>
      <c r="J54" s="216"/>
      <c r="K54" s="216"/>
    </row>
    <row r="55" spans="1:11">
      <c r="A55" s="216"/>
      <c r="B55" s="216"/>
      <c r="C55" s="216"/>
      <c r="D55" s="216"/>
      <c r="E55" s="216"/>
      <c r="F55" s="216"/>
      <c r="G55" s="216"/>
      <c r="H55" s="216"/>
      <c r="I55" s="216"/>
      <c r="J55" s="216"/>
      <c r="K55" s="216"/>
    </row>
    <row r="56" spans="1:11">
      <c r="A56" s="216"/>
      <c r="B56" s="217">
        <v>5</v>
      </c>
      <c r="C56" s="217" t="s">
        <v>314</v>
      </c>
      <c r="D56" s="217"/>
      <c r="E56" s="217"/>
      <c r="F56" s="217"/>
      <c r="G56" s="217"/>
      <c r="H56" s="217"/>
      <c r="I56" s="217"/>
      <c r="J56" s="217"/>
      <c r="K56" s="216"/>
    </row>
    <row r="57" spans="1:11">
      <c r="A57" s="216"/>
      <c r="B57" s="217"/>
      <c r="C57" s="217" t="s">
        <v>315</v>
      </c>
      <c r="D57" s="217"/>
      <c r="E57" s="217"/>
      <c r="F57" s="217"/>
      <c r="G57" s="217"/>
      <c r="H57" s="217"/>
      <c r="I57" s="217"/>
      <c r="J57" s="217"/>
      <c r="K57" s="216"/>
    </row>
  </sheetData>
  <mergeCells count="2">
    <mergeCell ref="A1:K1"/>
    <mergeCell ref="A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A154"/>
  <sheetViews>
    <sheetView workbookViewId="0">
      <selection activeCell="A14" sqref="A14"/>
    </sheetView>
  </sheetViews>
  <sheetFormatPr defaultRowHeight="12.75"/>
  <cols>
    <col min="1" max="1" width="37.28515625" customWidth="1"/>
    <col min="2" max="2" width="14.140625" customWidth="1"/>
    <col min="3" max="3" width="13.140625" customWidth="1"/>
    <col min="4" max="4" width="13.7109375" customWidth="1"/>
    <col min="5" max="5" width="6.42578125" customWidth="1"/>
    <col min="6" max="6" width="13" customWidth="1"/>
    <col min="7" max="7" width="12.7109375" customWidth="1"/>
    <col min="8" max="8" width="15.7109375" customWidth="1"/>
    <col min="9" max="9" width="12.140625" customWidth="1"/>
    <col min="10" max="10" width="13.42578125" customWidth="1"/>
    <col min="11" max="11" width="6.7109375" customWidth="1"/>
    <col min="12" max="12" width="14" customWidth="1"/>
    <col min="13" max="14" width="13.7109375" customWidth="1"/>
    <col min="15" max="15" width="12.42578125" customWidth="1"/>
    <col min="16" max="16" width="13.42578125" style="71" customWidth="1"/>
    <col min="17" max="17" width="14" customWidth="1"/>
    <col min="18" max="19" width="14.140625" style="73" customWidth="1"/>
    <col min="20" max="20" width="12.5703125" style="73" customWidth="1"/>
    <col min="21" max="21" width="12.7109375" style="73" customWidth="1"/>
    <col min="22" max="22" width="14.7109375" style="73" customWidth="1"/>
    <col min="23" max="23" width="15.140625" style="73" customWidth="1"/>
    <col min="24" max="24" width="13.5703125" style="73" customWidth="1"/>
    <col min="25" max="25" width="13" style="73" customWidth="1"/>
    <col min="26" max="26" width="12.42578125" style="73" customWidth="1"/>
    <col min="27" max="27" width="13.140625" style="73" customWidth="1"/>
    <col min="28" max="28" width="14.42578125" style="73" customWidth="1"/>
    <col min="29" max="29" width="14.28515625" style="73" customWidth="1"/>
    <col min="30" max="30" width="13.42578125" style="73" customWidth="1"/>
    <col min="31" max="31" width="13.28515625" style="73" customWidth="1"/>
    <col min="32" max="32" width="3.28515625" style="73" customWidth="1"/>
    <col min="33" max="33" width="13.140625" style="73" customWidth="1"/>
    <col min="34" max="34" width="14.42578125" style="73" customWidth="1"/>
    <col min="35" max="35" width="14.28515625" style="73" customWidth="1"/>
    <col min="36" max="36" width="13.42578125" style="73" customWidth="1"/>
    <col min="37" max="37" width="13.28515625" style="73" customWidth="1"/>
    <col min="38" max="38" width="13.85546875" style="73" customWidth="1"/>
    <col min="39" max="39" width="12.7109375" style="73" customWidth="1"/>
    <col min="40" max="41" width="13.85546875" style="73" customWidth="1"/>
    <col min="42" max="42" width="13.28515625" style="73" customWidth="1"/>
    <col min="43" max="43" width="13.85546875" style="73" customWidth="1"/>
    <col min="44" max="44" width="12.7109375" style="73" customWidth="1"/>
    <col min="45" max="47" width="13.85546875" style="73" customWidth="1"/>
    <col min="48" max="48" width="4.85546875" style="73" customWidth="1"/>
    <col min="49" max="49" width="13.85546875" style="73" customWidth="1"/>
    <col min="50" max="50" width="12.7109375" style="73" customWidth="1"/>
    <col min="51" max="52" width="13.85546875" style="73" customWidth="1"/>
    <col min="53" max="53" width="10.42578125" style="73" customWidth="1"/>
    <col min="54" max="54" width="13.85546875" style="73" customWidth="1"/>
    <col min="55" max="55" width="12.7109375" style="73" customWidth="1"/>
    <col min="56" max="56" width="13.85546875" style="73" customWidth="1"/>
    <col min="57" max="58" width="13.28515625" style="73" customWidth="1"/>
    <col min="59" max="59" width="4.42578125" style="73" customWidth="1"/>
    <col min="60" max="60" width="13.85546875" style="73" customWidth="1"/>
    <col min="61" max="61" width="12.7109375" style="73" customWidth="1"/>
    <col min="62" max="62" width="13.85546875" style="73" customWidth="1"/>
    <col min="63" max="63" width="13.140625" style="73" customWidth="1"/>
    <col min="64" max="65" width="13.5703125" style="73" customWidth="1"/>
    <col min="66" max="66" width="12.85546875" style="73" customWidth="1"/>
    <col min="67" max="67" width="13.7109375" style="73" customWidth="1"/>
    <col min="68" max="68" width="14" style="73" customWidth="1"/>
    <col min="69" max="69" width="13.140625" style="73" customWidth="1"/>
    <col min="70" max="70" width="11.7109375" style="73" customWidth="1"/>
    <col min="71" max="71" width="14.5703125" style="73" customWidth="1"/>
    <col min="72" max="72" width="9.140625" style="73"/>
  </cols>
  <sheetData>
    <row r="1" spans="1:79">
      <c r="B1" s="5"/>
      <c r="C1" s="48" t="s">
        <v>115</v>
      </c>
      <c r="D1" s="5"/>
      <c r="E1" s="5"/>
      <c r="F1" s="29">
        <v>39448</v>
      </c>
      <c r="G1" s="30"/>
      <c r="H1" s="30"/>
      <c r="I1" s="28"/>
      <c r="J1" s="28"/>
      <c r="L1" s="30"/>
      <c r="M1" s="29">
        <v>39479</v>
      </c>
      <c r="N1" s="89"/>
      <c r="O1" s="28"/>
      <c r="P1" s="40"/>
      <c r="Q1" s="30"/>
      <c r="R1" s="29">
        <v>39508</v>
      </c>
      <c r="S1" s="89"/>
      <c r="T1" s="92"/>
      <c r="U1" s="41"/>
      <c r="V1" s="30"/>
      <c r="W1" s="29">
        <v>39539</v>
      </c>
      <c r="X1" s="89"/>
      <c r="Y1" s="41"/>
      <c r="Z1" s="95"/>
      <c r="AA1" s="30"/>
      <c r="AB1" s="29">
        <v>39569</v>
      </c>
      <c r="AC1" s="89"/>
      <c r="AD1" s="95"/>
      <c r="AE1" s="92"/>
      <c r="AF1" s="92"/>
      <c r="AG1" s="30"/>
      <c r="AH1" s="29">
        <v>39600</v>
      </c>
      <c r="AI1" s="89"/>
      <c r="AJ1" s="95"/>
      <c r="AK1" s="92"/>
      <c r="AL1" s="30"/>
      <c r="AM1" s="29">
        <v>39630</v>
      </c>
      <c r="AN1" s="89"/>
      <c r="AO1" s="27"/>
      <c r="AP1" s="92"/>
      <c r="AQ1" s="30"/>
      <c r="AR1" s="29">
        <v>39661</v>
      </c>
      <c r="AS1" s="89"/>
      <c r="AT1" s="27"/>
      <c r="AU1" s="95"/>
      <c r="AV1" s="92"/>
      <c r="AW1" s="30"/>
      <c r="AX1" s="29">
        <v>39692</v>
      </c>
      <c r="AY1" s="89"/>
      <c r="AZ1" s="95"/>
      <c r="BA1" s="95"/>
      <c r="BB1" s="30"/>
      <c r="BC1" s="29">
        <v>39722</v>
      </c>
      <c r="BD1" s="89"/>
      <c r="BE1" s="95"/>
      <c r="BF1" s="95"/>
      <c r="BG1" s="92"/>
      <c r="BH1" s="30"/>
      <c r="BI1" s="29">
        <v>39753</v>
      </c>
      <c r="BJ1" s="89"/>
      <c r="BK1" s="95"/>
      <c r="BL1" s="92"/>
      <c r="BM1" s="92"/>
      <c r="BN1" s="30"/>
      <c r="BO1" s="29">
        <v>39783</v>
      </c>
      <c r="BP1" s="89"/>
      <c r="BQ1" s="95"/>
    </row>
    <row r="2" spans="1:79">
      <c r="B2" s="31" t="s">
        <v>2</v>
      </c>
      <c r="C2" s="31" t="s">
        <v>37</v>
      </c>
      <c r="D2" s="31" t="s">
        <v>38</v>
      </c>
      <c r="E2" s="31"/>
      <c r="F2" s="31" t="s">
        <v>2</v>
      </c>
      <c r="G2" s="31" t="s">
        <v>37</v>
      </c>
      <c r="H2" s="31" t="s">
        <v>38</v>
      </c>
      <c r="I2" s="28"/>
      <c r="J2" s="28"/>
      <c r="K2" s="27"/>
      <c r="L2" s="31" t="s">
        <v>2</v>
      </c>
      <c r="M2" s="31" t="s">
        <v>37</v>
      </c>
      <c r="N2" s="31" t="s">
        <v>38</v>
      </c>
      <c r="O2" s="28"/>
      <c r="P2" s="40"/>
      <c r="Q2" s="31" t="s">
        <v>2</v>
      </c>
      <c r="R2" s="31" t="s">
        <v>37</v>
      </c>
      <c r="S2" s="31" t="s">
        <v>38</v>
      </c>
      <c r="T2" s="93"/>
      <c r="U2" s="93"/>
      <c r="V2" s="31" t="s">
        <v>2</v>
      </c>
      <c r="W2" s="31" t="s">
        <v>37</v>
      </c>
      <c r="X2" s="31" t="s">
        <v>38</v>
      </c>
      <c r="Y2" s="93"/>
      <c r="Z2" s="41"/>
      <c r="AA2" s="31" t="s">
        <v>2</v>
      </c>
      <c r="AB2" s="31" t="s">
        <v>37</v>
      </c>
      <c r="AC2" s="31" t="s">
        <v>38</v>
      </c>
      <c r="AD2" s="41"/>
      <c r="AE2" s="93"/>
      <c r="AF2" s="93"/>
      <c r="AG2" s="31" t="s">
        <v>2</v>
      </c>
      <c r="AH2" s="31" t="s">
        <v>37</v>
      </c>
      <c r="AI2" s="31" t="s">
        <v>38</v>
      </c>
      <c r="AJ2" s="41"/>
      <c r="AK2" s="93"/>
      <c r="AL2" s="31" t="s">
        <v>2</v>
      </c>
      <c r="AM2" s="31" t="s">
        <v>37</v>
      </c>
      <c r="AN2" s="31" t="s">
        <v>38</v>
      </c>
      <c r="AO2" s="130" t="s">
        <v>121</v>
      </c>
      <c r="AP2" s="93"/>
      <c r="AQ2" s="31" t="s">
        <v>2</v>
      </c>
      <c r="AR2" s="31" t="s">
        <v>37</v>
      </c>
      <c r="AS2" s="31" t="s">
        <v>38</v>
      </c>
      <c r="AT2" s="136"/>
      <c r="AU2" s="41"/>
      <c r="AV2" s="93"/>
      <c r="AW2" s="31" t="s">
        <v>2</v>
      </c>
      <c r="AX2" s="31" t="s">
        <v>37</v>
      </c>
      <c r="AY2" s="31" t="s">
        <v>38</v>
      </c>
      <c r="AZ2" s="41"/>
      <c r="BA2" s="41"/>
      <c r="BB2" s="31" t="s">
        <v>2</v>
      </c>
      <c r="BC2" s="31" t="s">
        <v>37</v>
      </c>
      <c r="BD2" s="31" t="s">
        <v>38</v>
      </c>
      <c r="BE2" s="41"/>
      <c r="BF2" s="41"/>
      <c r="BG2" s="93"/>
      <c r="BH2" s="31" t="s">
        <v>2</v>
      </c>
      <c r="BI2" s="31" t="s">
        <v>37</v>
      </c>
      <c r="BJ2" s="31" t="s">
        <v>38</v>
      </c>
      <c r="BK2" s="41"/>
      <c r="BL2" s="93"/>
      <c r="BM2" s="93"/>
      <c r="BN2" s="31" t="s">
        <v>2</v>
      </c>
      <c r="BO2" s="31" t="s">
        <v>37</v>
      </c>
      <c r="BP2" s="31" t="s">
        <v>38</v>
      </c>
      <c r="BQ2" s="41"/>
    </row>
    <row r="3" spans="1:79">
      <c r="A3" s="88" t="s">
        <v>39</v>
      </c>
      <c r="B3" s="3"/>
      <c r="C3" s="3"/>
      <c r="D3" s="3"/>
      <c r="E3" s="3"/>
    </row>
    <row r="4" spans="1:79">
      <c r="A4" t="str">
        <f>'WA Summary '!B6</f>
        <v>555 Purchased Power</v>
      </c>
      <c r="B4" s="20">
        <f>F4+S4+W4+AA4+AE4+AI4+AL4+AV4+AZ4+BG4+BK4</f>
        <v>44525004</v>
      </c>
      <c r="C4" s="20" t="e">
        <f>G4+T4+X4+AB4+AF4+#REF!+AM4+AR4+AW4+BB4+BH4+BL4</f>
        <v>#REF!</v>
      </c>
      <c r="D4" s="10" t="e">
        <f>B4-C4</f>
        <v>#REF!</v>
      </c>
      <c r="E4" s="10"/>
      <c r="F4" s="10">
        <f>'WA Summary '!F6</f>
        <v>16833261</v>
      </c>
      <c r="G4" s="10">
        <f>'WA Summary '!F15</f>
        <v>12127251</v>
      </c>
      <c r="H4" s="10">
        <f t="shared" ref="H4:H12" si="0">F4-G4</f>
        <v>4706010</v>
      </c>
      <c r="I4" s="10"/>
      <c r="J4" s="10"/>
      <c r="K4" s="10"/>
      <c r="L4" s="10">
        <f>'WA Summary '!G6</f>
        <v>15418244</v>
      </c>
      <c r="M4" s="10">
        <f>'WA Summary '!G15</f>
        <v>11591985</v>
      </c>
      <c r="N4" s="10">
        <f t="shared" ref="N4:N14" si="1">L4-M4</f>
        <v>3826259</v>
      </c>
      <c r="O4" s="10"/>
      <c r="P4" s="39"/>
      <c r="Q4" s="10">
        <f>'WA Summary '!H6</f>
        <v>12301548</v>
      </c>
      <c r="R4" s="10">
        <f>'WA Summary '!H15</f>
        <v>10660401</v>
      </c>
      <c r="S4" s="10">
        <f>Q4-R4</f>
        <v>1641147</v>
      </c>
      <c r="T4" s="74"/>
      <c r="U4" s="74"/>
      <c r="V4" s="10">
        <f>'WA Summary '!I6</f>
        <v>11248597</v>
      </c>
      <c r="W4" s="10">
        <f>'WA Summary '!I15</f>
        <v>10031882</v>
      </c>
      <c r="X4" s="10">
        <f t="shared" ref="X4:X12" si="2">V4-W4</f>
        <v>1216715</v>
      </c>
      <c r="Y4" s="74"/>
      <c r="Z4" s="74"/>
      <c r="AA4" s="10">
        <f>'WA Summary '!J6</f>
        <v>7857289</v>
      </c>
      <c r="AB4" s="10">
        <f>'WA Summary '!J15</f>
        <v>7204007</v>
      </c>
      <c r="AC4" s="10">
        <f t="shared" ref="AC4:AC12" si="3">AA4-AB4</f>
        <v>653282</v>
      </c>
      <c r="AD4" s="74"/>
      <c r="AE4" s="74"/>
      <c r="AF4" s="74"/>
      <c r="AG4" s="10">
        <f>'WA Summary '!K6</f>
        <v>8387960</v>
      </c>
      <c r="AH4" s="10">
        <f>'WA Summary '!K15</f>
        <v>6832768</v>
      </c>
      <c r="AI4" s="10">
        <f t="shared" ref="AI4:AI12" si="4">AG4-AH4</f>
        <v>1555192</v>
      </c>
      <c r="AJ4" s="74"/>
      <c r="AK4" s="74"/>
      <c r="AL4" s="10">
        <f>'WA Summary '!L6</f>
        <v>6606233</v>
      </c>
      <c r="AM4" s="10">
        <f>'WA Summary '!L15</f>
        <v>7367141</v>
      </c>
      <c r="AN4" s="10">
        <f t="shared" ref="AN4:AN12" si="5">AL4-AM4</f>
        <v>-760908</v>
      </c>
      <c r="AO4" s="10"/>
      <c r="AP4" s="74"/>
      <c r="AQ4" s="10">
        <f>'WA Summary '!M6</f>
        <v>15747984</v>
      </c>
      <c r="AR4" s="10">
        <f>'WA Summary '!M15</f>
        <v>8064916</v>
      </c>
      <c r="AS4" s="10">
        <f t="shared" ref="AS4:AS12" si="6">AQ4-AR4</f>
        <v>7683068</v>
      </c>
      <c r="AT4" s="10"/>
      <c r="AV4" s="74"/>
      <c r="AW4" s="10">
        <f>'WA Summary '!N6</f>
        <v>9527787</v>
      </c>
      <c r="AX4" s="10">
        <f>'WA Summary '!N15</f>
        <v>7448796</v>
      </c>
      <c r="AY4" s="10">
        <f t="shared" ref="AY4:AY12" si="7">AW4-AX4</f>
        <v>2078991</v>
      </c>
      <c r="BB4" s="10">
        <f>'WA Summary '!O6</f>
        <v>0</v>
      </c>
      <c r="BC4" s="10">
        <f>'WA Summary '!O15</f>
        <v>7999787</v>
      </c>
      <c r="BD4" s="10">
        <f t="shared" ref="BD4:BD12" si="8">BB4-BC4</f>
        <v>-7999787</v>
      </c>
      <c r="BG4" s="74"/>
      <c r="BH4" s="10">
        <f>'WA Summary '!P6</f>
        <v>31525</v>
      </c>
      <c r="BI4" s="10">
        <f>'WA Summary '!P15</f>
        <v>11642227</v>
      </c>
      <c r="BJ4" s="10">
        <f t="shared" ref="BJ4:BJ12" si="9">BH4-BI4</f>
        <v>-11610702</v>
      </c>
      <c r="BL4" s="74"/>
      <c r="BM4" s="74"/>
      <c r="BN4" s="10">
        <f>'WA Summary '!Q6</f>
        <v>32573</v>
      </c>
      <c r="BO4" s="10">
        <f>'WA Summary '!Q15</f>
        <v>12112599</v>
      </c>
      <c r="BP4" s="10">
        <f t="shared" ref="BP4:BP12" si="10">BN4-BO4</f>
        <v>-12080026</v>
      </c>
    </row>
    <row r="5" spans="1:79">
      <c r="A5" t="str">
        <f>'WA Summary '!B8</f>
        <v>501 Thermal Fuel</v>
      </c>
      <c r="B5" s="20">
        <f>F5+S5+W5+AA5+AE5+AI5+AL5+AV5+AZ5+BG5+BK5</f>
        <v>7766104</v>
      </c>
      <c r="C5" s="20" t="e">
        <f>G5+T5+X5+AB5+AF5+#REF!+AM5+AR5+AW5+BB5+BH5+BL5</f>
        <v>#REF!</v>
      </c>
      <c r="D5" s="10" t="e">
        <f>B5-C5</f>
        <v>#REF!</v>
      </c>
      <c r="E5" s="10"/>
      <c r="F5" s="10">
        <f>'WA Summary '!F8</f>
        <v>2809889</v>
      </c>
      <c r="G5" s="10">
        <f>'WA Summary '!F17</f>
        <v>2667343</v>
      </c>
      <c r="H5" s="10">
        <f t="shared" si="0"/>
        <v>142546</v>
      </c>
      <c r="I5" s="10"/>
      <c r="J5" s="10"/>
      <c r="K5" s="10"/>
      <c r="L5" s="10">
        <f>'WA Summary '!G8</f>
        <v>1451692</v>
      </c>
      <c r="M5" s="10">
        <f>'WA Summary '!G17</f>
        <v>2503517</v>
      </c>
      <c r="N5" s="10">
        <f t="shared" si="1"/>
        <v>-1051825</v>
      </c>
      <c r="O5" s="10"/>
      <c r="P5" s="39"/>
      <c r="Q5" s="10">
        <f>'WA Summary '!H8</f>
        <v>2809269</v>
      </c>
      <c r="R5" s="10">
        <f>'WA Summary '!H17</f>
        <v>2494287</v>
      </c>
      <c r="S5" s="10">
        <f t="shared" ref="S5:S14" si="11">Q5-R5</f>
        <v>314982</v>
      </c>
      <c r="T5" s="74"/>
      <c r="U5" s="74"/>
      <c r="V5" s="10">
        <f>'WA Summary '!I8</f>
        <v>2116433</v>
      </c>
      <c r="W5" s="10">
        <f>'WA Summary '!I17</f>
        <v>2179004</v>
      </c>
      <c r="X5" s="10">
        <f t="shared" si="2"/>
        <v>-62571</v>
      </c>
      <c r="Y5" s="74"/>
      <c r="Z5" s="74"/>
      <c r="AA5" s="10">
        <f>'WA Summary '!J8</f>
        <v>593184</v>
      </c>
      <c r="AB5" s="10">
        <f>'WA Summary '!J17</f>
        <v>1551263</v>
      </c>
      <c r="AC5" s="10">
        <f t="shared" si="3"/>
        <v>-958079</v>
      </c>
      <c r="AD5" s="74"/>
      <c r="AE5" s="74"/>
      <c r="AF5" s="74"/>
      <c r="AG5" s="10">
        <f>'WA Summary '!K8</f>
        <v>1706688</v>
      </c>
      <c r="AH5" s="10">
        <f>'WA Summary '!K17</f>
        <v>1358751</v>
      </c>
      <c r="AI5" s="10">
        <f t="shared" si="4"/>
        <v>347937</v>
      </c>
      <c r="AJ5" s="74"/>
      <c r="AK5" s="74"/>
      <c r="AL5" s="10">
        <f>'WA Summary '!L8</f>
        <v>1521108</v>
      </c>
      <c r="AM5" s="10">
        <f>'WA Summary '!L17</f>
        <v>2219592</v>
      </c>
      <c r="AN5" s="10">
        <f t="shared" si="5"/>
        <v>-698484</v>
      </c>
      <c r="AO5" s="10"/>
      <c r="AP5" s="74"/>
      <c r="AQ5" s="10">
        <f>'WA Summary '!M8</f>
        <v>2093856</v>
      </c>
      <c r="AR5" s="10">
        <f>'WA Summary '!M17</f>
        <v>2478125</v>
      </c>
      <c r="AS5" s="10">
        <f t="shared" si="6"/>
        <v>-384269</v>
      </c>
      <c r="AT5" s="10"/>
      <c r="AV5" s="74"/>
      <c r="AW5" s="10">
        <f>'WA Summary '!N8</f>
        <v>2657404</v>
      </c>
      <c r="AX5" s="10">
        <f>'WA Summary '!N17</f>
        <v>2578207</v>
      </c>
      <c r="AY5" s="10">
        <f t="shared" si="7"/>
        <v>79197</v>
      </c>
      <c r="BB5" s="10">
        <f>'WA Summary '!O8</f>
        <v>0</v>
      </c>
      <c r="BC5" s="10">
        <f>'WA Summary '!O17</f>
        <v>2592987</v>
      </c>
      <c r="BD5" s="10">
        <f t="shared" si="8"/>
        <v>-2592987</v>
      </c>
      <c r="BG5" s="74"/>
      <c r="BH5" s="10">
        <f>'WA Summary '!P8</f>
        <v>0</v>
      </c>
      <c r="BI5" s="10">
        <f>'WA Summary '!P17</f>
        <v>2566833</v>
      </c>
      <c r="BJ5" s="10">
        <f t="shared" si="9"/>
        <v>-2566833</v>
      </c>
      <c r="BL5" s="74"/>
      <c r="BM5" s="74"/>
      <c r="BN5" s="10">
        <f>'WA Summary '!Q8</f>
        <v>0</v>
      </c>
      <c r="BO5" s="10">
        <f>'WA Summary '!Q17</f>
        <v>2703884</v>
      </c>
      <c r="BP5" s="10">
        <f t="shared" si="10"/>
        <v>-2703884</v>
      </c>
    </row>
    <row r="6" spans="1:79">
      <c r="A6" t="str">
        <f>'WA Summary '!B9</f>
        <v>547 CT Fuel</v>
      </c>
      <c r="B6" s="20">
        <f>F6+S6+W6+AA6+AE6+AI6+AL6+AV6+AZ6+BG6+BK6</f>
        <v>21041136</v>
      </c>
      <c r="C6" s="20" t="e">
        <f>G6+T6+X6+AB6+AF6+#REF!+AM6+AR6+AW6+BB6+BH6+BL6</f>
        <v>#REF!</v>
      </c>
      <c r="D6" s="10" t="e">
        <f>B6-C6</f>
        <v>#REF!</v>
      </c>
      <c r="E6" s="10"/>
      <c r="F6" s="10">
        <f>'WA Summary '!F9</f>
        <v>6964296</v>
      </c>
      <c r="G6" s="10">
        <f>'WA Summary '!F18</f>
        <v>8481668</v>
      </c>
      <c r="H6" s="10">
        <f t="shared" si="0"/>
        <v>-1517372</v>
      </c>
      <c r="I6" s="10"/>
      <c r="J6" s="10"/>
      <c r="K6" s="10"/>
      <c r="L6" s="10">
        <f>'WA Summary '!G9</f>
        <v>4564678</v>
      </c>
      <c r="M6" s="10">
        <f>'WA Summary '!G18</f>
        <v>7698692</v>
      </c>
      <c r="N6" s="10">
        <f t="shared" si="1"/>
        <v>-3134014</v>
      </c>
      <c r="O6" s="10"/>
      <c r="P6" s="39"/>
      <c r="Q6" s="10">
        <f>'WA Summary '!H9</f>
        <v>6313406</v>
      </c>
      <c r="R6" s="10">
        <f>'WA Summary '!H18</f>
        <v>7292619</v>
      </c>
      <c r="S6" s="10">
        <f t="shared" si="11"/>
        <v>-979213</v>
      </c>
      <c r="T6" s="74"/>
      <c r="U6" s="74"/>
      <c r="V6" s="10">
        <f>'WA Summary '!I9</f>
        <v>4231002</v>
      </c>
      <c r="W6" s="10">
        <f>'WA Summary '!I18</f>
        <v>5265751</v>
      </c>
      <c r="X6" s="10">
        <f t="shared" si="2"/>
        <v>-1034749</v>
      </c>
      <c r="Y6" s="74"/>
      <c r="Z6" s="74"/>
      <c r="AA6" s="10">
        <f>'WA Summary '!J9</f>
        <v>1876822</v>
      </c>
      <c r="AB6" s="10">
        <f>'WA Summary '!J18</f>
        <v>1426182</v>
      </c>
      <c r="AC6" s="10">
        <f t="shared" si="3"/>
        <v>450640</v>
      </c>
      <c r="AD6" s="74"/>
      <c r="AE6" s="74"/>
      <c r="AF6" s="74"/>
      <c r="AG6" s="10">
        <f>'WA Summary '!K9</f>
        <v>2234952</v>
      </c>
      <c r="AH6" s="10">
        <f>'WA Summary '!K18</f>
        <v>1698327</v>
      </c>
      <c r="AI6" s="10">
        <f t="shared" si="4"/>
        <v>536625</v>
      </c>
      <c r="AJ6" s="74"/>
      <c r="AK6" s="74"/>
      <c r="AL6" s="10">
        <f>'WA Summary '!L9</f>
        <v>7376855</v>
      </c>
      <c r="AM6" s="10">
        <f>'WA Summary '!L18</f>
        <v>5653252</v>
      </c>
      <c r="AN6" s="10">
        <f t="shared" si="5"/>
        <v>1723603</v>
      </c>
      <c r="AO6" s="10"/>
      <c r="AP6" s="74"/>
      <c r="AQ6" s="10">
        <f>'WA Summary '!M9</f>
        <v>7709363</v>
      </c>
      <c r="AR6" s="10">
        <f>'WA Summary '!M18</f>
        <v>7341418</v>
      </c>
      <c r="AS6" s="10">
        <f t="shared" si="6"/>
        <v>367945</v>
      </c>
      <c r="AT6" s="10"/>
      <c r="AV6" s="74"/>
      <c r="AW6" s="10">
        <f>'WA Summary '!N9</f>
        <v>5836996</v>
      </c>
      <c r="AX6" s="10">
        <f>'WA Summary '!N18</f>
        <v>6493558</v>
      </c>
      <c r="AY6" s="10">
        <f t="shared" si="7"/>
        <v>-656562</v>
      </c>
      <c r="BB6" s="10">
        <f>'WA Summary '!O9</f>
        <v>0</v>
      </c>
      <c r="BC6" s="10">
        <f>'WA Summary '!O18</f>
        <v>6103470</v>
      </c>
      <c r="BD6" s="10">
        <f t="shared" si="8"/>
        <v>-6103470</v>
      </c>
      <c r="BG6" s="74"/>
      <c r="BH6" s="10">
        <f>'WA Summary '!P9</f>
        <v>0</v>
      </c>
      <c r="BI6" s="10">
        <f>'WA Summary '!P18</f>
        <v>6561954</v>
      </c>
      <c r="BJ6" s="10">
        <f t="shared" si="9"/>
        <v>-6561954</v>
      </c>
      <c r="BL6" s="74"/>
      <c r="BM6" s="74"/>
      <c r="BN6" s="10">
        <f>'WA Summary '!Q9</f>
        <v>0</v>
      </c>
      <c r="BO6" s="10">
        <f>'WA Summary '!Q18</f>
        <v>8397561</v>
      </c>
      <c r="BP6" s="10">
        <f t="shared" si="10"/>
        <v>-8397561</v>
      </c>
      <c r="BU6" s="80"/>
      <c r="BV6" s="79"/>
      <c r="BW6" s="3"/>
      <c r="BX6" s="3"/>
      <c r="BY6" s="3"/>
      <c r="BZ6" s="3"/>
      <c r="CA6" s="3"/>
    </row>
    <row r="7" spans="1:79">
      <c r="A7" s="32" t="str">
        <f>'WA Summary '!B7</f>
        <v>447 Sale for Resale</v>
      </c>
      <c r="B7" s="20">
        <f>F7+S7+W7+AA7+AE7+AI7+AL7+AV7+AZ7+BG7+BK7</f>
        <v>-39919096</v>
      </c>
      <c r="C7" s="20" t="e">
        <f>G7+T7+X7+AB7+AF7+#REF!+AM7+AR7+AW7+BB7+BH7+BL7</f>
        <v>#REF!</v>
      </c>
      <c r="D7" s="10" t="e">
        <f>B7-C7</f>
        <v>#REF!</v>
      </c>
      <c r="E7" s="10"/>
      <c r="F7" s="10">
        <f>'WA Summary '!F7</f>
        <v>-14027524</v>
      </c>
      <c r="G7" s="10">
        <f>'WA Summary '!F16</f>
        <v>-7154528</v>
      </c>
      <c r="H7" s="17">
        <f t="shared" si="0"/>
        <v>-6872996</v>
      </c>
      <c r="I7" s="10"/>
      <c r="J7" s="10"/>
      <c r="K7" s="10"/>
      <c r="L7" s="10">
        <f>'WA Summary '!G7</f>
        <v>-9676671</v>
      </c>
      <c r="M7" s="10">
        <f>'WA Summary '!G16</f>
        <v>-6331583</v>
      </c>
      <c r="N7" s="10">
        <f t="shared" si="1"/>
        <v>-3345088</v>
      </c>
      <c r="O7" s="10"/>
      <c r="P7" s="39"/>
      <c r="Q7" s="10">
        <f>'WA Summary '!H7</f>
        <v>-11198097</v>
      </c>
      <c r="R7" s="10">
        <f>'WA Summary '!H16</f>
        <v>-7373144</v>
      </c>
      <c r="S7" s="10">
        <f t="shared" si="11"/>
        <v>-3824953</v>
      </c>
      <c r="T7" s="74"/>
      <c r="U7" s="74"/>
      <c r="V7" s="10">
        <f>'WA Summary '!I7</f>
        <v>-11240332</v>
      </c>
      <c r="W7" s="10">
        <f>'WA Summary '!I16</f>
        <v>-9451450</v>
      </c>
      <c r="X7" s="10">
        <f t="shared" si="2"/>
        <v>-1788882</v>
      </c>
      <c r="Y7" s="74"/>
      <c r="Z7" s="74"/>
      <c r="AA7" s="10">
        <f>'WA Summary '!J7</f>
        <v>-6705953</v>
      </c>
      <c r="AB7" s="10">
        <f>'WA Summary '!J16</f>
        <v>-3992970</v>
      </c>
      <c r="AC7" s="10">
        <f t="shared" si="3"/>
        <v>-2712983</v>
      </c>
      <c r="AD7" s="74"/>
      <c r="AE7" s="74"/>
      <c r="AF7" s="74"/>
      <c r="AG7" s="10">
        <f>'WA Summary '!K7</f>
        <v>-7688520</v>
      </c>
      <c r="AH7" s="10">
        <f>'WA Summary '!K16</f>
        <v>-3782256</v>
      </c>
      <c r="AI7" s="10">
        <f t="shared" si="4"/>
        <v>-3906264</v>
      </c>
      <c r="AJ7" s="74"/>
      <c r="AK7" s="74"/>
      <c r="AL7" s="10">
        <f>'WA Summary '!L7</f>
        <v>-2002952</v>
      </c>
      <c r="AM7" s="10">
        <f>'WA Summary '!L16</f>
        <v>-5325599</v>
      </c>
      <c r="AN7" s="10">
        <f t="shared" si="5"/>
        <v>3322647</v>
      </c>
      <c r="AO7" s="10"/>
      <c r="AP7" s="74"/>
      <c r="AQ7" s="10">
        <f>'WA Summary '!M7</f>
        <v>-8712018</v>
      </c>
      <c r="AR7" s="10">
        <f>'WA Summary '!M16</f>
        <v>-3215251</v>
      </c>
      <c r="AS7" s="10">
        <f t="shared" si="6"/>
        <v>-5496767</v>
      </c>
      <c r="AT7" s="10"/>
      <c r="AV7" s="74"/>
      <c r="AW7" s="10">
        <f>'WA Summary '!N7</f>
        <v>-4747226</v>
      </c>
      <c r="AX7" s="10">
        <f>'WA Summary '!N16</f>
        <v>-4016772</v>
      </c>
      <c r="AY7" s="10">
        <f t="shared" si="7"/>
        <v>-730454</v>
      </c>
      <c r="BB7" s="10">
        <f>'WA Summary '!O7</f>
        <v>0</v>
      </c>
      <c r="BC7" s="10">
        <f>'WA Summary '!O16</f>
        <v>-3304259</v>
      </c>
      <c r="BD7" s="10">
        <f t="shared" si="8"/>
        <v>3304259</v>
      </c>
      <c r="BG7" s="74"/>
      <c r="BH7" s="10">
        <f>'WA Summary '!P7</f>
        <v>0</v>
      </c>
      <c r="BI7" s="10">
        <f>'WA Summary '!P16</f>
        <v>-4468025</v>
      </c>
      <c r="BJ7" s="10">
        <f t="shared" si="9"/>
        <v>4468025</v>
      </c>
      <c r="BL7" s="74"/>
      <c r="BM7" s="74"/>
      <c r="BN7" s="10">
        <f>'WA Summary '!Q7</f>
        <v>0</v>
      </c>
      <c r="BO7" s="10">
        <f>'WA Summary '!Q16</f>
        <v>-6320023</v>
      </c>
      <c r="BP7" s="10">
        <f t="shared" si="10"/>
        <v>6320023</v>
      </c>
      <c r="BU7" s="80"/>
      <c r="BV7" s="79"/>
      <c r="BW7" s="3"/>
      <c r="BX7" s="3"/>
      <c r="BY7" s="3"/>
      <c r="BZ7" s="3"/>
      <c r="CA7" s="3"/>
    </row>
    <row r="8" spans="1:79">
      <c r="A8" s="32" t="s">
        <v>106</v>
      </c>
      <c r="B8" s="20"/>
      <c r="C8" s="20"/>
      <c r="D8" s="10"/>
      <c r="E8" s="10"/>
      <c r="F8" s="10">
        <f>'WA Summary '!F11</f>
        <v>1537140</v>
      </c>
      <c r="G8" s="10">
        <f>'WA Summary '!F20</f>
        <v>1503379</v>
      </c>
      <c r="H8" s="115">
        <f t="shared" si="0"/>
        <v>33761</v>
      </c>
      <c r="I8" s="10"/>
      <c r="J8" s="10"/>
      <c r="K8" s="10"/>
      <c r="L8" s="10">
        <f>'WA Summary '!G11</f>
        <v>1480382</v>
      </c>
      <c r="M8" s="10">
        <f>'WA Summary '!G20</f>
        <v>1417562</v>
      </c>
      <c r="N8" s="10">
        <f t="shared" si="1"/>
        <v>62820</v>
      </c>
      <c r="O8" s="10"/>
      <c r="P8" s="39"/>
      <c r="Q8" s="10">
        <f>'WA Summary '!H11</f>
        <v>1516859</v>
      </c>
      <c r="R8" s="10">
        <f>'WA Summary '!H20</f>
        <v>1557827</v>
      </c>
      <c r="S8" s="10">
        <f t="shared" si="11"/>
        <v>-40968</v>
      </c>
      <c r="T8" s="74"/>
      <c r="U8" s="74"/>
      <c r="V8" s="10">
        <f>'WA Summary '!I11</f>
        <v>1455249</v>
      </c>
      <c r="W8" s="10">
        <f>'WA Summary '!I20</f>
        <v>1347286</v>
      </c>
      <c r="X8" s="10">
        <f t="shared" si="2"/>
        <v>107963</v>
      </c>
      <c r="Y8" s="74"/>
      <c r="Z8" s="74"/>
      <c r="AA8" s="10">
        <f>'WA Summary '!J11</f>
        <v>1428486</v>
      </c>
      <c r="AB8" s="10">
        <f>'WA Summary '!J20</f>
        <v>1394142</v>
      </c>
      <c r="AC8" s="10">
        <f t="shared" si="3"/>
        <v>34344</v>
      </c>
      <c r="AD8" s="74"/>
      <c r="AE8" s="74"/>
      <c r="AF8" s="74"/>
      <c r="AG8" s="10">
        <f>'WA Summary '!K11</f>
        <v>1408481</v>
      </c>
      <c r="AH8" s="10">
        <f>'WA Summary '!K20</f>
        <v>1391308</v>
      </c>
      <c r="AI8" s="10">
        <f t="shared" si="4"/>
        <v>17173</v>
      </c>
      <c r="AJ8" s="74"/>
      <c r="AK8" s="74"/>
      <c r="AL8" s="10">
        <f>'WA Summary '!L11</f>
        <v>1431372</v>
      </c>
      <c r="AM8" s="10">
        <f>'WA Summary '!L20</f>
        <v>1452951</v>
      </c>
      <c r="AN8" s="10">
        <f t="shared" si="5"/>
        <v>-21579</v>
      </c>
      <c r="AO8" s="10"/>
      <c r="AP8" s="74"/>
      <c r="AQ8" s="11">
        <f>'WA Summary '!M11</f>
        <v>1471267</v>
      </c>
      <c r="AR8" s="10">
        <f>'WA Summary '!M20</f>
        <v>1443202</v>
      </c>
      <c r="AS8" s="10">
        <f t="shared" si="6"/>
        <v>28065</v>
      </c>
      <c r="AT8" s="10"/>
      <c r="AV8" s="74"/>
      <c r="AW8" s="10">
        <f>'WA Summary '!N11</f>
        <v>1507466</v>
      </c>
      <c r="AX8" s="10">
        <f>'WA Summary '!N20</f>
        <v>1567441</v>
      </c>
      <c r="AY8" s="10">
        <f t="shared" si="7"/>
        <v>-59975</v>
      </c>
      <c r="BB8" s="10">
        <f>'WA Summary '!O11</f>
        <v>0</v>
      </c>
      <c r="BC8" s="10">
        <f>'WA Summary '!O20</f>
        <v>1406861</v>
      </c>
      <c r="BD8" s="10">
        <f t="shared" si="8"/>
        <v>-1406861</v>
      </c>
      <c r="BG8" s="74"/>
      <c r="BH8" s="10">
        <f>'WA Summary '!P11</f>
        <v>0</v>
      </c>
      <c r="BI8" s="10">
        <f>'WA Summary '!P20</f>
        <v>1416449</v>
      </c>
      <c r="BJ8" s="10">
        <f t="shared" si="9"/>
        <v>-1416449</v>
      </c>
      <c r="BL8" s="74"/>
      <c r="BM8" s="74"/>
      <c r="BN8" s="10">
        <f>'WA Summary '!Q11</f>
        <v>0</v>
      </c>
      <c r="BO8" s="10">
        <f>'WA Summary '!Q20</f>
        <v>1446134</v>
      </c>
      <c r="BP8" s="10">
        <f t="shared" si="10"/>
        <v>-1446134</v>
      </c>
      <c r="BU8" s="80"/>
      <c r="BV8" s="79"/>
      <c r="BW8" s="3"/>
      <c r="BX8" s="3"/>
      <c r="BY8" s="3"/>
      <c r="BZ8" s="3"/>
      <c r="CA8" s="3"/>
    </row>
    <row r="9" spans="1:79">
      <c r="A9" s="32" t="s">
        <v>139</v>
      </c>
      <c r="B9" s="20"/>
      <c r="C9" s="20"/>
      <c r="D9" s="10"/>
      <c r="E9" s="10"/>
      <c r="F9" s="10">
        <f>'WA Summary '!F10</f>
        <v>-1346464</v>
      </c>
      <c r="G9" s="10">
        <f>'WA Summary '!F19</f>
        <v>-1306342</v>
      </c>
      <c r="H9" s="115">
        <f t="shared" si="0"/>
        <v>-40122</v>
      </c>
      <c r="I9" s="10" t="e">
        <f>H8+H9+H10+H11+H12</f>
        <v>#REF!</v>
      </c>
      <c r="J9" s="10" t="e">
        <f>I9*0.6583</f>
        <v>#REF!</v>
      </c>
      <c r="K9" s="10"/>
      <c r="L9" s="10">
        <f>'WA Summary '!G10</f>
        <v>-1432165</v>
      </c>
      <c r="M9" s="10">
        <f>'WA Summary '!G19</f>
        <v>-1061936</v>
      </c>
      <c r="N9" s="10">
        <f t="shared" si="1"/>
        <v>-370229</v>
      </c>
      <c r="O9" s="10"/>
      <c r="P9" s="39"/>
      <c r="Q9" s="10">
        <f>'WA Summary '!H10</f>
        <v>-1085780</v>
      </c>
      <c r="R9" s="10">
        <f>'WA Summary '!H19</f>
        <v>-1137644</v>
      </c>
      <c r="S9" s="10">
        <f t="shared" si="11"/>
        <v>51864</v>
      </c>
      <c r="T9" s="74"/>
      <c r="U9" s="74"/>
      <c r="V9" s="10">
        <f>'WA Summary '!I10</f>
        <v>-1084499</v>
      </c>
      <c r="W9" s="10">
        <f>'WA Summary '!I19</f>
        <v>-1166933</v>
      </c>
      <c r="X9" s="10">
        <f t="shared" si="2"/>
        <v>82434</v>
      </c>
      <c r="Y9" s="74"/>
      <c r="Z9" s="74"/>
      <c r="AA9" s="10">
        <f>'WA Summary '!J10</f>
        <v>-1558363</v>
      </c>
      <c r="AB9" s="10">
        <f>'WA Summary '!J19</f>
        <v>-1253488</v>
      </c>
      <c r="AC9" s="10">
        <f t="shared" si="3"/>
        <v>-304875</v>
      </c>
      <c r="AD9" s="74"/>
      <c r="AE9" s="74"/>
      <c r="AF9" s="74"/>
      <c r="AG9" s="10">
        <f>'WA Summary '!K10</f>
        <v>-1680324</v>
      </c>
      <c r="AH9" s="10">
        <f>'WA Summary '!K19</f>
        <v>-1398529</v>
      </c>
      <c r="AI9" s="10">
        <f t="shared" si="4"/>
        <v>-281795</v>
      </c>
      <c r="AJ9" s="74"/>
      <c r="AK9" s="74"/>
      <c r="AL9" s="10">
        <f>'WA Summary '!L10</f>
        <v>-1890542</v>
      </c>
      <c r="AM9" s="10">
        <f>'WA Summary '!L19</f>
        <v>-1450378</v>
      </c>
      <c r="AN9" s="10">
        <f t="shared" si="5"/>
        <v>-440164</v>
      </c>
      <c r="AO9" s="10"/>
      <c r="AP9" s="74"/>
      <c r="AQ9" s="11">
        <f>'WA Summary '!M10</f>
        <v>-1741991</v>
      </c>
      <c r="AR9" s="10">
        <f>'WA Summary '!M19</f>
        <v>-1346819</v>
      </c>
      <c r="AS9" s="10">
        <f t="shared" si="6"/>
        <v>-395172</v>
      </c>
      <c r="AT9" s="10"/>
      <c r="AV9" s="74"/>
      <c r="AW9" s="10">
        <f>'WA Summary '!N10</f>
        <v>-1215513</v>
      </c>
      <c r="AX9" s="10">
        <f>'WA Summary '!N19</f>
        <v>-1372213</v>
      </c>
      <c r="AY9" s="10">
        <f t="shared" si="7"/>
        <v>156700</v>
      </c>
      <c r="BB9" s="10">
        <f>'WA Summary '!O10</f>
        <v>0</v>
      </c>
      <c r="BC9" s="10">
        <f>'WA Summary '!O19</f>
        <v>-1319316</v>
      </c>
      <c r="BD9" s="10">
        <f t="shared" si="8"/>
        <v>1319316</v>
      </c>
      <c r="BG9" s="74"/>
      <c r="BH9" s="10">
        <f>'WA Summary '!P10</f>
        <v>0</v>
      </c>
      <c r="BI9" s="10">
        <f>'WA Summary '!P19</f>
        <v>-1257650</v>
      </c>
      <c r="BJ9" s="10">
        <f t="shared" si="9"/>
        <v>1257650</v>
      </c>
      <c r="BL9" s="74"/>
      <c r="BM9" s="74"/>
      <c r="BN9" s="10">
        <f>'WA Summary '!Q10</f>
        <v>0</v>
      </c>
      <c r="BO9" s="10">
        <f>'WA Summary '!Q19</f>
        <v>-1191496</v>
      </c>
      <c r="BP9" s="10">
        <f t="shared" si="10"/>
        <v>1191496</v>
      </c>
      <c r="BU9" s="80"/>
      <c r="BV9" s="79"/>
      <c r="BW9" s="3"/>
      <c r="BX9" s="3"/>
      <c r="BY9" s="3"/>
      <c r="BZ9" s="3"/>
      <c r="CA9" s="3"/>
    </row>
    <row r="10" spans="1:79">
      <c r="A10" s="32" t="str">
        <f>'WA Summary '!B25</f>
        <v>Resource Optimization - Subtotal</v>
      </c>
      <c r="B10" s="20"/>
      <c r="C10" s="20"/>
      <c r="D10" s="10"/>
      <c r="E10" s="10"/>
      <c r="F10" s="10">
        <f>'WA Summary '!F25</f>
        <v>-641912</v>
      </c>
      <c r="G10" s="10">
        <v>0</v>
      </c>
      <c r="H10" s="115">
        <f t="shared" si="0"/>
        <v>-641912</v>
      </c>
      <c r="I10" s="10"/>
      <c r="J10" s="10"/>
      <c r="K10" s="10"/>
      <c r="L10" s="10">
        <f>'WA Summary '!G25</f>
        <v>-1114849</v>
      </c>
      <c r="M10" s="10"/>
      <c r="N10" s="10">
        <f t="shared" si="1"/>
        <v>-1114849</v>
      </c>
      <c r="O10" s="10"/>
      <c r="P10" s="39"/>
      <c r="Q10" s="11">
        <f>'WA Summary '!H25</f>
        <v>-797723</v>
      </c>
      <c r="R10" s="10"/>
      <c r="S10" s="10">
        <f t="shared" si="11"/>
        <v>-797723</v>
      </c>
      <c r="T10" s="74"/>
      <c r="U10" s="74"/>
      <c r="V10" s="10">
        <f>'WA Summary '!I25</f>
        <v>-1239602</v>
      </c>
      <c r="W10" s="10">
        <v>0</v>
      </c>
      <c r="X10" s="10">
        <f t="shared" si="2"/>
        <v>-1239602</v>
      </c>
      <c r="Y10" s="74"/>
      <c r="Z10" s="74"/>
      <c r="AA10" s="10">
        <f>'WA Summary '!J25</f>
        <v>-1465561</v>
      </c>
      <c r="AB10" s="10"/>
      <c r="AC10" s="10"/>
      <c r="AD10" s="74"/>
      <c r="AE10" s="74"/>
      <c r="AF10" s="74"/>
      <c r="AG10" s="10">
        <f>'WA Summary '!K25</f>
        <v>-1476561</v>
      </c>
      <c r="AH10" s="10"/>
      <c r="AI10" s="10"/>
      <c r="AJ10" s="74"/>
      <c r="AK10" s="74"/>
      <c r="AL10" s="11">
        <f>'WA Summary '!L25</f>
        <v>-1394230</v>
      </c>
      <c r="AM10" s="10"/>
      <c r="AN10" s="10">
        <f t="shared" si="5"/>
        <v>-1394230</v>
      </c>
      <c r="AO10" s="10">
        <f>AN10*0.6583</f>
        <v>-917822</v>
      </c>
      <c r="AP10" s="74"/>
      <c r="AQ10" s="11">
        <f>'WA Summary '!M25</f>
        <v>-912263</v>
      </c>
      <c r="AR10" s="10"/>
      <c r="AS10" s="10">
        <f t="shared" si="6"/>
        <v>-912263</v>
      </c>
      <c r="AT10" s="10"/>
      <c r="AV10" s="74"/>
      <c r="AW10" s="10">
        <f>'WA Summary '!N25</f>
        <v>-1264473</v>
      </c>
      <c r="AX10" s="10"/>
      <c r="AY10" s="10">
        <f t="shared" si="7"/>
        <v>-1264473</v>
      </c>
      <c r="BB10" s="10" t="str">
        <f>'WA Summary '!O25</f>
        <v xml:space="preserve"> </v>
      </c>
      <c r="BC10" s="10"/>
      <c r="BD10" s="10" t="e">
        <f t="shared" si="8"/>
        <v>#VALUE!</v>
      </c>
      <c r="BG10" s="74"/>
      <c r="BH10" s="10">
        <f>'WA Summary '!P25</f>
        <v>0</v>
      </c>
      <c r="BI10" s="10"/>
      <c r="BJ10" s="10">
        <f t="shared" si="9"/>
        <v>0</v>
      </c>
      <c r="BL10" s="74"/>
      <c r="BM10" s="74"/>
      <c r="BN10" s="10">
        <f>'WA Summary '!Q25</f>
        <v>0</v>
      </c>
      <c r="BO10" s="10"/>
      <c r="BP10" s="10">
        <f t="shared" si="10"/>
        <v>0</v>
      </c>
      <c r="BU10" s="80"/>
      <c r="BV10" s="79"/>
      <c r="BW10" s="3"/>
      <c r="BX10" s="3"/>
      <c r="BY10" s="3"/>
      <c r="BZ10" s="3"/>
      <c r="CA10" s="3"/>
    </row>
    <row r="11" spans="1:79">
      <c r="A11" t="str">
        <f>'WA Summary '!B21</f>
        <v>557 Broker Fees</v>
      </c>
      <c r="B11" s="58">
        <f>F11+S11+W11+AA11+AE11+AI11+AL11+AZ11</f>
        <v>240577</v>
      </c>
      <c r="C11" s="58" t="e">
        <f>G11+T11+X11+AB11+AF11+#REF!+AM11+AR11+AW11+BB11+BH11+BL11</f>
        <v>#REF!</v>
      </c>
      <c r="D11" s="17" t="e">
        <f>B11-C11</f>
        <v>#REF!</v>
      </c>
      <c r="E11" s="17"/>
      <c r="F11" s="11">
        <f>'WA Summary '!F12</f>
        <v>64248</v>
      </c>
      <c r="G11" s="11">
        <f>'WA Summary '!F21</f>
        <v>57500</v>
      </c>
      <c r="H11" s="115">
        <f t="shared" si="0"/>
        <v>6748</v>
      </c>
      <c r="I11" s="11"/>
      <c r="J11" s="11"/>
      <c r="K11" s="11"/>
      <c r="L11" s="11">
        <f>'WA Summary '!G12</f>
        <v>38145</v>
      </c>
      <c r="M11" s="11">
        <f>'WA Summary '!G21</f>
        <v>57500</v>
      </c>
      <c r="N11" s="10">
        <f t="shared" si="1"/>
        <v>-19355</v>
      </c>
      <c r="O11" s="11"/>
      <c r="P11" s="74"/>
      <c r="Q11" s="10">
        <f>'WA Summary '!H12</f>
        <v>56451</v>
      </c>
      <c r="R11" s="11">
        <f>'WA Summary '!H21</f>
        <v>57500</v>
      </c>
      <c r="S11" s="10">
        <f t="shared" si="11"/>
        <v>-1049</v>
      </c>
      <c r="T11" s="74"/>
      <c r="U11" s="74"/>
      <c r="V11" s="11">
        <f>'WA Summary '!I12</f>
        <v>55776</v>
      </c>
      <c r="W11" s="11">
        <f>'WA Summary '!I21</f>
        <v>57500</v>
      </c>
      <c r="X11" s="10">
        <f t="shared" si="2"/>
        <v>-1724</v>
      </c>
      <c r="Y11" s="74"/>
      <c r="Z11" s="74"/>
      <c r="AA11" s="11">
        <f>'WA Summary '!J12</f>
        <v>56900</v>
      </c>
      <c r="AB11" s="11">
        <f>'WA Summary '!J21</f>
        <v>34250</v>
      </c>
      <c r="AC11" s="10">
        <f t="shared" si="3"/>
        <v>22650</v>
      </c>
      <c r="AD11" s="74"/>
      <c r="AE11" s="74"/>
      <c r="AF11" s="74"/>
      <c r="AG11" s="11">
        <f>'WA Summary '!K12</f>
        <v>54711</v>
      </c>
      <c r="AH11" s="11">
        <f>'WA Summary '!K21</f>
        <v>34250</v>
      </c>
      <c r="AI11" s="10">
        <f t="shared" si="4"/>
        <v>20461</v>
      </c>
      <c r="AJ11" s="74"/>
      <c r="AK11" s="74"/>
      <c r="AL11" s="11">
        <f>'WA Summary '!L12</f>
        <v>42517</v>
      </c>
      <c r="AM11" s="11">
        <f>'WA Summary '!L21</f>
        <v>34250</v>
      </c>
      <c r="AN11" s="10">
        <f t="shared" si="5"/>
        <v>8267</v>
      </c>
      <c r="AO11" s="10"/>
      <c r="AP11" s="74"/>
      <c r="AQ11" s="11">
        <f>'WA Summary '!M12</f>
        <v>54638</v>
      </c>
      <c r="AR11" s="11">
        <f>'WA Summary '!M21</f>
        <v>34250</v>
      </c>
      <c r="AS11" s="10">
        <f>AQ10-AR11</f>
        <v>-946513</v>
      </c>
      <c r="AT11" s="10"/>
      <c r="AV11" s="74"/>
      <c r="AW11" s="11">
        <f>'WA Summary '!N12</f>
        <v>67390</v>
      </c>
      <c r="AX11" s="11">
        <f>'WA Summary '!N21</f>
        <v>34250</v>
      </c>
      <c r="AY11" s="10">
        <f t="shared" si="7"/>
        <v>33140</v>
      </c>
      <c r="BB11" s="11">
        <f>'WA Summary '!O12</f>
        <v>0</v>
      </c>
      <c r="BC11" s="11">
        <f>'WA Summary '!O21</f>
        <v>34250</v>
      </c>
      <c r="BD11" s="10">
        <f t="shared" si="8"/>
        <v>-34250</v>
      </c>
      <c r="BG11" s="74"/>
      <c r="BH11" s="11">
        <f>'WA Summary '!P12</f>
        <v>0</v>
      </c>
      <c r="BI11" s="11">
        <f>'WA Summary '!P21</f>
        <v>34250</v>
      </c>
      <c r="BJ11" s="10">
        <f t="shared" si="9"/>
        <v>-34250</v>
      </c>
      <c r="BL11" s="74"/>
      <c r="BM11" s="74"/>
      <c r="BN11" s="11">
        <f>'WA Summary '!Q12</f>
        <v>0</v>
      </c>
      <c r="BO11" s="11">
        <f>'WA Summary '!Q21</f>
        <v>34250</v>
      </c>
      <c r="BP11" s="10">
        <f t="shared" si="10"/>
        <v>-34250</v>
      </c>
      <c r="BU11" s="80"/>
      <c r="BV11" s="79"/>
      <c r="BW11" s="3"/>
      <c r="BX11" s="3"/>
      <c r="BY11" s="3"/>
      <c r="BZ11" s="3"/>
      <c r="CA11" s="3"/>
    </row>
    <row r="12" spans="1:79">
      <c r="A12" t="e">
        <f>'WA Summary '!#REF!</f>
        <v>#REF!</v>
      </c>
      <c r="B12" s="19"/>
      <c r="C12" s="19"/>
      <c r="D12" s="11"/>
      <c r="E12" s="11"/>
      <c r="F12" s="17">
        <v>0</v>
      </c>
      <c r="G12" s="17" t="e">
        <f>'WA Summary '!#REF!</f>
        <v>#REF!</v>
      </c>
      <c r="H12" s="116" t="e">
        <f t="shared" si="0"/>
        <v>#REF!</v>
      </c>
      <c r="I12" s="11"/>
      <c r="J12" s="11"/>
      <c r="K12" s="11"/>
      <c r="L12" s="17">
        <v>0</v>
      </c>
      <c r="M12" s="17" t="e">
        <f>'WA Summary '!#REF!</f>
        <v>#REF!</v>
      </c>
      <c r="N12" s="17" t="e">
        <f t="shared" si="1"/>
        <v>#REF!</v>
      </c>
      <c r="O12" s="11"/>
      <c r="P12" s="74"/>
      <c r="Q12" s="17">
        <v>0</v>
      </c>
      <c r="R12" s="17" t="e">
        <f>'WA Summary '!#REF!</f>
        <v>#REF!</v>
      </c>
      <c r="S12" s="17" t="e">
        <f t="shared" si="11"/>
        <v>#REF!</v>
      </c>
      <c r="T12" s="74"/>
      <c r="U12" s="74"/>
      <c r="V12" s="17">
        <v>0</v>
      </c>
      <c r="W12" s="17" t="e">
        <f>'WA Summary '!#REF!</f>
        <v>#REF!</v>
      </c>
      <c r="X12" s="17" t="e">
        <f t="shared" si="2"/>
        <v>#REF!</v>
      </c>
      <c r="Y12" s="74"/>
      <c r="Z12" s="74"/>
      <c r="AA12" s="17">
        <v>0</v>
      </c>
      <c r="AB12" s="17" t="e">
        <f>'WA Summary '!#REF!</f>
        <v>#REF!</v>
      </c>
      <c r="AC12" s="17" t="e">
        <f t="shared" si="3"/>
        <v>#REF!</v>
      </c>
      <c r="AD12" s="74"/>
      <c r="AE12" s="74"/>
      <c r="AF12" s="74"/>
      <c r="AG12" s="17">
        <v>0</v>
      </c>
      <c r="AH12" s="17" t="e">
        <f>'WA Summary '!#REF!</f>
        <v>#REF!</v>
      </c>
      <c r="AI12" s="17" t="e">
        <f t="shared" si="4"/>
        <v>#REF!</v>
      </c>
      <c r="AJ12" s="74"/>
      <c r="AK12" s="74"/>
      <c r="AL12" s="17">
        <v>0</v>
      </c>
      <c r="AM12" s="17" t="e">
        <f>'WA Summary '!#REF!</f>
        <v>#REF!</v>
      </c>
      <c r="AN12" s="17" t="e">
        <f t="shared" si="5"/>
        <v>#REF!</v>
      </c>
      <c r="AO12" s="11"/>
      <c r="AP12" s="74"/>
      <c r="AQ12" s="17">
        <v>0</v>
      </c>
      <c r="AR12" s="17" t="e">
        <f>'WA Summary '!#REF!</f>
        <v>#REF!</v>
      </c>
      <c r="AS12" s="17" t="e">
        <f t="shared" si="6"/>
        <v>#REF!</v>
      </c>
      <c r="AT12" s="11"/>
      <c r="AV12" s="74"/>
      <c r="AW12" s="17">
        <v>0</v>
      </c>
      <c r="AX12" s="17" t="e">
        <f>'WA Summary '!#REF!</f>
        <v>#REF!</v>
      </c>
      <c r="AY12" s="17" t="e">
        <f t="shared" si="7"/>
        <v>#REF!</v>
      </c>
      <c r="BB12" s="17">
        <v>0</v>
      </c>
      <c r="BC12" s="17" t="e">
        <f>'WA Summary '!#REF!</f>
        <v>#REF!</v>
      </c>
      <c r="BD12" s="17" t="e">
        <f t="shared" si="8"/>
        <v>#REF!</v>
      </c>
      <c r="BG12" s="74"/>
      <c r="BH12" s="17">
        <v>0</v>
      </c>
      <c r="BI12" s="17" t="e">
        <f>'WA Summary '!#REF!</f>
        <v>#REF!</v>
      </c>
      <c r="BJ12" s="17" t="e">
        <f t="shared" si="9"/>
        <v>#REF!</v>
      </c>
      <c r="BL12" s="74"/>
      <c r="BM12" s="74"/>
      <c r="BN12" s="17">
        <v>0</v>
      </c>
      <c r="BO12" s="17" t="e">
        <f>'WA Summary '!#REF!</f>
        <v>#REF!</v>
      </c>
      <c r="BP12" s="17" t="e">
        <f t="shared" si="10"/>
        <v>#REF!</v>
      </c>
      <c r="BU12" s="80"/>
      <c r="BV12" s="79"/>
      <c r="BW12" s="3"/>
      <c r="BX12" s="3"/>
      <c r="BY12" s="3"/>
      <c r="BZ12" s="3"/>
      <c r="CA12" s="3"/>
    </row>
    <row r="13" spans="1:79">
      <c r="B13" s="19"/>
      <c r="C13" s="19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74"/>
      <c r="Q13" s="11">
        <f>SUM(Q4:Q12)</f>
        <v>9915933</v>
      </c>
      <c r="R13" s="11" t="e">
        <f>SUM(R4:R12)</f>
        <v>#REF!</v>
      </c>
      <c r="S13" s="11" t="e">
        <f>SUM(S4:S12)</f>
        <v>#REF!</v>
      </c>
      <c r="T13" s="74"/>
      <c r="U13" s="74"/>
      <c r="V13" s="74">
        <f>SUM(V4:V12)</f>
        <v>5542624</v>
      </c>
      <c r="W13" s="74" t="e">
        <f>SUM(W4:W12)</f>
        <v>#REF!</v>
      </c>
      <c r="X13" s="74"/>
      <c r="Y13" s="74"/>
      <c r="Z13" s="74"/>
      <c r="AA13" s="74">
        <f>SUM(AA4:AA12)</f>
        <v>2082804</v>
      </c>
      <c r="AB13" s="74" t="e">
        <f>SUM(AB4:AB12)</f>
        <v>#REF!</v>
      </c>
      <c r="AC13" s="74"/>
      <c r="AD13" s="74"/>
      <c r="AE13" s="74"/>
      <c r="AF13" s="74"/>
      <c r="AG13" s="74">
        <f>SUM(AG4:AG12)</f>
        <v>2947387</v>
      </c>
      <c r="AH13" s="74" t="e">
        <f>SUM(AH4:AH12)</f>
        <v>#REF!</v>
      </c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V13" s="74"/>
      <c r="AW13" s="74"/>
      <c r="AX13" s="74"/>
      <c r="AY13" s="74"/>
      <c r="BB13" s="74"/>
      <c r="BC13" s="74"/>
      <c r="BD13" s="74"/>
      <c r="BG13" s="74"/>
      <c r="BH13" s="74"/>
      <c r="BI13" s="74"/>
      <c r="BJ13" s="74"/>
      <c r="BL13" s="74"/>
      <c r="BM13" s="74"/>
      <c r="BN13" s="74"/>
      <c r="BO13" s="74"/>
      <c r="BP13" s="74"/>
      <c r="BU13" s="80"/>
      <c r="BV13" s="79"/>
      <c r="BW13" s="3"/>
      <c r="BX13" s="3"/>
      <c r="BY13" s="3"/>
      <c r="BZ13" s="3"/>
      <c r="CA13" s="3"/>
    </row>
    <row r="14" spans="1:79">
      <c r="A14" t="s">
        <v>62</v>
      </c>
      <c r="B14" s="20" t="e">
        <f>F14+S14+W14+AA14+AE14+AI14+AL14</f>
        <v>#REF!</v>
      </c>
      <c r="F14" s="11" t="e">
        <f>'WA Summary '!#REF!</f>
        <v>#REF!</v>
      </c>
      <c r="G14" s="11">
        <v>0</v>
      </c>
      <c r="H14" s="11"/>
      <c r="I14" s="10"/>
      <c r="J14" s="10"/>
      <c r="K14" s="10"/>
      <c r="L14" s="11" t="e">
        <f>'WA Summary '!#REF!</f>
        <v>#REF!</v>
      </c>
      <c r="M14" s="11" t="e">
        <f>'WA Summary '!#REF!</f>
        <v>#REF!</v>
      </c>
      <c r="N14" s="11" t="e">
        <f t="shared" si="1"/>
        <v>#REF!</v>
      </c>
      <c r="O14" s="10"/>
      <c r="P14" s="39"/>
      <c r="Q14" s="11" t="e">
        <f>'WA Summary '!#REF!</f>
        <v>#REF!</v>
      </c>
      <c r="R14" s="11"/>
      <c r="S14" s="10" t="e">
        <f t="shared" si="11"/>
        <v>#REF!</v>
      </c>
      <c r="T14" s="74"/>
      <c r="U14" s="74"/>
      <c r="V14" s="11" t="e">
        <f>'WA Summary '!#REF!</f>
        <v>#REF!</v>
      </c>
      <c r="W14" s="11">
        <v>0</v>
      </c>
      <c r="X14" s="74"/>
      <c r="Y14" s="74"/>
      <c r="Z14" s="74"/>
      <c r="AA14" s="11" t="e">
        <f>'WA Summary '!#REF!</f>
        <v>#REF!</v>
      </c>
      <c r="AB14" s="11"/>
      <c r="AC14" s="74"/>
      <c r="AD14" s="74"/>
      <c r="AE14" s="74"/>
      <c r="AF14" s="74"/>
      <c r="AG14" s="11" t="e">
        <f>'WA Summary '!#REF!</f>
        <v>#REF!</v>
      </c>
      <c r="AH14" s="11"/>
      <c r="AI14" s="74"/>
      <c r="AJ14" s="74"/>
      <c r="AK14" s="74"/>
      <c r="AL14" s="11" t="e">
        <f>'WA Summary '!#REF!</f>
        <v>#REF!</v>
      </c>
      <c r="AM14" s="11"/>
      <c r="AN14" s="74"/>
      <c r="AO14" s="74"/>
      <c r="AP14" s="74"/>
      <c r="AQ14" s="11" t="e">
        <f>'WA Summary '!#REF!</f>
        <v>#REF!</v>
      </c>
      <c r="AR14" s="11" t="e">
        <f>'WA Summary '!#REF!</f>
        <v>#REF!</v>
      </c>
      <c r="AS14" s="74"/>
      <c r="AT14" s="74"/>
      <c r="AV14" s="74"/>
      <c r="AW14" s="11" t="e">
        <f>'WA Summary '!#REF!</f>
        <v>#REF!</v>
      </c>
      <c r="AX14" s="11" t="e">
        <f>'WA Summary '!#REF!</f>
        <v>#REF!</v>
      </c>
      <c r="AY14" s="74"/>
      <c r="BB14" s="11" t="e">
        <f>'WA Summary '!#REF!</f>
        <v>#REF!</v>
      </c>
      <c r="BC14" s="11" t="e">
        <f>'WA Summary '!#REF!</f>
        <v>#REF!</v>
      </c>
      <c r="BD14" s="74"/>
      <c r="BG14" s="74"/>
      <c r="BH14" s="11" t="e">
        <f>'WA Summary '!#REF!</f>
        <v>#REF!</v>
      </c>
      <c r="BI14" s="11" t="e">
        <f>'WA Summary '!#REF!</f>
        <v>#REF!</v>
      </c>
      <c r="BJ14" s="74"/>
      <c r="BL14" s="74"/>
      <c r="BM14" s="74"/>
      <c r="BN14" s="11" t="e">
        <f>'WA Summary '!#REF!</f>
        <v>#REF!</v>
      </c>
      <c r="BO14" s="11"/>
      <c r="BP14" s="74"/>
      <c r="BU14" s="80"/>
      <c r="BV14" s="79"/>
      <c r="BW14" s="3"/>
      <c r="BX14" s="3"/>
      <c r="BY14" s="3"/>
      <c r="BZ14" s="3"/>
      <c r="CA14" s="3"/>
    </row>
    <row r="15" spans="1:79">
      <c r="F15" s="11"/>
      <c r="G15" s="11"/>
      <c r="H15" s="11"/>
      <c r="I15" s="10"/>
      <c r="J15" s="10"/>
      <c r="K15" s="10"/>
      <c r="L15" s="11"/>
      <c r="M15" s="11"/>
      <c r="N15" s="11"/>
      <c r="O15" s="10"/>
      <c r="P15" s="39"/>
      <c r="Q15" s="11"/>
      <c r="R15" s="11"/>
      <c r="S15" s="11"/>
      <c r="T15" s="74"/>
      <c r="U15" s="74"/>
      <c r="V15" s="11"/>
      <c r="W15" s="11"/>
      <c r="X15" s="74"/>
      <c r="Y15" s="74"/>
      <c r="Z15" s="74"/>
      <c r="AA15" s="11"/>
      <c r="AB15" s="11"/>
      <c r="AC15" s="74"/>
      <c r="AD15" s="74"/>
      <c r="AE15" s="74"/>
      <c r="AF15" s="74"/>
      <c r="AG15" s="11"/>
      <c r="AH15" s="11"/>
      <c r="AI15" s="74"/>
      <c r="AJ15" s="74"/>
      <c r="AK15" s="74"/>
      <c r="AL15" s="11"/>
      <c r="AM15" s="11"/>
      <c r="AN15" s="74"/>
      <c r="AO15" s="74"/>
      <c r="AP15" s="74"/>
      <c r="AQ15" s="11"/>
      <c r="AR15" s="11"/>
      <c r="AS15" s="74"/>
      <c r="AT15" s="74"/>
      <c r="AV15" s="74"/>
      <c r="AW15" s="11"/>
      <c r="AX15" s="11"/>
      <c r="AY15" s="74"/>
      <c r="BB15" s="11"/>
      <c r="BC15" s="11"/>
      <c r="BD15" s="74"/>
      <c r="BG15" s="74"/>
      <c r="BH15" s="11"/>
      <c r="BI15" s="11"/>
      <c r="BJ15" s="74"/>
      <c r="BL15" s="74"/>
      <c r="BM15" s="74"/>
      <c r="BN15" s="11"/>
      <c r="BO15" s="11"/>
      <c r="BP15" s="74"/>
      <c r="BU15" s="80"/>
      <c r="BV15" s="79"/>
      <c r="BW15" s="3"/>
      <c r="BX15" s="3"/>
      <c r="BY15" s="3"/>
      <c r="BZ15" s="3"/>
      <c r="CA15" s="3"/>
    </row>
    <row r="16" spans="1:79">
      <c r="A16" t="str">
        <f>'WA Summary '!B26</f>
        <v>Adjusted  Net Expense</v>
      </c>
      <c r="B16" s="20" t="e">
        <f>SUM(B4:B14)</f>
        <v>#REF!</v>
      </c>
      <c r="C16" s="20" t="e">
        <f>SUM(C4:C11)</f>
        <v>#REF!</v>
      </c>
      <c r="D16" s="10" t="e">
        <f>B16-C16</f>
        <v>#REF!</v>
      </c>
      <c r="E16" s="10"/>
      <c r="F16" s="10" t="e">
        <f>SUM(F4:F14)</f>
        <v>#REF!</v>
      </c>
      <c r="G16" s="10" t="e">
        <f>SUM(G4:G12)</f>
        <v>#REF!</v>
      </c>
      <c r="H16" s="74" t="e">
        <f>F16-G16</f>
        <v>#REF!</v>
      </c>
      <c r="I16" s="10"/>
      <c r="J16" s="10"/>
      <c r="K16" s="10"/>
      <c r="L16" s="10" t="e">
        <f>SUM(L4:L14)</f>
        <v>#REF!</v>
      </c>
      <c r="M16" s="10" t="e">
        <f>SUM(M4:M12)</f>
        <v>#REF!</v>
      </c>
      <c r="N16" s="74" t="e">
        <f>L16-M16</f>
        <v>#REF!</v>
      </c>
      <c r="O16" s="10"/>
      <c r="P16" s="39"/>
      <c r="Q16" s="10" t="e">
        <f>SUM(Q13:Q14)</f>
        <v>#REF!</v>
      </c>
      <c r="R16" s="10" t="e">
        <f>R13</f>
        <v>#REF!</v>
      </c>
      <c r="S16" s="74" t="e">
        <f>Q16-R16</f>
        <v>#REF!</v>
      </c>
      <c r="T16" s="74"/>
      <c r="U16" s="74"/>
      <c r="V16" s="10" t="e">
        <f>SUM(V13:V14)</f>
        <v>#REF!</v>
      </c>
      <c r="W16" s="10" t="e">
        <f>W13+W14</f>
        <v>#REF!</v>
      </c>
      <c r="X16" s="74" t="e">
        <f>V16-W16</f>
        <v>#REF!</v>
      </c>
      <c r="Y16" s="74"/>
      <c r="Z16" s="74"/>
      <c r="AA16" s="10" t="e">
        <f>SUM(AA13:AA14)</f>
        <v>#REF!</v>
      </c>
      <c r="AB16" s="10" t="e">
        <f>SUM(AB4:AB12)</f>
        <v>#REF!</v>
      </c>
      <c r="AC16" s="74" t="e">
        <f>AA16-AB16</f>
        <v>#REF!</v>
      </c>
      <c r="AD16" s="74"/>
      <c r="AE16" s="74"/>
      <c r="AF16" s="74"/>
      <c r="AG16" s="10" t="e">
        <f>SUM(AG13:AG14)</f>
        <v>#REF!</v>
      </c>
      <c r="AH16" s="10" t="e">
        <f>SUM(AH13:AH14)</f>
        <v>#REF!</v>
      </c>
      <c r="AI16" s="74" t="e">
        <f>AG16-AH16</f>
        <v>#REF!</v>
      </c>
      <c r="AJ16" s="74"/>
      <c r="AK16" s="74"/>
      <c r="AL16" s="10" t="e">
        <f>SUM(AL4:AL14)</f>
        <v>#REF!</v>
      </c>
      <c r="AM16" s="10" t="e">
        <f>SUM(AM4:AM12)</f>
        <v>#REF!</v>
      </c>
      <c r="AN16" s="74" t="e">
        <f>AL16-AM16</f>
        <v>#REF!</v>
      </c>
      <c r="AO16" s="74"/>
      <c r="AP16" s="74"/>
      <c r="AQ16" s="10" t="e">
        <f>SUM(AQ4:AQ14)</f>
        <v>#REF!</v>
      </c>
      <c r="AR16" s="10" t="e">
        <f>SUM(AR4:AR12)</f>
        <v>#REF!</v>
      </c>
      <c r="AS16" s="74" t="e">
        <f>AQ16-AR16</f>
        <v>#REF!</v>
      </c>
      <c r="AT16" s="74"/>
      <c r="AV16" s="74"/>
      <c r="AW16" s="10" t="e">
        <f>SUM(AW4:AW14)</f>
        <v>#REF!</v>
      </c>
      <c r="AX16" s="10" t="e">
        <f>SUM(AX4:AX12)</f>
        <v>#REF!</v>
      </c>
      <c r="AY16" s="74" t="e">
        <f>AW16-AX16</f>
        <v>#REF!</v>
      </c>
      <c r="BB16" s="10" t="e">
        <f>SUM(BB4:BB14)</f>
        <v>#REF!</v>
      </c>
      <c r="BC16" s="10" t="e">
        <f>SUM(BC4:BC12)</f>
        <v>#REF!</v>
      </c>
      <c r="BD16" s="74" t="e">
        <f>BB16-BC16</f>
        <v>#REF!</v>
      </c>
      <c r="BG16" s="74"/>
      <c r="BH16" s="10" t="e">
        <f>SUM(BH4:BH14)</f>
        <v>#REF!</v>
      </c>
      <c r="BI16" s="10" t="e">
        <f>SUM(BI4:BI12)</f>
        <v>#REF!</v>
      </c>
      <c r="BJ16" s="74" t="e">
        <f>BH16-BI16</f>
        <v>#REF!</v>
      </c>
      <c r="BL16" s="74"/>
      <c r="BM16" s="74"/>
      <c r="BN16" s="10" t="e">
        <f>SUM(BN4:BN14)</f>
        <v>#REF!</v>
      </c>
      <c r="BO16" s="10" t="e">
        <f>SUM(BO4:BO12)</f>
        <v>#REF!</v>
      </c>
      <c r="BP16" s="74" t="e">
        <f>BN16-BO16</f>
        <v>#REF!</v>
      </c>
      <c r="BU16" s="80"/>
      <c r="BV16" s="79"/>
      <c r="BW16" s="3"/>
      <c r="BX16" s="3"/>
      <c r="BY16" s="3"/>
      <c r="BZ16" s="3"/>
      <c r="CA16" s="3"/>
    </row>
    <row r="17" spans="1:79"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39"/>
      <c r="Q17" s="10"/>
      <c r="R17" s="10"/>
      <c r="S17" s="10"/>
      <c r="T17" s="74"/>
      <c r="U17" s="74"/>
      <c r="V17" s="74"/>
      <c r="W17" s="74"/>
      <c r="X17" s="10"/>
      <c r="Y17" s="74"/>
      <c r="Z17" s="74"/>
      <c r="AA17" s="74"/>
      <c r="AB17" s="74"/>
      <c r="AC17" s="10"/>
      <c r="AD17" s="74"/>
      <c r="AE17" s="74"/>
      <c r="AF17" s="74"/>
      <c r="AG17" s="74"/>
      <c r="AH17" s="74"/>
      <c r="AI17" s="10"/>
      <c r="AJ17" s="74"/>
      <c r="AK17" s="74"/>
      <c r="AL17" s="74"/>
      <c r="AM17" s="74"/>
      <c r="AN17" s="10"/>
      <c r="AO17" s="10"/>
      <c r="AP17" s="74"/>
      <c r="AQ17" s="74"/>
      <c r="AR17" s="74"/>
      <c r="AS17" s="10"/>
      <c r="AT17" s="10"/>
      <c r="AV17" s="74"/>
      <c r="AW17" s="74"/>
      <c r="AX17" s="74"/>
      <c r="AY17" s="10"/>
      <c r="BB17" s="74"/>
      <c r="BC17" s="74"/>
      <c r="BD17" s="10"/>
      <c r="BG17" s="74"/>
      <c r="BH17" s="74"/>
      <c r="BI17" s="74"/>
      <c r="BJ17" s="10"/>
      <c r="BL17" s="74"/>
      <c r="BM17" s="74"/>
      <c r="BN17" s="74"/>
      <c r="BO17" s="74"/>
      <c r="BP17" s="10"/>
      <c r="BU17" s="80"/>
      <c r="BV17" s="79"/>
      <c r="BW17" s="3"/>
      <c r="BX17" s="3"/>
      <c r="BY17" s="3"/>
      <c r="BZ17" s="3"/>
      <c r="CA17" s="3"/>
    </row>
    <row r="18" spans="1:79">
      <c r="A18" s="3" t="s">
        <v>138</v>
      </c>
      <c r="B18" s="20" t="e">
        <f>F18+S18+W18+AA18+AE18+AI18+AL18+AV18+AZ18+BG18+BK19</f>
        <v>#REF!</v>
      </c>
      <c r="C18" s="3"/>
      <c r="D18" s="10" t="e">
        <f>B18-C18</f>
        <v>#REF!</v>
      </c>
      <c r="E18" s="10"/>
      <c r="F18" s="25" t="e">
        <f>F16*0.6583</f>
        <v>#REF!</v>
      </c>
      <c r="G18" s="25" t="e">
        <f>G16*0.6583</f>
        <v>#REF!</v>
      </c>
      <c r="H18" s="11" t="e">
        <f>F18-G18</f>
        <v>#REF!</v>
      </c>
      <c r="I18" s="10"/>
      <c r="J18" s="10"/>
      <c r="K18" s="10"/>
      <c r="L18" s="25" t="e">
        <f>L16*0.6583</f>
        <v>#REF!</v>
      </c>
      <c r="M18" s="25" t="e">
        <f>M16*0.6583</f>
        <v>#REF!</v>
      </c>
      <c r="N18" s="90" t="e">
        <f>L18-M18</f>
        <v>#REF!</v>
      </c>
      <c r="O18" s="10"/>
      <c r="P18" s="39"/>
      <c r="Q18" s="25" t="e">
        <f>Q16*0.6583</f>
        <v>#REF!</v>
      </c>
      <c r="R18" s="25" t="e">
        <f>R16*0.6583</f>
        <v>#REF!</v>
      </c>
      <c r="S18" s="102" t="e">
        <f>Q18-R18</f>
        <v>#REF!</v>
      </c>
      <c r="T18" s="94"/>
      <c r="U18" s="74"/>
      <c r="V18" s="25" t="e">
        <f>V16*0.6583</f>
        <v>#REF!</v>
      </c>
      <c r="W18" s="25" t="e">
        <f>W16*0.6583</f>
        <v>#REF!</v>
      </c>
      <c r="X18" s="102" t="e">
        <f>V18-W18</f>
        <v>#REF!</v>
      </c>
      <c r="Y18" s="74"/>
      <c r="Z18" s="74"/>
      <c r="AA18" s="25" t="e">
        <f>AA16*0.6583</f>
        <v>#REF!</v>
      </c>
      <c r="AB18" s="25" t="e">
        <f>AB16*0.6583</f>
        <v>#REF!</v>
      </c>
      <c r="AC18" s="102" t="e">
        <f>AA18-AB18</f>
        <v>#REF!</v>
      </c>
      <c r="AD18" s="74"/>
      <c r="AE18" s="94"/>
      <c r="AF18" s="94"/>
      <c r="AG18" s="25" t="e">
        <f>AG16*0.6583</f>
        <v>#REF!</v>
      </c>
      <c r="AH18" s="25" t="e">
        <f>AH16*0.6583</f>
        <v>#REF!</v>
      </c>
      <c r="AI18" s="102" t="e">
        <f>AG18-AH18</f>
        <v>#REF!</v>
      </c>
      <c r="AJ18" s="74"/>
      <c r="AK18" s="94"/>
      <c r="AL18" s="25" t="e">
        <f>AL16*0.6583</f>
        <v>#REF!</v>
      </c>
      <c r="AM18" s="25" t="e">
        <f>AM16*0.6583</f>
        <v>#REF!</v>
      </c>
      <c r="AN18" s="102" t="e">
        <f>AL18-AM18</f>
        <v>#REF!</v>
      </c>
      <c r="AO18" s="74"/>
      <c r="AP18" s="94"/>
      <c r="AQ18" s="25" t="e">
        <f>AQ16*0.6583</f>
        <v>#REF!</v>
      </c>
      <c r="AR18" s="25" t="e">
        <f>AR16*0.6583</f>
        <v>#REF!</v>
      </c>
      <c r="AS18" s="102" t="e">
        <f>AQ18-AR18</f>
        <v>#REF!</v>
      </c>
      <c r="AT18" s="74"/>
      <c r="AV18" s="94"/>
      <c r="AW18" s="25" t="e">
        <f>AW16*0.6583</f>
        <v>#REF!</v>
      </c>
      <c r="AX18" s="25" t="e">
        <f>AX16*0.6583</f>
        <v>#REF!</v>
      </c>
      <c r="AY18" s="102" t="e">
        <f>AW18-AX18</f>
        <v>#REF!</v>
      </c>
      <c r="BB18" s="25" t="e">
        <f>BB16*0.6583</f>
        <v>#REF!</v>
      </c>
      <c r="BC18" s="25" t="e">
        <f>BC16*0.6583</f>
        <v>#REF!</v>
      </c>
      <c r="BD18" s="102" t="e">
        <f>BB18-BC18</f>
        <v>#REF!</v>
      </c>
      <c r="BG18" s="94"/>
      <c r="BH18" s="25" t="e">
        <f>BH16*0.6583</f>
        <v>#REF!</v>
      </c>
      <c r="BI18" s="10" t="e">
        <f>BI16*0.6583</f>
        <v>#REF!</v>
      </c>
      <c r="BJ18" s="102" t="e">
        <f>BH18-BI18</f>
        <v>#REF!</v>
      </c>
      <c r="BL18" s="74"/>
      <c r="BM18" s="74"/>
      <c r="BN18" s="25" t="e">
        <f>BN16*0.6583</f>
        <v>#REF!</v>
      </c>
      <c r="BO18" s="10" t="e">
        <f>BO16*0.6583</f>
        <v>#REF!</v>
      </c>
      <c r="BP18" s="102" t="e">
        <f>BN18-BO18</f>
        <v>#REF!</v>
      </c>
      <c r="BU18" s="80"/>
      <c r="BV18" s="79"/>
      <c r="BW18" s="3"/>
      <c r="BX18" s="3"/>
      <c r="BY18" s="3"/>
      <c r="BZ18" s="3"/>
      <c r="CA18" s="3"/>
    </row>
    <row r="19" spans="1:79">
      <c r="A19" t="s">
        <v>40</v>
      </c>
      <c r="B19" s="20">
        <f>F19+S19+W19+AA19+AE19+AI19+AL19+AV19+AZ19+BG19+BK20</f>
        <v>2654826</v>
      </c>
      <c r="D19" s="10">
        <f>B19-C19</f>
        <v>2654826</v>
      </c>
      <c r="E19" s="10"/>
      <c r="F19" s="10">
        <f>'WA Summary '!F30</f>
        <v>166826</v>
      </c>
      <c r="G19" s="10"/>
      <c r="H19" s="11">
        <f>F19-G19</f>
        <v>166826</v>
      </c>
      <c r="I19" s="10"/>
      <c r="J19" s="10"/>
      <c r="K19" s="10"/>
      <c r="L19" s="10">
        <f>'WA Summary '!G30</f>
        <v>276446</v>
      </c>
      <c r="M19" s="10"/>
      <c r="N19" s="11">
        <f>L19-M19</f>
        <v>276446</v>
      </c>
      <c r="O19" s="10"/>
      <c r="P19" s="39"/>
      <c r="Q19" s="10">
        <f>'WA Summary '!H30</f>
        <v>54137</v>
      </c>
      <c r="R19" s="10"/>
      <c r="S19" s="11">
        <f>Q19-R19</f>
        <v>54137</v>
      </c>
      <c r="T19" s="74"/>
      <c r="U19" s="74"/>
      <c r="V19" s="74">
        <v>206958</v>
      </c>
      <c r="W19" s="74"/>
      <c r="X19" s="11">
        <f>V19-W19</f>
        <v>206958</v>
      </c>
      <c r="Y19" s="74"/>
      <c r="Z19" s="74"/>
      <c r="AA19" s="74">
        <v>1303361</v>
      </c>
      <c r="AB19" s="74"/>
      <c r="AC19" s="11">
        <f>AA19-AB19</f>
        <v>1303361</v>
      </c>
      <c r="AD19" s="74"/>
      <c r="AE19" s="74"/>
      <c r="AF19" s="74"/>
      <c r="AG19" s="74">
        <f>'WA Summary '!K30</f>
        <v>82672</v>
      </c>
      <c r="AH19" s="74"/>
      <c r="AI19" s="11">
        <f>AG19-AH19</f>
        <v>82672</v>
      </c>
      <c r="AJ19" s="74"/>
      <c r="AK19" s="74"/>
      <c r="AL19" s="74">
        <v>1047830</v>
      </c>
      <c r="AM19" s="74"/>
      <c r="AN19" s="11">
        <f>AL19-AM19</f>
        <v>1047830</v>
      </c>
      <c r="AO19" s="11"/>
      <c r="AP19" s="74"/>
      <c r="AQ19" s="74">
        <f>'WA Summary '!M30</f>
        <v>-583396</v>
      </c>
      <c r="AR19" s="74"/>
      <c r="AS19" s="11">
        <f>AQ19-AR19</f>
        <v>-583396</v>
      </c>
      <c r="AT19" s="11"/>
      <c r="AV19" s="74"/>
      <c r="AW19" s="74">
        <f>'WA Summary '!N30</f>
        <v>668223</v>
      </c>
      <c r="AX19" s="74"/>
      <c r="AY19" s="11">
        <f>AW19-AX19</f>
        <v>668223</v>
      </c>
      <c r="BB19" s="74" t="str">
        <f>'WA Summary '!O30</f>
        <v xml:space="preserve"> </v>
      </c>
      <c r="BC19" s="74"/>
      <c r="BD19" s="11" t="e">
        <f>BB19-BC19</f>
        <v>#VALUE!</v>
      </c>
      <c r="BG19" s="74"/>
      <c r="BH19" s="74" t="str">
        <f>'WA Summary '!P30</f>
        <v xml:space="preserve"> </v>
      </c>
      <c r="BI19" s="74"/>
      <c r="BJ19" s="11" t="e">
        <f>BH19-BI19</f>
        <v>#VALUE!</v>
      </c>
      <c r="BL19" s="94"/>
      <c r="BM19" s="94"/>
      <c r="BN19" s="74" t="str">
        <f>'WA Summary '!Q30</f>
        <v xml:space="preserve"> </v>
      </c>
      <c r="BO19" s="74"/>
      <c r="BP19" s="11" t="e">
        <f>BN19-BO19</f>
        <v>#VALUE!</v>
      </c>
      <c r="BU19" s="80"/>
      <c r="BV19" s="79"/>
      <c r="BW19" s="3"/>
      <c r="BX19" s="3"/>
      <c r="BY19" s="3"/>
      <c r="BZ19" s="3"/>
      <c r="CA19" s="3"/>
    </row>
    <row r="20" spans="1:79">
      <c r="A20" s="36" t="str">
        <f>'WA Summary '!B31</f>
        <v>Net Power Cost (+) Surcharge (-) Rebate</v>
      </c>
      <c r="B20" s="20" t="e">
        <f>F20+S20+W20+AA20+AE20+AI20+AL20+AV20+AZ20+BG20+BI21</f>
        <v>#REF!</v>
      </c>
      <c r="C20" s="33"/>
      <c r="D20" s="10" t="e">
        <f>B20-C20</f>
        <v>#REF!</v>
      </c>
      <c r="E20" s="10"/>
      <c r="F20" s="10"/>
      <c r="G20" s="10"/>
      <c r="H20" s="118" t="e">
        <f>H18+H19</f>
        <v>#REF!</v>
      </c>
      <c r="I20" s="10"/>
      <c r="J20" s="10"/>
      <c r="K20" s="10"/>
      <c r="L20" s="10"/>
      <c r="M20" s="10"/>
      <c r="N20" s="121" t="e">
        <f>N18+N19</f>
        <v>#REF!</v>
      </c>
      <c r="O20" s="10"/>
      <c r="P20" s="39"/>
      <c r="Q20" s="10"/>
      <c r="R20" s="10"/>
      <c r="S20" s="85" t="e">
        <f>S18+S19</f>
        <v>#REF!</v>
      </c>
      <c r="T20" s="74"/>
      <c r="U20" s="74"/>
      <c r="V20" s="10"/>
      <c r="W20" s="74"/>
      <c r="X20" s="85" t="e">
        <f>X18+X19</f>
        <v>#REF!</v>
      </c>
      <c r="Y20" s="74"/>
      <c r="Z20" s="74"/>
      <c r="AA20" s="10">
        <f>'WA Summary '!J31</f>
        <v>-2371485</v>
      </c>
      <c r="AB20" s="74"/>
      <c r="AC20" s="85" t="e">
        <f>AC18+AC19</f>
        <v>#REF!</v>
      </c>
      <c r="AD20" s="74"/>
      <c r="AE20" s="74"/>
      <c r="AF20" s="74"/>
      <c r="AG20" s="10"/>
      <c r="AH20" s="74"/>
      <c r="AI20" s="85" t="e">
        <f>AI18+AI19</f>
        <v>#REF!</v>
      </c>
      <c r="AJ20" s="74"/>
      <c r="AK20" s="74"/>
      <c r="AL20" s="10"/>
      <c r="AM20" s="74"/>
      <c r="AN20" s="85" t="e">
        <f>AN18+AN19</f>
        <v>#REF!</v>
      </c>
      <c r="AO20" s="11"/>
      <c r="AP20" s="74"/>
      <c r="AQ20" s="10"/>
      <c r="AR20" s="74"/>
      <c r="AS20" s="85" t="e">
        <f>AS18+AS19</f>
        <v>#REF!</v>
      </c>
      <c r="AT20" s="11"/>
      <c r="AV20" s="74"/>
      <c r="AW20" s="10"/>
      <c r="AX20" s="74"/>
      <c r="AY20" s="85" t="e">
        <f>AY18+AY19</f>
        <v>#REF!</v>
      </c>
      <c r="BB20" s="10"/>
      <c r="BC20" s="74"/>
      <c r="BD20" s="11" t="e">
        <f>BD18+BD19</f>
        <v>#REF!</v>
      </c>
      <c r="BG20" s="74"/>
      <c r="BH20" s="10"/>
      <c r="BI20" s="74"/>
      <c r="BJ20" s="17" t="e">
        <f>BJ18+BJ19</f>
        <v>#REF!</v>
      </c>
      <c r="BL20" s="74"/>
      <c r="BM20" s="74"/>
      <c r="BN20" s="10"/>
      <c r="BO20" s="74"/>
      <c r="BP20" s="17" t="e">
        <f>BP18+BP19</f>
        <v>#REF!</v>
      </c>
      <c r="BU20" s="19"/>
      <c r="BV20" s="3"/>
      <c r="BW20" s="3"/>
      <c r="BX20" s="3"/>
      <c r="BY20" s="3"/>
      <c r="BZ20" s="3"/>
      <c r="CA20" s="3"/>
    </row>
    <row r="21" spans="1:79" ht="13.5" customHeight="1"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39"/>
      <c r="Q21" s="10"/>
      <c r="R21" s="74"/>
      <c r="S21" s="74"/>
      <c r="T21" s="74" t="s">
        <v>152</v>
      </c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G21" s="74"/>
      <c r="AH21" s="74"/>
      <c r="AI21" s="74"/>
      <c r="AJ21" s="74"/>
      <c r="AK21" s="74"/>
      <c r="AL21" s="74"/>
      <c r="AM21" s="74"/>
      <c r="AN21" s="74"/>
      <c r="AO21" s="74"/>
      <c r="AQ21" s="74"/>
      <c r="AR21" s="74"/>
      <c r="AS21" s="74"/>
      <c r="AT21" s="74"/>
      <c r="AU21" s="74"/>
      <c r="AV21" s="74"/>
      <c r="AW21" s="105"/>
      <c r="AX21" s="74"/>
      <c r="AY21" s="74"/>
      <c r="AZ21" s="74"/>
      <c r="BA21" s="74"/>
      <c r="BB21" s="105"/>
      <c r="BC21" s="74"/>
      <c r="BD21" s="74"/>
      <c r="BE21" s="74"/>
      <c r="BF21" s="74"/>
      <c r="BG21" s="74"/>
      <c r="BH21" s="105"/>
      <c r="BI21" s="74"/>
      <c r="BJ21" s="106" t="e">
        <f>BJ20*0.9+1</f>
        <v>#REF!</v>
      </c>
      <c r="BK21" s="74"/>
      <c r="BN21" s="105"/>
      <c r="BO21" s="74"/>
      <c r="BP21" s="106" t="e">
        <f>BP20*0.9</f>
        <v>#REF!</v>
      </c>
      <c r="BQ21" s="74"/>
      <c r="BU21" s="3"/>
      <c r="BV21" s="3"/>
      <c r="BW21" s="3"/>
      <c r="BX21" s="3"/>
      <c r="BY21" s="3"/>
    </row>
    <row r="22" spans="1:79"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39"/>
      <c r="Q22" s="10"/>
      <c r="R22" s="74"/>
      <c r="S22" s="74"/>
      <c r="T22" s="74" t="s">
        <v>151</v>
      </c>
      <c r="U22" s="74"/>
      <c r="V22" s="74"/>
      <c r="W22" s="74"/>
      <c r="X22" s="74"/>
      <c r="Y22" s="131" t="s">
        <v>151</v>
      </c>
      <c r="Z22" s="74"/>
      <c r="AA22" s="74"/>
      <c r="AB22" s="74"/>
      <c r="AC22" s="74"/>
      <c r="AD22" s="74" t="s">
        <v>151</v>
      </c>
      <c r="AE22" s="74"/>
      <c r="AG22" s="74"/>
      <c r="AH22" s="74"/>
      <c r="AI22" s="74"/>
      <c r="AJ22" s="74" t="s">
        <v>151</v>
      </c>
      <c r="AK22" s="74"/>
      <c r="AL22" s="74"/>
      <c r="AM22" s="74"/>
      <c r="AN22" s="74"/>
      <c r="AO22" s="74" t="s">
        <v>151</v>
      </c>
      <c r="AP22" s="74"/>
      <c r="AQ22" s="74"/>
      <c r="AR22" s="74"/>
      <c r="AS22" s="74"/>
      <c r="AT22" s="102" t="s">
        <v>151</v>
      </c>
      <c r="AU22" s="102"/>
      <c r="AV22" s="74"/>
      <c r="AW22" s="74"/>
      <c r="AX22" s="74"/>
      <c r="AY22" s="74"/>
      <c r="AZ22" s="102" t="s">
        <v>151</v>
      </c>
      <c r="BA22" s="102"/>
      <c r="BB22" s="74"/>
      <c r="BC22" s="74"/>
      <c r="BD22" s="74"/>
      <c r="BE22" s="102" t="s">
        <v>151</v>
      </c>
      <c r="BF22" s="102"/>
      <c r="BG22" s="74"/>
      <c r="BH22" s="74"/>
      <c r="BI22" s="74"/>
      <c r="BJ22" s="74"/>
      <c r="BK22" s="102" t="s">
        <v>151</v>
      </c>
      <c r="BL22" s="102"/>
      <c r="BM22" s="74"/>
      <c r="BN22" s="74"/>
      <c r="BO22" s="74"/>
      <c r="BP22" s="74"/>
      <c r="BQ22" s="102" t="s">
        <v>151</v>
      </c>
      <c r="BR22" s="102"/>
      <c r="BU22" s="3"/>
      <c r="BV22" s="3"/>
      <c r="BW22" s="3"/>
      <c r="BX22" s="3"/>
      <c r="BY22" s="3"/>
    </row>
    <row r="23" spans="1:79">
      <c r="A23" s="88" t="s">
        <v>41</v>
      </c>
      <c r="B23" s="32"/>
      <c r="C23" s="32"/>
      <c r="D23" s="32"/>
      <c r="E23" s="32"/>
      <c r="F23" s="10"/>
      <c r="G23" s="10"/>
      <c r="H23" s="10"/>
      <c r="I23" s="119" t="s">
        <v>121</v>
      </c>
      <c r="J23" s="119" t="s">
        <v>122</v>
      </c>
      <c r="K23" s="10"/>
      <c r="L23" s="22"/>
      <c r="M23" s="22"/>
      <c r="N23" s="22"/>
      <c r="O23" s="119" t="s">
        <v>121</v>
      </c>
      <c r="P23" s="119" t="s">
        <v>122</v>
      </c>
      <c r="Q23" s="39"/>
      <c r="R23" s="74"/>
      <c r="S23" s="74"/>
      <c r="T23" s="122" t="s">
        <v>121</v>
      </c>
      <c r="U23" s="122" t="s">
        <v>122</v>
      </c>
      <c r="V23" s="74"/>
      <c r="W23" s="74"/>
      <c r="X23" s="74"/>
      <c r="Y23" s="130" t="s">
        <v>121</v>
      </c>
      <c r="Z23" s="130" t="s">
        <v>122</v>
      </c>
      <c r="AA23" s="96"/>
      <c r="AB23" s="74"/>
      <c r="AC23" s="74"/>
      <c r="AD23" s="130" t="s">
        <v>121</v>
      </c>
      <c r="AE23" s="130" t="s">
        <v>122</v>
      </c>
      <c r="AG23" s="96"/>
      <c r="AH23" s="74"/>
      <c r="AI23" s="74"/>
      <c r="AJ23" s="130" t="s">
        <v>121</v>
      </c>
      <c r="AK23" s="130" t="s">
        <v>122</v>
      </c>
      <c r="AL23" s="96"/>
      <c r="AM23" s="74"/>
      <c r="AN23" s="74"/>
      <c r="AO23" s="130" t="s">
        <v>121</v>
      </c>
      <c r="AP23" s="130" t="s">
        <v>122</v>
      </c>
      <c r="AQ23" s="96"/>
      <c r="AR23" s="74"/>
      <c r="AS23" s="74"/>
      <c r="AT23" s="122" t="s">
        <v>121</v>
      </c>
      <c r="AU23" s="122" t="s">
        <v>122</v>
      </c>
      <c r="AV23" s="74"/>
      <c r="AW23" s="96"/>
      <c r="AX23" s="74"/>
      <c r="AY23" s="74"/>
      <c r="AZ23" s="122" t="s">
        <v>121</v>
      </c>
      <c r="BA23" s="122" t="s">
        <v>122</v>
      </c>
      <c r="BB23" s="96"/>
      <c r="BC23" s="74"/>
      <c r="BD23" s="74"/>
      <c r="BE23" s="122" t="s">
        <v>121</v>
      </c>
      <c r="BF23" s="122" t="s">
        <v>122</v>
      </c>
      <c r="BG23" s="74"/>
      <c r="BH23" s="96"/>
      <c r="BI23" s="74"/>
      <c r="BJ23" s="74"/>
      <c r="BK23" s="122" t="s">
        <v>121</v>
      </c>
      <c r="BL23" s="122" t="s">
        <v>122</v>
      </c>
      <c r="BM23" s="137"/>
      <c r="BN23" s="96"/>
      <c r="BO23" s="74"/>
      <c r="BP23" s="74"/>
      <c r="BQ23" s="122" t="s">
        <v>121</v>
      </c>
      <c r="BR23" s="122" t="s">
        <v>122</v>
      </c>
    </row>
    <row r="24" spans="1:79">
      <c r="A24" s="26" t="s">
        <v>154</v>
      </c>
      <c r="B24" s="22"/>
      <c r="C24" s="22"/>
      <c r="D24" s="15"/>
      <c r="E24" s="15"/>
      <c r="F24" s="22">
        <f>969458-39699</f>
        <v>929759</v>
      </c>
      <c r="G24" s="22">
        <v>927800</v>
      </c>
      <c r="H24" s="15">
        <f>G24-F24</f>
        <v>-1959</v>
      </c>
      <c r="I24" s="12">
        <f>H24*0.6583</f>
        <v>-1290</v>
      </c>
      <c r="J24" s="10">
        <f>-I24*$F$47</f>
        <v>92777</v>
      </c>
      <c r="L24" s="22">
        <f>834330-35305</f>
        <v>799025</v>
      </c>
      <c r="M24" s="22">
        <v>819900</v>
      </c>
      <c r="N24" s="15">
        <f>M24-L24</f>
        <v>20875</v>
      </c>
      <c r="O24" s="12">
        <f>N24*0.6583</f>
        <v>13742</v>
      </c>
      <c r="P24" s="72">
        <f>-O24*$L$47</f>
        <v>-925111</v>
      </c>
      <c r="Q24" s="63">
        <f>835957-37463</f>
        <v>798494</v>
      </c>
      <c r="R24" s="87">
        <v>835700</v>
      </c>
      <c r="S24" s="15">
        <f>R24-Q24</f>
        <v>37206</v>
      </c>
      <c r="T24" s="12">
        <f>S24*0.6583</f>
        <v>24493</v>
      </c>
      <c r="U24" s="76">
        <f>-T24*$Q$47</f>
        <v>-1753699</v>
      </c>
      <c r="V24" s="87">
        <f>762494-31672</f>
        <v>730822</v>
      </c>
      <c r="W24" s="97">
        <v>704400</v>
      </c>
      <c r="X24" s="15">
        <f>W24-V24</f>
        <v>-26422</v>
      </c>
      <c r="Y24" s="86">
        <f>-X24*0.6583</f>
        <v>17394</v>
      </c>
      <c r="Z24" s="131">
        <f>Y24*V47</f>
        <v>1537804</v>
      </c>
      <c r="AA24" s="97">
        <f>727927-34306</f>
        <v>693621</v>
      </c>
      <c r="AB24" s="87">
        <v>698800</v>
      </c>
      <c r="AC24" s="15">
        <f>AB24-AA24</f>
        <v>5179</v>
      </c>
      <c r="AD24" s="87">
        <f>-AC24*0.6583</f>
        <v>-3409</v>
      </c>
      <c r="AE24" s="97">
        <f>AD24*$AA$47</f>
        <v>-181700</v>
      </c>
      <c r="AG24" s="97">
        <f>711210-33091</f>
        <v>678119</v>
      </c>
      <c r="AH24" s="87">
        <v>688800</v>
      </c>
      <c r="AI24" s="15">
        <f>AH24-AG24</f>
        <v>10681</v>
      </c>
      <c r="AJ24" s="87">
        <f>-AI24*0.6583</f>
        <v>-7031</v>
      </c>
      <c r="AK24" s="133">
        <f>AJ24*$AG$47</f>
        <v>-116293</v>
      </c>
      <c r="AL24" s="97">
        <f>798625-34505</f>
        <v>764120</v>
      </c>
      <c r="AM24" s="87">
        <v>762800</v>
      </c>
      <c r="AN24" s="15">
        <f>AM24-AL24</f>
        <v>-1320</v>
      </c>
      <c r="AO24" s="87">
        <f>-AN24*0.6583</f>
        <v>869</v>
      </c>
      <c r="AP24" s="133">
        <f>AO24*AL48</f>
        <v>50237</v>
      </c>
      <c r="AQ24" s="97">
        <f>782126-36761</f>
        <v>745365</v>
      </c>
      <c r="AR24" s="87">
        <v>791000</v>
      </c>
      <c r="AS24" s="15">
        <f>AR24-AQ24</f>
        <v>45635</v>
      </c>
      <c r="AT24" s="15">
        <f>-AS24*0.6583</f>
        <v>-30042</v>
      </c>
      <c r="AU24" s="87">
        <f>AT24*$AQ$47</f>
        <v>-1914877</v>
      </c>
      <c r="AV24" s="97"/>
      <c r="AW24" s="97">
        <f>700540-27148</f>
        <v>673392</v>
      </c>
      <c r="AX24" s="87">
        <v>695500</v>
      </c>
      <c r="AY24" s="15">
        <f>AX24-AW24</f>
        <v>22108</v>
      </c>
      <c r="AZ24" s="15">
        <f>-AY24*0.6583</f>
        <v>-14554</v>
      </c>
      <c r="BA24" s="87">
        <f>AZ24*AW47</f>
        <v>-740944</v>
      </c>
      <c r="BB24" s="97">
        <f>758273-31748</f>
        <v>726525</v>
      </c>
      <c r="BC24" s="87">
        <v>769600</v>
      </c>
      <c r="BD24" s="113">
        <f>BC24-BB24</f>
        <v>43075</v>
      </c>
      <c r="BE24" s="87">
        <f>BD24*0.6583</f>
        <v>28356</v>
      </c>
      <c r="BF24" s="87">
        <f>-BE24*BB47</f>
        <v>-1331598</v>
      </c>
      <c r="BG24" s="91"/>
      <c r="BH24" s="97">
        <f>784278-38156</f>
        <v>746122</v>
      </c>
      <c r="BI24" s="87">
        <v>760300</v>
      </c>
      <c r="BJ24" s="15">
        <f>BI24-BH24</f>
        <v>14178</v>
      </c>
      <c r="BK24" s="87">
        <f>BJ24*0.6583</f>
        <v>9333</v>
      </c>
      <c r="BL24" s="81">
        <f>-BK24*BH48</f>
        <v>-433051</v>
      </c>
      <c r="BM24" s="81"/>
      <c r="BN24" s="97">
        <f>984142-38377</f>
        <v>945765</v>
      </c>
      <c r="BO24" s="87">
        <v>897100</v>
      </c>
      <c r="BP24" s="15">
        <f>BN24-BO24</f>
        <v>48665</v>
      </c>
      <c r="BQ24" s="87">
        <f>BP24*0.6583</f>
        <v>32036</v>
      </c>
      <c r="BR24" s="74">
        <f>BQ24*$BN$47</f>
        <v>1928247</v>
      </c>
    </row>
    <row r="25" spans="1:79">
      <c r="A25" s="26"/>
      <c r="B25" s="22"/>
      <c r="C25" s="22"/>
      <c r="D25" s="15"/>
      <c r="E25" s="15"/>
      <c r="F25" s="22">
        <f>F24*0.6583</f>
        <v>612060</v>
      </c>
      <c r="G25" s="22">
        <f>G24*0.6583</f>
        <v>610771</v>
      </c>
      <c r="H25" s="15">
        <f>G25-F25</f>
        <v>-1289</v>
      </c>
      <c r="I25" s="12"/>
      <c r="J25" s="10"/>
      <c r="L25" s="22">
        <f>L24*0.6583</f>
        <v>525998</v>
      </c>
      <c r="M25" s="22">
        <f>M24*0.6583</f>
        <v>539740</v>
      </c>
      <c r="N25" s="15">
        <f>M25-L25</f>
        <v>13742</v>
      </c>
      <c r="Q25" s="22"/>
      <c r="R25" s="22"/>
      <c r="S25" s="15"/>
      <c r="U25" s="87"/>
      <c r="V25" s="87"/>
      <c r="W25" s="22"/>
      <c r="Y25" s="87"/>
      <c r="Z25" s="87"/>
      <c r="AA25" s="97"/>
      <c r="AB25" s="22">
        <f>AB24*0.6583</f>
        <v>460020</v>
      </c>
      <c r="AD25" s="87"/>
      <c r="AE25" s="97"/>
      <c r="AG25" s="97"/>
      <c r="AH25" s="22"/>
      <c r="AJ25" s="87"/>
      <c r="AK25" s="97"/>
      <c r="AL25" s="22"/>
      <c r="AM25" s="22"/>
      <c r="AN25" s="15">
        <f>AM25-AL25</f>
        <v>0</v>
      </c>
      <c r="AP25" s="87"/>
      <c r="AQ25" s="97"/>
      <c r="AR25" s="22"/>
      <c r="AS25" s="15">
        <f>AR25-AQ25</f>
        <v>0</v>
      </c>
      <c r="AT25" s="15"/>
      <c r="AU25" s="87"/>
      <c r="AV25" s="97"/>
      <c r="AW25" s="97"/>
      <c r="AX25" s="22">
        <f>AX24*0.6583</f>
        <v>457848</v>
      </c>
      <c r="AY25" s="113">
        <f>AX25-AW25</f>
        <v>457848</v>
      </c>
      <c r="AZ25" s="87"/>
      <c r="BA25" s="87"/>
      <c r="BB25" s="97"/>
      <c r="BC25" s="22"/>
      <c r="BD25" s="113"/>
      <c r="BE25" s="87"/>
      <c r="BF25" s="87"/>
      <c r="BG25" s="91"/>
      <c r="BH25" s="97"/>
      <c r="BI25" s="22"/>
      <c r="BJ25" s="15"/>
      <c r="BK25" s="87"/>
      <c r="BN25" s="97"/>
      <c r="BO25" s="22"/>
      <c r="BP25" s="15"/>
      <c r="BQ25" s="87"/>
    </row>
    <row r="26" spans="1:79">
      <c r="A26" s="26" t="s">
        <v>140</v>
      </c>
      <c r="B26" s="22"/>
      <c r="C26" s="22"/>
      <c r="D26" s="15"/>
      <c r="E26" s="15"/>
      <c r="F26" s="22">
        <v>556497</v>
      </c>
      <c r="G26" s="22">
        <v>559753</v>
      </c>
      <c r="H26" s="15">
        <f>G26-F26</f>
        <v>3256</v>
      </c>
      <c r="I26" s="12" t="s">
        <v>148</v>
      </c>
      <c r="J26" s="10"/>
      <c r="L26" s="22">
        <v>507980</v>
      </c>
      <c r="M26" s="22">
        <v>502124</v>
      </c>
      <c r="N26" s="15">
        <f>M26-L26</f>
        <v>-5856</v>
      </c>
      <c r="Q26" s="63">
        <v>476148</v>
      </c>
      <c r="R26" s="87">
        <v>514703</v>
      </c>
      <c r="S26" s="15">
        <f>R26-Q26</f>
        <v>38555</v>
      </c>
      <c r="U26" s="87"/>
      <c r="V26" s="87">
        <v>432520</v>
      </c>
      <c r="W26" s="97">
        <v>437704</v>
      </c>
      <c r="X26" s="15">
        <f>W26-V26</f>
        <v>5184</v>
      </c>
      <c r="Y26" s="87"/>
      <c r="Z26" s="87"/>
      <c r="AA26" s="97">
        <v>398505</v>
      </c>
      <c r="AB26" s="87">
        <v>429845</v>
      </c>
      <c r="AC26" s="15">
        <f>AB26-AA26</f>
        <v>31340</v>
      </c>
      <c r="AD26" s="87"/>
      <c r="AE26" s="97"/>
      <c r="AG26" s="97">
        <v>390087</v>
      </c>
      <c r="AH26" s="87">
        <v>414160</v>
      </c>
      <c r="AI26" s="15">
        <f>AH26-AG26</f>
        <v>24073</v>
      </c>
      <c r="AJ26" s="87"/>
      <c r="AK26" s="97"/>
      <c r="AL26" s="97">
        <v>434299</v>
      </c>
      <c r="AM26" s="87">
        <v>459551</v>
      </c>
      <c r="AN26" s="15">
        <f>AM26-AL26</f>
        <v>25252</v>
      </c>
      <c r="AP26" s="87"/>
      <c r="AQ26" s="97"/>
      <c r="AR26" s="87"/>
      <c r="AU26" s="87"/>
      <c r="AV26" s="97"/>
      <c r="AW26" s="97"/>
      <c r="AX26" s="87"/>
      <c r="AZ26" s="87"/>
      <c r="BA26" s="87"/>
      <c r="BB26" s="97">
        <v>434143</v>
      </c>
      <c r="BC26" s="87">
        <v>474756</v>
      </c>
      <c r="BD26" s="113">
        <f>BC26-BB26</f>
        <v>40613</v>
      </c>
      <c r="BE26" s="87"/>
      <c r="BF26" s="87"/>
      <c r="BG26" s="91"/>
      <c r="BH26" s="97"/>
      <c r="BI26" s="87"/>
      <c r="BJ26" s="15"/>
      <c r="BK26" s="87"/>
      <c r="BN26" s="97"/>
      <c r="BO26" s="87"/>
      <c r="BP26" s="15"/>
      <c r="BQ26" s="87"/>
    </row>
    <row r="27" spans="1:79">
      <c r="A27" s="26"/>
      <c r="B27" s="22"/>
      <c r="C27" s="22"/>
      <c r="D27" s="15"/>
      <c r="E27" s="15"/>
      <c r="F27" s="22"/>
      <c r="G27" s="22">
        <v>15000</v>
      </c>
      <c r="H27" s="15"/>
      <c r="I27" s="12">
        <f>-G27*H48</f>
        <v>-146100</v>
      </c>
      <c r="J27" s="10">
        <f>I27*0.6583</f>
        <v>-96178</v>
      </c>
      <c r="L27" s="22"/>
      <c r="M27" s="22"/>
      <c r="N27" s="15">
        <f>M27-L27</f>
        <v>0</v>
      </c>
      <c r="Q27" s="63">
        <v>323950</v>
      </c>
      <c r="R27" s="87"/>
      <c r="S27" s="15">
        <f>R27-Q27</f>
        <v>-323950</v>
      </c>
      <c r="T27" s="12">
        <f>-S27*0.6583</f>
        <v>213256</v>
      </c>
      <c r="U27" s="76">
        <f>T27*$Q$47</f>
        <v>15269130</v>
      </c>
      <c r="V27" s="87"/>
      <c r="W27" s="97"/>
      <c r="Y27" s="87"/>
      <c r="Z27" s="87"/>
      <c r="AA27" s="97"/>
      <c r="AB27" s="87"/>
      <c r="AC27" s="15">
        <f>AA27-AB27</f>
        <v>0</v>
      </c>
      <c r="AD27" s="87"/>
      <c r="AE27" s="97"/>
      <c r="AG27" s="97"/>
      <c r="AH27" s="87"/>
      <c r="AI27" s="15"/>
      <c r="AJ27" s="87"/>
      <c r="AK27" s="97"/>
      <c r="AL27" s="97"/>
      <c r="AM27" s="87"/>
      <c r="AN27" s="15"/>
      <c r="AO27" s="15"/>
      <c r="AP27" s="87"/>
      <c r="AQ27" s="97"/>
      <c r="AR27" s="87"/>
      <c r="AS27" s="15">
        <f>AQ27-AR27</f>
        <v>0</v>
      </c>
      <c r="AT27" s="15"/>
      <c r="AU27" s="87"/>
      <c r="AV27" s="97"/>
      <c r="AW27" s="97"/>
      <c r="AX27" s="87"/>
      <c r="AY27" s="113">
        <f>AW27-AX27</f>
        <v>0</v>
      </c>
      <c r="AZ27" s="87"/>
      <c r="BA27" s="87"/>
      <c r="BB27" s="97"/>
      <c r="BC27" s="97"/>
      <c r="BD27" s="113"/>
      <c r="BE27" s="87"/>
      <c r="BF27" s="87"/>
      <c r="BG27" s="91"/>
      <c r="BH27" s="97"/>
      <c r="BI27" s="87"/>
      <c r="BJ27" s="15"/>
      <c r="BK27" s="87"/>
      <c r="BN27" s="97"/>
      <c r="BO27" s="87"/>
      <c r="BP27" s="15"/>
      <c r="BQ27" s="87"/>
    </row>
    <row r="28" spans="1:79">
      <c r="A28" s="26"/>
      <c r="B28" s="22"/>
      <c r="C28" s="22"/>
      <c r="D28" s="15"/>
      <c r="E28" s="15"/>
      <c r="F28" s="22"/>
      <c r="G28" s="22">
        <v>147400</v>
      </c>
      <c r="H28" s="15"/>
      <c r="I28" s="12">
        <f>G28*H47</f>
        <v>1522642</v>
      </c>
      <c r="J28" s="10">
        <f>I28*0.6583</f>
        <v>1002355</v>
      </c>
      <c r="L28" s="22"/>
      <c r="M28" s="22"/>
      <c r="N28" s="15"/>
      <c r="Q28" s="63">
        <v>228850</v>
      </c>
      <c r="R28" s="87"/>
      <c r="S28" s="15">
        <f>Q28-R28</f>
        <v>228850</v>
      </c>
      <c r="T28" s="12">
        <f>-S28*0.6583</f>
        <v>-150652</v>
      </c>
      <c r="U28" s="76">
        <f>T28*$Q$47</f>
        <v>-10786683</v>
      </c>
      <c r="V28" s="87"/>
      <c r="W28" s="97"/>
      <c r="Y28" s="87"/>
      <c r="Z28" s="87"/>
      <c r="AA28" s="97"/>
      <c r="AB28" s="87"/>
      <c r="AC28" s="15">
        <f>AA28-AB28</f>
        <v>0</v>
      </c>
      <c r="AD28" s="87"/>
      <c r="AE28" s="97"/>
      <c r="AG28" s="97"/>
      <c r="AH28" s="87"/>
      <c r="AI28" s="15"/>
      <c r="AJ28" s="87"/>
      <c r="AK28" s="97"/>
      <c r="AL28" s="97"/>
      <c r="AM28" s="87"/>
      <c r="AN28" s="15"/>
      <c r="AO28" s="15"/>
      <c r="AP28" s="87"/>
      <c r="AQ28" s="97"/>
      <c r="AR28" s="87"/>
      <c r="AS28" s="15">
        <f>AQ28-AR28</f>
        <v>0</v>
      </c>
      <c r="AT28" s="15"/>
      <c r="AU28" s="87"/>
      <c r="AV28" s="97"/>
      <c r="AW28" s="97"/>
      <c r="AX28" s="87"/>
      <c r="AY28" s="113">
        <f>AW28-AX28</f>
        <v>0</v>
      </c>
      <c r="AZ28" s="87"/>
      <c r="BA28" s="87"/>
      <c r="BB28" s="97"/>
      <c r="BC28" s="87"/>
      <c r="BD28" s="113"/>
      <c r="BE28" s="87"/>
      <c r="BF28" s="87"/>
      <c r="BG28" s="91"/>
      <c r="BH28" s="97"/>
      <c r="BI28" s="87"/>
      <c r="BJ28" s="113"/>
      <c r="BK28" s="87"/>
      <c r="BN28" s="97"/>
      <c r="BO28" s="87"/>
      <c r="BP28" s="15"/>
      <c r="BQ28" s="87"/>
    </row>
    <row r="29" spans="1:79">
      <c r="A29" s="71" t="s">
        <v>42</v>
      </c>
      <c r="B29" s="22" t="e">
        <f>F29+Q29+U29+Y29+AC29+AG29+#REF!+AN29+AS29+AX29+BD29+BI29</f>
        <v>#REF!</v>
      </c>
      <c r="C29" s="22">
        <f t="shared" ref="C29:C44" si="12">G29+R29+V29+Z29+AD29+AH29+AK29+AP29+AU29+AY29</f>
        <v>7080040</v>
      </c>
      <c r="D29" s="15" t="e">
        <f>B29-C29</f>
        <v>#REF!</v>
      </c>
      <c r="E29" s="15"/>
      <c r="F29" s="22">
        <f>157490+100221+73843</f>
        <v>331554</v>
      </c>
      <c r="G29" s="22">
        <f>337500+15000</f>
        <v>352500</v>
      </c>
      <c r="H29" s="15">
        <f>F29-G29</f>
        <v>-20946</v>
      </c>
      <c r="I29" s="12">
        <f t="shared" ref="I29:I44" si="13">H29*0.6583</f>
        <v>-13789</v>
      </c>
      <c r="J29" s="127">
        <f>-I29*$F$47</f>
        <v>991705</v>
      </c>
      <c r="L29" s="22">
        <f>282837</f>
        <v>282837</v>
      </c>
      <c r="M29" s="22">
        <f>359100+11600</f>
        <v>370700</v>
      </c>
      <c r="N29" s="15">
        <f>L29-M29</f>
        <v>-87863</v>
      </c>
      <c r="O29" s="12">
        <f>-N29*0.6583</f>
        <v>57840</v>
      </c>
      <c r="P29" s="128">
        <f>O29*$L$47</f>
        <v>3893789</v>
      </c>
      <c r="Q29" s="63">
        <f>148074+124035+58998</f>
        <v>331107</v>
      </c>
      <c r="R29" s="87">
        <f>333300+10100</f>
        <v>343400</v>
      </c>
      <c r="S29" s="15">
        <f>Q29-R29</f>
        <v>-12293</v>
      </c>
      <c r="T29" s="12">
        <f>-S29*0.6583</f>
        <v>8092</v>
      </c>
      <c r="U29" s="126">
        <f>T29*$Q$47</f>
        <v>579387</v>
      </c>
      <c r="V29" s="87">
        <v>334852</v>
      </c>
      <c r="W29" s="97">
        <f>461600+11400</f>
        <v>473000</v>
      </c>
      <c r="X29" s="15">
        <f>V29-W29</f>
        <v>-138148</v>
      </c>
      <c r="Y29" s="129">
        <f>-X29*0.6583</f>
        <v>90943</v>
      </c>
      <c r="Z29" s="131">
        <f>Y29*$V$47</f>
        <v>8040271</v>
      </c>
      <c r="AA29" s="97">
        <f>450132+120566+86321</f>
        <v>657019</v>
      </c>
      <c r="AB29" s="87">
        <f>687700+11500</f>
        <v>699200</v>
      </c>
      <c r="AC29" s="15">
        <f>AA29-AB29</f>
        <v>-42181</v>
      </c>
      <c r="AD29" s="129">
        <f>-AC29*0.6583</f>
        <v>27768</v>
      </c>
      <c r="AE29" s="132">
        <f>AD29*$AA$47</f>
        <v>1480034</v>
      </c>
      <c r="AG29" s="91">
        <f>489979+116611+92356</f>
        <v>698946</v>
      </c>
      <c r="AH29" s="87">
        <f>685000+12300</f>
        <v>697300</v>
      </c>
      <c r="AI29" s="15">
        <f>AG29-AH29</f>
        <v>1646</v>
      </c>
      <c r="AJ29" s="129">
        <f>-AI29*0.6583</f>
        <v>-1084</v>
      </c>
      <c r="AK29" s="50">
        <f>AJ29*$AG$47</f>
        <v>-17929</v>
      </c>
      <c r="AL29" s="91">
        <v>561735</v>
      </c>
      <c r="AM29" s="87">
        <f>473100+11200</f>
        <v>484300</v>
      </c>
      <c r="AN29" s="15">
        <f>AL29-AM29</f>
        <v>77435</v>
      </c>
      <c r="AO29" s="129">
        <f>-AN29*0.6583</f>
        <v>-50975</v>
      </c>
      <c r="AP29" s="102">
        <f>AO29*$AL$48</f>
        <v>-2946865</v>
      </c>
      <c r="AQ29" s="91">
        <v>284087</v>
      </c>
      <c r="AR29" s="87">
        <f>279900+9600</f>
        <v>289500</v>
      </c>
      <c r="AS29" s="15">
        <f>AQ29-AR29</f>
        <v>-5413</v>
      </c>
      <c r="AT29" s="129">
        <f>-AS29*0.6583</f>
        <v>3563</v>
      </c>
      <c r="AU29" s="87">
        <f>AT29*$AQ$47</f>
        <v>227106</v>
      </c>
      <c r="AV29" s="91"/>
      <c r="AW29" s="91">
        <v>251337</v>
      </c>
      <c r="AX29" s="87">
        <f>222500+7200</f>
        <v>229700</v>
      </c>
      <c r="AY29" s="113">
        <f>AW29-AX29</f>
        <v>21637</v>
      </c>
      <c r="AZ29" s="129">
        <f>-AY29*0.6583</f>
        <v>-14244</v>
      </c>
      <c r="BA29" s="87">
        <f>AZ29*$AW$47</f>
        <v>-725162</v>
      </c>
      <c r="BB29" s="97">
        <f>272599</f>
        <v>272599</v>
      </c>
      <c r="BC29" s="87">
        <f>223900+8800</f>
        <v>232700</v>
      </c>
      <c r="BD29" s="113">
        <f>BB29-BC29</f>
        <v>39899</v>
      </c>
      <c r="BE29" s="87">
        <f>BD29*0.6583</f>
        <v>26266</v>
      </c>
      <c r="BF29" s="74">
        <f>-BE29*$BB$47</f>
        <v>-1233451</v>
      </c>
      <c r="BG29" s="91"/>
      <c r="BH29" s="97">
        <v>280180</v>
      </c>
      <c r="BI29" s="87">
        <f>240200+9900</f>
        <v>250100</v>
      </c>
      <c r="BJ29" s="113">
        <f>BH29-BI29</f>
        <v>30080</v>
      </c>
      <c r="BK29" s="87">
        <f>BJ29*0.6583</f>
        <v>19802</v>
      </c>
      <c r="BL29" s="81">
        <f>-BK29*$BH$48</f>
        <v>-918813</v>
      </c>
      <c r="BM29" s="81"/>
      <c r="BN29" s="97">
        <f>191544+97343+82259</f>
        <v>371146</v>
      </c>
      <c r="BO29" s="87">
        <f>342800+11600</f>
        <v>354400</v>
      </c>
      <c r="BP29" s="113">
        <f>BN29-BO29</f>
        <v>16746</v>
      </c>
      <c r="BQ29" s="87">
        <f>BP29*0.6583</f>
        <v>11024</v>
      </c>
      <c r="BR29" s="74">
        <f>-BQ29*$BN$47</f>
        <v>-663535</v>
      </c>
    </row>
    <row r="30" spans="1:79">
      <c r="A30" t="s">
        <v>30</v>
      </c>
      <c r="B30" s="22">
        <f t="shared" ref="B30:B44" si="14">F30+Q30+U30+Y30+AC30+AG30+AJ30+AN30+AS30+AX30+BD30+BI30</f>
        <v>189009</v>
      </c>
      <c r="C30" s="22">
        <f t="shared" si="12"/>
        <v>191762</v>
      </c>
      <c r="D30" s="22">
        <f>B30-C30</f>
        <v>-2753</v>
      </c>
      <c r="E30" s="22"/>
      <c r="F30" s="22">
        <v>163948</v>
      </c>
      <c r="G30" s="22">
        <v>154932</v>
      </c>
      <c r="H30" s="15">
        <f t="shared" ref="H30:H44" si="15">F30-G30</f>
        <v>9016</v>
      </c>
      <c r="I30" s="12">
        <f t="shared" si="13"/>
        <v>5935</v>
      </c>
      <c r="J30" s="10">
        <f t="shared" ref="J30:J44" si="16">-I30*$F$47</f>
        <v>-426845</v>
      </c>
      <c r="K30" s="10"/>
      <c r="L30" s="22">
        <v>153371</v>
      </c>
      <c r="M30" s="22">
        <v>146356</v>
      </c>
      <c r="N30" s="15">
        <f>L30-M30</f>
        <v>7015</v>
      </c>
      <c r="O30" s="12">
        <f t="shared" ref="O30:O44" si="17">-N30*0.6583</f>
        <v>-4618</v>
      </c>
      <c r="P30" s="72">
        <f t="shared" ref="P30:P44" si="18">O30*$L$47</f>
        <v>-310884</v>
      </c>
      <c r="Q30" s="63">
        <v>163178</v>
      </c>
      <c r="R30" s="87">
        <v>151397</v>
      </c>
      <c r="S30" s="15">
        <f>Q30-R30</f>
        <v>11781</v>
      </c>
      <c r="T30" s="12">
        <f>-S30*0.6583</f>
        <v>-7755</v>
      </c>
      <c r="U30" s="76">
        <f t="shared" ref="U30:U44" si="19">T30*$Q$47</f>
        <v>-555258</v>
      </c>
      <c r="V30" s="87">
        <v>150929</v>
      </c>
      <c r="W30" s="97">
        <v>124649</v>
      </c>
      <c r="X30" s="15">
        <f t="shared" ref="X30:X44" si="20">V30-W30</f>
        <v>26280</v>
      </c>
      <c r="Y30" s="129">
        <f t="shared" ref="Y30:Y44" si="21">-X30*0.6583</f>
        <v>-17300</v>
      </c>
      <c r="Z30" s="131">
        <f t="shared" ref="Z30:Z44" si="22">Y30*$V$47</f>
        <v>-1529493</v>
      </c>
      <c r="AA30" s="87">
        <v>137537</v>
      </c>
      <c r="AB30" s="87">
        <v>102558</v>
      </c>
      <c r="AC30" s="15">
        <f t="shared" ref="AC30:AC44" si="23">AA30-AB30</f>
        <v>34979</v>
      </c>
      <c r="AD30" s="129">
        <f t="shared" ref="AD30:AD44" si="24">-AC30*0.6583</f>
        <v>-23027</v>
      </c>
      <c r="AE30" s="132">
        <f>AD30*$AA$47</f>
        <v>-1227339</v>
      </c>
      <c r="AG30" s="87">
        <v>73250</v>
      </c>
      <c r="AH30" s="87">
        <v>122128</v>
      </c>
      <c r="AI30" s="15">
        <f t="shared" ref="AI30:AI44" si="25">AG30-AH30</f>
        <v>-48878</v>
      </c>
      <c r="AJ30" s="129">
        <f t="shared" ref="AJ30:AJ44" si="26">-AI30*0.6583</f>
        <v>32176</v>
      </c>
      <c r="AK30" s="132">
        <f>AJ30*$AG$47</f>
        <v>532191</v>
      </c>
      <c r="AL30" s="87">
        <v>140563</v>
      </c>
      <c r="AM30" s="87">
        <v>154838</v>
      </c>
      <c r="AN30" s="15">
        <f t="shared" ref="AN30:AN44" si="27">AL30-AM30</f>
        <v>-14275</v>
      </c>
      <c r="AO30" s="129">
        <f t="shared" ref="AO30:AO44" si="28">-AN30*0.6583</f>
        <v>9397</v>
      </c>
      <c r="AP30" s="74">
        <f>AO30*$AL$48</f>
        <v>543241</v>
      </c>
      <c r="AQ30" s="87">
        <v>153906</v>
      </c>
      <c r="AR30" s="87">
        <v>156448</v>
      </c>
      <c r="AS30" s="15">
        <f t="shared" ref="AS30:AS44" si="29">AQ30-AR30</f>
        <v>-2542</v>
      </c>
      <c r="AT30" s="129">
        <f t="shared" ref="AT30:AT44" si="30">-AS30*0.6583</f>
        <v>1673</v>
      </c>
      <c r="AU30" s="87">
        <f t="shared" ref="AU30:AU44" si="31">AT30*$AQ$47</f>
        <v>106637</v>
      </c>
      <c r="AV30" s="87"/>
      <c r="AW30" s="87">
        <v>134230</v>
      </c>
      <c r="AX30" s="87">
        <v>151403</v>
      </c>
      <c r="AY30" s="113">
        <f t="shared" ref="AY30:AY44" si="32">AW30-AX30</f>
        <v>-17173</v>
      </c>
      <c r="AZ30" s="129">
        <f t="shared" ref="AZ30:AZ44" si="33">-AY30*0.6583</f>
        <v>11305</v>
      </c>
      <c r="BA30" s="87">
        <f t="shared" ref="BA30:BA44" si="34">AZ30*$AW$47</f>
        <v>575538</v>
      </c>
      <c r="BB30" s="87">
        <v>163230</v>
      </c>
      <c r="BC30" s="87">
        <v>155183</v>
      </c>
      <c r="BD30" s="113">
        <f t="shared" ref="BD30:BD44" si="35">BB30-BC30</f>
        <v>8047</v>
      </c>
      <c r="BE30" s="87">
        <f t="shared" ref="BE30:BE44" si="36">BD30*0.6583</f>
        <v>5297</v>
      </c>
      <c r="BF30" s="74">
        <f>-BE30*$BB$47</f>
        <v>-248747</v>
      </c>
      <c r="BG30" s="91"/>
      <c r="BH30" s="87">
        <v>159637</v>
      </c>
      <c r="BI30" s="87">
        <v>151403</v>
      </c>
      <c r="BJ30" s="113">
        <f t="shared" ref="BJ30:BJ44" si="37">BH30-BI30</f>
        <v>8234</v>
      </c>
      <c r="BK30" s="87">
        <f t="shared" ref="BK30:BK44" si="38">BJ30*0.6583</f>
        <v>5420</v>
      </c>
      <c r="BL30" s="81">
        <f t="shared" ref="BL30:BL44" si="39">-BK30*$BH$48</f>
        <v>-251488</v>
      </c>
      <c r="BM30" s="81"/>
      <c r="BN30" s="87">
        <v>163880</v>
      </c>
      <c r="BO30" s="87">
        <v>153931</v>
      </c>
      <c r="BP30" s="113">
        <f t="shared" ref="BP30:BP44" si="40">BN30-BO30</f>
        <v>9949</v>
      </c>
      <c r="BQ30" s="87">
        <f t="shared" ref="BQ30:BQ44" si="41">BP30*0.6583</f>
        <v>6549</v>
      </c>
      <c r="BR30" s="74">
        <f>-BQ30*$BN$47</f>
        <v>-394184</v>
      </c>
    </row>
    <row r="31" spans="1:79">
      <c r="A31" t="s">
        <v>43</v>
      </c>
      <c r="B31" s="22">
        <f t="shared" si="14"/>
        <v>282523</v>
      </c>
      <c r="C31" s="22">
        <f t="shared" si="12"/>
        <v>3333167</v>
      </c>
      <c r="D31" s="22">
        <f t="shared" ref="D31:D44" si="42">B31-C31</f>
        <v>-3050644</v>
      </c>
      <c r="E31" s="22"/>
      <c r="F31" s="22">
        <v>29837</v>
      </c>
      <c r="G31" s="22">
        <v>33513</v>
      </c>
      <c r="H31" s="15">
        <f t="shared" si="15"/>
        <v>-3676</v>
      </c>
      <c r="I31" s="12">
        <f t="shared" si="13"/>
        <v>-2420</v>
      </c>
      <c r="J31" s="10">
        <f t="shared" si="16"/>
        <v>174046</v>
      </c>
      <c r="K31" s="10"/>
      <c r="L31" s="22">
        <v>30893</v>
      </c>
      <c r="M31" s="22">
        <v>31625</v>
      </c>
      <c r="N31" s="15">
        <f t="shared" ref="N31:N44" si="43">L31-M31</f>
        <v>-732</v>
      </c>
      <c r="O31" s="12">
        <f t="shared" si="17"/>
        <v>482</v>
      </c>
      <c r="P31" s="72">
        <f t="shared" si="18"/>
        <v>32448</v>
      </c>
      <c r="Q31" s="63">
        <v>29524</v>
      </c>
      <c r="R31" s="87">
        <v>33969</v>
      </c>
      <c r="S31" s="15">
        <f t="shared" ref="S31:S44" si="44">Q31-R31</f>
        <v>-4445</v>
      </c>
      <c r="T31" s="12">
        <f>-S31*0.6583</f>
        <v>2926</v>
      </c>
      <c r="U31" s="72">
        <f t="shared" si="19"/>
        <v>209502</v>
      </c>
      <c r="V31" s="87">
        <v>5075</v>
      </c>
      <c r="W31" s="97">
        <v>32618</v>
      </c>
      <c r="X31" s="15">
        <f t="shared" si="20"/>
        <v>-27543</v>
      </c>
      <c r="Y31" s="129">
        <f t="shared" si="21"/>
        <v>18132</v>
      </c>
      <c r="Z31" s="131">
        <f t="shared" si="22"/>
        <v>1603050</v>
      </c>
      <c r="AA31" s="87">
        <v>469</v>
      </c>
      <c r="AB31" s="87">
        <v>2427</v>
      </c>
      <c r="AC31" s="15">
        <f t="shared" si="23"/>
        <v>-1958</v>
      </c>
      <c r="AD31" s="129">
        <f t="shared" si="24"/>
        <v>1289</v>
      </c>
      <c r="AE31" s="50">
        <f t="shared" ref="AE31:AE43" si="45">AD31*$AA$47</f>
        <v>68704</v>
      </c>
      <c r="AG31" s="87">
        <v>-216</v>
      </c>
      <c r="AH31" s="87">
        <v>0</v>
      </c>
      <c r="AI31" s="15">
        <f t="shared" si="25"/>
        <v>-216</v>
      </c>
      <c r="AJ31" s="129">
        <f t="shared" si="26"/>
        <v>142</v>
      </c>
      <c r="AK31" s="50">
        <f>AJ31*$AG$47</f>
        <v>2349</v>
      </c>
      <c r="AL31" s="87">
        <v>0</v>
      </c>
      <c r="AM31" s="87">
        <v>31474</v>
      </c>
      <c r="AN31" s="15">
        <f t="shared" si="27"/>
        <v>-31474</v>
      </c>
      <c r="AO31" s="129">
        <f t="shared" si="28"/>
        <v>20719</v>
      </c>
      <c r="AP31" s="74">
        <f t="shared" ref="AP31:AP44" si="46">AO31*$AL$48</f>
        <v>1197765</v>
      </c>
      <c r="AQ31" s="87">
        <v>22350</v>
      </c>
      <c r="AR31" s="87">
        <v>33683</v>
      </c>
      <c r="AS31" s="15">
        <f t="shared" si="29"/>
        <v>-11333</v>
      </c>
      <c r="AT31" s="129">
        <f t="shared" si="30"/>
        <v>7461</v>
      </c>
      <c r="AU31" s="87">
        <f t="shared" si="31"/>
        <v>475564</v>
      </c>
      <c r="AV31" s="87"/>
      <c r="AW31" s="87">
        <v>13504</v>
      </c>
      <c r="AX31" s="87">
        <v>32911</v>
      </c>
      <c r="AY31" s="113">
        <f t="shared" si="32"/>
        <v>-19407</v>
      </c>
      <c r="AZ31" s="129">
        <f t="shared" si="33"/>
        <v>12776</v>
      </c>
      <c r="BA31" s="87">
        <f t="shared" si="34"/>
        <v>650426</v>
      </c>
      <c r="BB31" s="87">
        <v>8562</v>
      </c>
      <c r="BC31" s="87">
        <v>34300</v>
      </c>
      <c r="BD31" s="113">
        <f t="shared" si="35"/>
        <v>-25738</v>
      </c>
      <c r="BE31" s="87">
        <f t="shared" si="36"/>
        <v>-16943</v>
      </c>
      <c r="BF31" s="74">
        <f>-BE31*$BB$47</f>
        <v>795643</v>
      </c>
      <c r="BG31" s="91"/>
      <c r="BH31" s="87">
        <v>27374</v>
      </c>
      <c r="BI31" s="87">
        <v>33194</v>
      </c>
      <c r="BJ31" s="113">
        <f t="shared" si="37"/>
        <v>-5820</v>
      </c>
      <c r="BK31" s="87">
        <f t="shared" si="38"/>
        <v>-3831</v>
      </c>
      <c r="BL31" s="81">
        <f t="shared" si="39"/>
        <v>177758</v>
      </c>
      <c r="BM31" s="81"/>
      <c r="BN31" s="87">
        <v>33336</v>
      </c>
      <c r="BO31" s="87">
        <v>34300</v>
      </c>
      <c r="BP31" s="113">
        <f t="shared" si="40"/>
        <v>-964</v>
      </c>
      <c r="BQ31" s="87">
        <f t="shared" si="41"/>
        <v>-635</v>
      </c>
      <c r="BR31" s="74">
        <f t="shared" ref="BR31:BR44" si="47">-BQ31*$BN$47</f>
        <v>38221</v>
      </c>
    </row>
    <row r="32" spans="1:79">
      <c r="A32" t="s">
        <v>44</v>
      </c>
      <c r="B32" s="22">
        <f t="shared" si="14"/>
        <v>-2736</v>
      </c>
      <c r="C32" s="22">
        <f t="shared" si="12"/>
        <v>11149</v>
      </c>
      <c r="D32" s="22">
        <f t="shared" si="42"/>
        <v>-13885</v>
      </c>
      <c r="E32" s="22"/>
      <c r="F32" s="22">
        <v>1083</v>
      </c>
      <c r="G32" s="22">
        <v>117</v>
      </c>
      <c r="H32" s="15">
        <f t="shared" si="15"/>
        <v>966</v>
      </c>
      <c r="I32" s="12">
        <f t="shared" si="13"/>
        <v>636</v>
      </c>
      <c r="J32" s="10">
        <f t="shared" si="16"/>
        <v>-45741</v>
      </c>
      <c r="K32" s="10"/>
      <c r="L32" s="22">
        <v>210</v>
      </c>
      <c r="M32" s="22">
        <v>181</v>
      </c>
      <c r="N32" s="15">
        <f t="shared" si="43"/>
        <v>29</v>
      </c>
      <c r="O32" s="12">
        <f t="shared" si="17"/>
        <v>-19</v>
      </c>
      <c r="P32" s="72">
        <f t="shared" si="18"/>
        <v>-1279</v>
      </c>
      <c r="Q32" s="63">
        <v>202</v>
      </c>
      <c r="R32" s="87">
        <v>104</v>
      </c>
      <c r="S32" s="15">
        <f t="shared" si="44"/>
        <v>98</v>
      </c>
      <c r="T32" s="12">
        <f t="shared" ref="T32:T44" si="48">-S32*0.6583</f>
        <v>-65</v>
      </c>
      <c r="U32" s="72">
        <f t="shared" si="19"/>
        <v>-4654</v>
      </c>
      <c r="V32" s="87">
        <v>0</v>
      </c>
      <c r="W32" s="97">
        <v>32</v>
      </c>
      <c r="X32" s="15">
        <f t="shared" si="20"/>
        <v>-32</v>
      </c>
      <c r="Y32" s="129">
        <f t="shared" si="21"/>
        <v>21</v>
      </c>
      <c r="Z32" s="74">
        <f t="shared" si="22"/>
        <v>1857</v>
      </c>
      <c r="AA32" s="87">
        <v>0</v>
      </c>
      <c r="AB32" s="87">
        <v>25</v>
      </c>
      <c r="AC32" s="15">
        <f t="shared" si="23"/>
        <v>-25</v>
      </c>
      <c r="AD32" s="129">
        <f t="shared" si="24"/>
        <v>16</v>
      </c>
      <c r="AE32" s="50">
        <f t="shared" si="45"/>
        <v>853</v>
      </c>
      <c r="AG32" s="87">
        <v>0</v>
      </c>
      <c r="AH32" s="87">
        <v>30</v>
      </c>
      <c r="AI32" s="15">
        <f t="shared" si="25"/>
        <v>-30</v>
      </c>
      <c r="AJ32" s="129">
        <f t="shared" si="26"/>
        <v>20</v>
      </c>
      <c r="AK32" s="50">
        <f t="shared" ref="AK32:AK44" si="49">AJ32*$AG$47</f>
        <v>331</v>
      </c>
      <c r="AL32" s="87">
        <v>0</v>
      </c>
      <c r="AM32" s="87">
        <v>457</v>
      </c>
      <c r="AN32" s="15">
        <f t="shared" si="27"/>
        <v>-457</v>
      </c>
      <c r="AO32" s="129">
        <f t="shared" si="28"/>
        <v>301</v>
      </c>
      <c r="AP32" s="74">
        <f t="shared" si="46"/>
        <v>17401</v>
      </c>
      <c r="AQ32" s="87">
        <v>959</v>
      </c>
      <c r="AR32" s="87">
        <v>768</v>
      </c>
      <c r="AS32" s="15">
        <f t="shared" si="29"/>
        <v>191</v>
      </c>
      <c r="AT32" s="129">
        <f t="shared" si="30"/>
        <v>-126</v>
      </c>
      <c r="AU32" s="87">
        <f t="shared" si="31"/>
        <v>-8031</v>
      </c>
      <c r="AV32" s="87"/>
      <c r="AW32" s="87">
        <v>157</v>
      </c>
      <c r="AX32" s="87">
        <v>833</v>
      </c>
      <c r="AY32" s="113">
        <f t="shared" si="32"/>
        <v>-676</v>
      </c>
      <c r="AZ32" s="129">
        <f t="shared" si="33"/>
        <v>445</v>
      </c>
      <c r="BA32" s="87">
        <f t="shared" si="34"/>
        <v>22655</v>
      </c>
      <c r="BB32" s="87">
        <v>0</v>
      </c>
      <c r="BC32" s="87">
        <v>385</v>
      </c>
      <c r="BD32" s="113">
        <f t="shared" si="35"/>
        <v>-385</v>
      </c>
      <c r="BE32" s="87">
        <f t="shared" si="36"/>
        <v>-253</v>
      </c>
      <c r="BF32" s="74">
        <f>-BE32*$BB$47</f>
        <v>11881</v>
      </c>
      <c r="BG32" s="91"/>
      <c r="BH32" s="87">
        <v>0</v>
      </c>
      <c r="BI32" s="87">
        <v>435</v>
      </c>
      <c r="BJ32" s="113">
        <f t="shared" si="37"/>
        <v>-435</v>
      </c>
      <c r="BK32" s="87">
        <f t="shared" si="38"/>
        <v>-286</v>
      </c>
      <c r="BL32" s="81">
        <f t="shared" si="39"/>
        <v>13270</v>
      </c>
      <c r="BM32" s="81"/>
      <c r="BN32" s="87">
        <v>151</v>
      </c>
      <c r="BO32" s="87">
        <v>180</v>
      </c>
      <c r="BP32" s="113">
        <f t="shared" si="40"/>
        <v>-29</v>
      </c>
      <c r="BQ32" s="87">
        <f t="shared" si="41"/>
        <v>-19</v>
      </c>
      <c r="BR32" s="74">
        <f t="shared" si="47"/>
        <v>1144</v>
      </c>
    </row>
    <row r="33" spans="1:70">
      <c r="A33" t="s">
        <v>45</v>
      </c>
      <c r="B33" s="22">
        <f t="shared" si="14"/>
        <v>1356</v>
      </c>
      <c r="C33" s="22">
        <f t="shared" si="12"/>
        <v>-33311</v>
      </c>
      <c r="D33" s="22">
        <f t="shared" si="42"/>
        <v>34667</v>
      </c>
      <c r="E33" s="22"/>
      <c r="F33" s="22">
        <v>31</v>
      </c>
      <c r="G33" s="22">
        <v>0</v>
      </c>
      <c r="H33" s="15">
        <f t="shared" si="15"/>
        <v>31</v>
      </c>
      <c r="I33" s="12">
        <f t="shared" si="13"/>
        <v>20</v>
      </c>
      <c r="J33" s="10">
        <f t="shared" si="16"/>
        <v>-1438</v>
      </c>
      <c r="K33" s="10"/>
      <c r="L33" s="22"/>
      <c r="M33" s="22">
        <v>0</v>
      </c>
      <c r="N33" s="15">
        <f t="shared" si="43"/>
        <v>0</v>
      </c>
      <c r="O33" s="12">
        <f t="shared" si="17"/>
        <v>0</v>
      </c>
      <c r="P33" s="72">
        <f t="shared" si="18"/>
        <v>0</v>
      </c>
      <c r="Q33" s="63">
        <v>0</v>
      </c>
      <c r="R33" s="87"/>
      <c r="S33" s="15">
        <f t="shared" si="44"/>
        <v>0</v>
      </c>
      <c r="T33" s="12">
        <f t="shared" si="48"/>
        <v>0</v>
      </c>
      <c r="U33" s="72">
        <f t="shared" si="19"/>
        <v>0</v>
      </c>
      <c r="V33" s="87">
        <v>24</v>
      </c>
      <c r="W33" s="97"/>
      <c r="X33" s="15">
        <f t="shared" si="20"/>
        <v>24</v>
      </c>
      <c r="Y33" s="129">
        <f t="shared" si="21"/>
        <v>-16</v>
      </c>
      <c r="Z33" s="74">
        <f t="shared" si="22"/>
        <v>-1415</v>
      </c>
      <c r="AA33" s="87">
        <v>547</v>
      </c>
      <c r="AB33" s="87"/>
      <c r="AC33" s="15">
        <f t="shared" si="23"/>
        <v>547</v>
      </c>
      <c r="AD33" s="129">
        <f t="shared" si="24"/>
        <v>-360</v>
      </c>
      <c r="AE33" s="50">
        <f t="shared" si="45"/>
        <v>-19188</v>
      </c>
      <c r="AG33" s="87">
        <v>0</v>
      </c>
      <c r="AH33" s="87"/>
      <c r="AI33" s="15">
        <f t="shared" si="25"/>
        <v>0</v>
      </c>
      <c r="AJ33" s="129">
        <f t="shared" si="26"/>
        <v>0</v>
      </c>
      <c r="AK33" s="50">
        <f t="shared" si="49"/>
        <v>0</v>
      </c>
      <c r="AL33" s="87">
        <v>0</v>
      </c>
      <c r="AM33" s="87">
        <v>103</v>
      </c>
      <c r="AN33" s="15">
        <f t="shared" si="27"/>
        <v>-103</v>
      </c>
      <c r="AO33" s="129">
        <f t="shared" si="28"/>
        <v>68</v>
      </c>
      <c r="AP33" s="74">
        <f t="shared" si="46"/>
        <v>3931</v>
      </c>
      <c r="AQ33" s="87">
        <v>985</v>
      </c>
      <c r="AR33" s="87">
        <v>140</v>
      </c>
      <c r="AS33" s="15">
        <f t="shared" si="29"/>
        <v>845</v>
      </c>
      <c r="AT33" s="129">
        <f t="shared" si="30"/>
        <v>-556</v>
      </c>
      <c r="AU33" s="87">
        <f t="shared" si="31"/>
        <v>-35439</v>
      </c>
      <c r="AV33" s="87"/>
      <c r="AW33" s="87">
        <v>0</v>
      </c>
      <c r="AX33" s="87">
        <v>52</v>
      </c>
      <c r="AY33" s="113">
        <f t="shared" si="32"/>
        <v>-52</v>
      </c>
      <c r="AZ33" s="129">
        <f t="shared" si="33"/>
        <v>34</v>
      </c>
      <c r="BA33" s="87">
        <f t="shared" si="34"/>
        <v>1731</v>
      </c>
      <c r="BB33" s="87">
        <v>0</v>
      </c>
      <c r="BC33" s="87"/>
      <c r="BD33" s="113">
        <f t="shared" si="35"/>
        <v>0</v>
      </c>
      <c r="BE33" s="87">
        <f t="shared" si="36"/>
        <v>0</v>
      </c>
      <c r="BF33" s="74">
        <f t="shared" ref="BF33:BF44" si="50">-BE33*$BB$47</f>
        <v>0</v>
      </c>
      <c r="BG33" s="91"/>
      <c r="BH33" s="87">
        <v>0</v>
      </c>
      <c r="BI33" s="87">
        <v>0</v>
      </c>
      <c r="BJ33" s="113">
        <f t="shared" si="37"/>
        <v>0</v>
      </c>
      <c r="BK33" s="87">
        <f t="shared" si="38"/>
        <v>0</v>
      </c>
      <c r="BL33" s="81">
        <f t="shared" si="39"/>
        <v>0</v>
      </c>
      <c r="BM33" s="81"/>
      <c r="BN33" s="87"/>
      <c r="BO33" s="87"/>
      <c r="BP33" s="113"/>
      <c r="BQ33" s="87"/>
      <c r="BR33" s="74"/>
    </row>
    <row r="34" spans="1:70">
      <c r="A34" t="s">
        <v>46</v>
      </c>
      <c r="B34" s="22">
        <f t="shared" si="14"/>
        <v>2899</v>
      </c>
      <c r="C34" s="22">
        <f t="shared" si="12"/>
        <v>23308</v>
      </c>
      <c r="D34" s="22">
        <f t="shared" si="42"/>
        <v>-20409</v>
      </c>
      <c r="E34" s="22"/>
      <c r="F34" s="22">
        <v>1611</v>
      </c>
      <c r="G34" s="22">
        <v>45</v>
      </c>
      <c r="H34" s="15">
        <f t="shared" si="15"/>
        <v>1566</v>
      </c>
      <c r="I34" s="12">
        <f t="shared" si="13"/>
        <v>1031</v>
      </c>
      <c r="J34" s="10">
        <f t="shared" si="16"/>
        <v>-74150</v>
      </c>
      <c r="K34" s="10"/>
      <c r="L34" s="22">
        <v>-39</v>
      </c>
      <c r="M34" s="22">
        <v>0</v>
      </c>
      <c r="N34" s="15">
        <f t="shared" si="43"/>
        <v>-39</v>
      </c>
      <c r="O34" s="12">
        <f t="shared" si="17"/>
        <v>26</v>
      </c>
      <c r="P34" s="72">
        <f t="shared" si="18"/>
        <v>1750</v>
      </c>
      <c r="Q34" s="63">
        <v>-18</v>
      </c>
      <c r="R34" s="87"/>
      <c r="S34" s="15">
        <f t="shared" si="44"/>
        <v>-18</v>
      </c>
      <c r="T34" s="12">
        <f t="shared" si="48"/>
        <v>12</v>
      </c>
      <c r="U34" s="72">
        <f t="shared" si="19"/>
        <v>859</v>
      </c>
      <c r="V34" s="87">
        <v>-13</v>
      </c>
      <c r="W34" s="97"/>
      <c r="X34" s="15">
        <f t="shared" si="20"/>
        <v>-13</v>
      </c>
      <c r="Y34" s="129">
        <f t="shared" si="21"/>
        <v>9</v>
      </c>
      <c r="Z34" s="74">
        <f t="shared" si="22"/>
        <v>796</v>
      </c>
      <c r="AA34" s="87">
        <v>-30</v>
      </c>
      <c r="AB34" s="87"/>
      <c r="AC34" s="15">
        <f t="shared" si="23"/>
        <v>-30</v>
      </c>
      <c r="AD34" s="129">
        <f t="shared" si="24"/>
        <v>20</v>
      </c>
      <c r="AE34" s="50">
        <f t="shared" si="45"/>
        <v>1066</v>
      </c>
      <c r="AG34" s="87">
        <v>28</v>
      </c>
      <c r="AH34" s="87">
        <v>27</v>
      </c>
      <c r="AI34" s="15">
        <f t="shared" si="25"/>
        <v>1</v>
      </c>
      <c r="AJ34" s="129">
        <f t="shared" si="26"/>
        <v>-1</v>
      </c>
      <c r="AK34" s="50">
        <f t="shared" si="49"/>
        <v>-17</v>
      </c>
      <c r="AL34" s="87">
        <v>1493</v>
      </c>
      <c r="AM34" s="87">
        <v>809</v>
      </c>
      <c r="AN34" s="15">
        <f t="shared" si="27"/>
        <v>684</v>
      </c>
      <c r="AO34" s="129">
        <f t="shared" si="28"/>
        <v>-450</v>
      </c>
      <c r="AP34" s="74">
        <f t="shared" si="46"/>
        <v>-26015</v>
      </c>
      <c r="AQ34" s="87">
        <v>24</v>
      </c>
      <c r="AR34" s="87">
        <v>1196</v>
      </c>
      <c r="AS34" s="15">
        <f t="shared" si="29"/>
        <v>-1172</v>
      </c>
      <c r="AT34" s="129">
        <f t="shared" si="30"/>
        <v>772</v>
      </c>
      <c r="AU34" s="87">
        <f t="shared" si="31"/>
        <v>49207</v>
      </c>
      <c r="AV34" s="87"/>
      <c r="AW34" s="87">
        <v>-45</v>
      </c>
      <c r="AX34" s="87">
        <v>697</v>
      </c>
      <c r="AY34" s="113">
        <f t="shared" si="32"/>
        <v>-742</v>
      </c>
      <c r="AZ34" s="129">
        <f t="shared" si="33"/>
        <v>488</v>
      </c>
      <c r="BA34" s="87">
        <f t="shared" si="34"/>
        <v>24844</v>
      </c>
      <c r="BB34" s="87">
        <v>206</v>
      </c>
      <c r="BC34" s="87">
        <v>0</v>
      </c>
      <c r="BD34" s="113">
        <f t="shared" si="35"/>
        <v>206</v>
      </c>
      <c r="BE34" s="87">
        <f t="shared" si="36"/>
        <v>136</v>
      </c>
      <c r="BF34" s="74">
        <f t="shared" si="50"/>
        <v>-6387</v>
      </c>
      <c r="BG34" s="91"/>
      <c r="BH34" s="87">
        <v>-62</v>
      </c>
      <c r="BI34" s="87">
        <v>26</v>
      </c>
      <c r="BJ34" s="113">
        <f t="shared" si="37"/>
        <v>-88</v>
      </c>
      <c r="BK34" s="87">
        <f t="shared" si="38"/>
        <v>-58</v>
      </c>
      <c r="BL34" s="81">
        <f t="shared" si="39"/>
        <v>2691</v>
      </c>
      <c r="BM34" s="81"/>
      <c r="BN34" s="87">
        <v>9912</v>
      </c>
      <c r="BO34" s="87">
        <v>0</v>
      </c>
      <c r="BP34" s="113">
        <f t="shared" si="40"/>
        <v>9912</v>
      </c>
      <c r="BQ34" s="87">
        <f t="shared" si="41"/>
        <v>6525</v>
      </c>
      <c r="BR34" s="74">
        <f t="shared" si="47"/>
        <v>-392740</v>
      </c>
    </row>
    <row r="35" spans="1:70">
      <c r="A35" t="s">
        <v>33</v>
      </c>
      <c r="B35" s="22">
        <f t="shared" si="14"/>
        <v>8880</v>
      </c>
      <c r="C35" s="22">
        <f t="shared" si="12"/>
        <v>-306923</v>
      </c>
      <c r="D35" s="22">
        <f t="shared" si="42"/>
        <v>315803</v>
      </c>
      <c r="E35" s="22"/>
      <c r="F35" s="22">
        <v>5403</v>
      </c>
      <c r="G35" s="22">
        <v>87</v>
      </c>
      <c r="H35" s="15">
        <f t="shared" si="15"/>
        <v>5316</v>
      </c>
      <c r="I35" s="12">
        <f t="shared" si="13"/>
        <v>3500</v>
      </c>
      <c r="J35" s="10">
        <f t="shared" si="16"/>
        <v>-251720</v>
      </c>
      <c r="K35" s="10"/>
      <c r="L35" s="22">
        <v>600</v>
      </c>
      <c r="M35" s="22">
        <v>65</v>
      </c>
      <c r="N35" s="15">
        <f t="shared" si="43"/>
        <v>535</v>
      </c>
      <c r="O35" s="12">
        <f t="shared" si="17"/>
        <v>-352</v>
      </c>
      <c r="P35" s="72">
        <f t="shared" si="18"/>
        <v>-23697</v>
      </c>
      <c r="Q35" s="63">
        <v>84</v>
      </c>
      <c r="R35" s="87">
        <v>125</v>
      </c>
      <c r="S35" s="15">
        <f t="shared" si="44"/>
        <v>-41</v>
      </c>
      <c r="T35" s="12">
        <f t="shared" si="48"/>
        <v>27</v>
      </c>
      <c r="U35" s="72">
        <f t="shared" si="19"/>
        <v>1933</v>
      </c>
      <c r="V35" s="87">
        <v>3769</v>
      </c>
      <c r="W35" s="97">
        <v>24</v>
      </c>
      <c r="X35" s="15">
        <f t="shared" si="20"/>
        <v>3745</v>
      </c>
      <c r="Y35" s="129">
        <f t="shared" si="21"/>
        <v>-2465</v>
      </c>
      <c r="Z35" s="74">
        <f t="shared" si="22"/>
        <v>-217931</v>
      </c>
      <c r="AA35" s="87">
        <v>112</v>
      </c>
      <c r="AB35" s="87">
        <v>8</v>
      </c>
      <c r="AC35" s="15">
        <f t="shared" si="23"/>
        <v>104</v>
      </c>
      <c r="AD35" s="129">
        <f t="shared" si="24"/>
        <v>-68</v>
      </c>
      <c r="AE35" s="50">
        <f t="shared" si="45"/>
        <v>-3624</v>
      </c>
      <c r="AG35" s="87">
        <v>109</v>
      </c>
      <c r="AH35" s="87">
        <v>52</v>
      </c>
      <c r="AI35" s="15">
        <f t="shared" si="25"/>
        <v>57</v>
      </c>
      <c r="AJ35" s="129">
        <f t="shared" si="26"/>
        <v>-38</v>
      </c>
      <c r="AK35" s="50">
        <f t="shared" si="49"/>
        <v>-629</v>
      </c>
      <c r="AL35" s="87">
        <v>1145</v>
      </c>
      <c r="AM35" s="87">
        <v>906</v>
      </c>
      <c r="AN35" s="15">
        <f t="shared" si="27"/>
        <v>239</v>
      </c>
      <c r="AO35" s="129">
        <f t="shared" si="28"/>
        <v>-157</v>
      </c>
      <c r="AP35" s="74">
        <f t="shared" si="46"/>
        <v>-9076</v>
      </c>
      <c r="AQ35" s="87">
        <v>3407</v>
      </c>
      <c r="AR35" s="87">
        <v>1419</v>
      </c>
      <c r="AS35" s="15">
        <f t="shared" si="29"/>
        <v>1988</v>
      </c>
      <c r="AT35" s="129">
        <f t="shared" si="30"/>
        <v>-1309</v>
      </c>
      <c r="AU35" s="87">
        <f t="shared" si="31"/>
        <v>-83436</v>
      </c>
      <c r="AV35" s="87"/>
      <c r="AW35" s="87">
        <v>1577</v>
      </c>
      <c r="AX35" s="87">
        <v>1393</v>
      </c>
      <c r="AY35" s="113">
        <f t="shared" si="32"/>
        <v>184</v>
      </c>
      <c r="AZ35" s="129">
        <f t="shared" si="33"/>
        <v>-121</v>
      </c>
      <c r="BA35" s="87">
        <f t="shared" si="34"/>
        <v>-6160</v>
      </c>
      <c r="BB35" s="87">
        <v>233</v>
      </c>
      <c r="BC35" s="87">
        <v>349</v>
      </c>
      <c r="BD35" s="113">
        <f t="shared" si="35"/>
        <v>-116</v>
      </c>
      <c r="BE35" s="87">
        <f t="shared" si="36"/>
        <v>-76</v>
      </c>
      <c r="BF35" s="74">
        <f t="shared" si="50"/>
        <v>3569</v>
      </c>
      <c r="BG35" s="91"/>
      <c r="BH35" s="87">
        <v>63</v>
      </c>
      <c r="BI35" s="87">
        <v>246</v>
      </c>
      <c r="BJ35" s="113">
        <f t="shared" si="37"/>
        <v>-183</v>
      </c>
      <c r="BK35" s="87">
        <f t="shared" si="38"/>
        <v>-120</v>
      </c>
      <c r="BL35" s="81">
        <f t="shared" si="39"/>
        <v>5568</v>
      </c>
      <c r="BM35" s="81"/>
      <c r="BN35" s="87">
        <v>4107</v>
      </c>
      <c r="BO35" s="87">
        <v>73</v>
      </c>
      <c r="BP35" s="113">
        <f t="shared" si="40"/>
        <v>4034</v>
      </c>
      <c r="BQ35" s="87">
        <f t="shared" si="41"/>
        <v>2656</v>
      </c>
      <c r="BR35" s="74">
        <f t="shared" si="47"/>
        <v>-159865</v>
      </c>
    </row>
    <row r="36" spans="1:70">
      <c r="A36" t="s">
        <v>47</v>
      </c>
      <c r="B36" s="23">
        <f t="shared" si="14"/>
        <v>-3295275</v>
      </c>
      <c r="C36" s="22">
        <f t="shared" si="12"/>
        <v>-3817207</v>
      </c>
      <c r="D36" s="23">
        <f t="shared" si="42"/>
        <v>521932</v>
      </c>
      <c r="E36" s="23"/>
      <c r="F36" s="24">
        <v>188733</v>
      </c>
      <c r="G36" s="24">
        <v>86897</v>
      </c>
      <c r="H36" s="15">
        <f t="shared" si="15"/>
        <v>101836</v>
      </c>
      <c r="I36" s="12">
        <f t="shared" si="13"/>
        <v>67039</v>
      </c>
      <c r="J36" s="10">
        <f t="shared" si="16"/>
        <v>-4821445</v>
      </c>
      <c r="K36" s="10"/>
      <c r="L36" s="22">
        <v>186014</v>
      </c>
      <c r="M36" s="22">
        <v>96660</v>
      </c>
      <c r="N36" s="15">
        <f t="shared" si="43"/>
        <v>89354</v>
      </c>
      <c r="O36" s="12">
        <f t="shared" si="17"/>
        <v>-58822</v>
      </c>
      <c r="P36" s="72">
        <f t="shared" si="18"/>
        <v>-3959897</v>
      </c>
      <c r="Q36" s="87">
        <v>178323</v>
      </c>
      <c r="R36" s="87">
        <v>92510</v>
      </c>
      <c r="S36" s="15">
        <f t="shared" si="44"/>
        <v>85813</v>
      </c>
      <c r="T36" s="12">
        <f>-S36*0.6583</f>
        <v>-56491</v>
      </c>
      <c r="U36" s="76">
        <f t="shared" si="19"/>
        <v>-4044756</v>
      </c>
      <c r="V36" s="87">
        <v>94865</v>
      </c>
      <c r="W36" s="97">
        <v>48387</v>
      </c>
      <c r="X36" s="15">
        <f t="shared" si="20"/>
        <v>46478</v>
      </c>
      <c r="Y36" s="129">
        <f t="shared" si="21"/>
        <v>-30596</v>
      </c>
      <c r="Z36" s="131">
        <f t="shared" si="22"/>
        <v>-2704992</v>
      </c>
      <c r="AA36" s="87">
        <v>45002</v>
      </c>
      <c r="AB36" s="87">
        <v>40653</v>
      </c>
      <c r="AC36" s="15">
        <f t="shared" si="23"/>
        <v>4349</v>
      </c>
      <c r="AD36" s="129">
        <f t="shared" si="24"/>
        <v>-2863</v>
      </c>
      <c r="AE36" s="132">
        <f t="shared" si="45"/>
        <v>-152598</v>
      </c>
      <c r="AG36" s="87">
        <v>3274</v>
      </c>
      <c r="AH36" s="87">
        <v>31981</v>
      </c>
      <c r="AI36" s="15">
        <f t="shared" si="25"/>
        <v>-28707</v>
      </c>
      <c r="AJ36" s="129">
        <f t="shared" si="26"/>
        <v>18898</v>
      </c>
      <c r="AK36" s="132">
        <f t="shared" si="49"/>
        <v>312573</v>
      </c>
      <c r="AL36" s="87">
        <v>99684</v>
      </c>
      <c r="AM36" s="87">
        <v>103983</v>
      </c>
      <c r="AN36" s="15">
        <f t="shared" si="27"/>
        <v>-4299</v>
      </c>
      <c r="AO36" s="129">
        <f t="shared" si="28"/>
        <v>2830</v>
      </c>
      <c r="AP36" s="74">
        <f t="shared" si="46"/>
        <v>163602</v>
      </c>
      <c r="AQ36" s="87">
        <v>179819</v>
      </c>
      <c r="AR36" s="87">
        <v>134233</v>
      </c>
      <c r="AS36" s="15">
        <f t="shared" si="29"/>
        <v>45586</v>
      </c>
      <c r="AT36" s="129">
        <f t="shared" si="30"/>
        <v>-30009</v>
      </c>
      <c r="AU36" s="87">
        <f t="shared" si="31"/>
        <v>-1912774</v>
      </c>
      <c r="AV36" s="87"/>
      <c r="AW36" s="87">
        <v>176348</v>
      </c>
      <c r="AX36" s="87">
        <v>155354</v>
      </c>
      <c r="AY36" s="113">
        <f t="shared" si="32"/>
        <v>20994</v>
      </c>
      <c r="AZ36" s="129">
        <f t="shared" si="33"/>
        <v>-13820</v>
      </c>
      <c r="BA36" s="87">
        <f t="shared" si="34"/>
        <v>-703576</v>
      </c>
      <c r="BB36" s="87">
        <v>189295</v>
      </c>
      <c r="BC36" s="87">
        <v>152825</v>
      </c>
      <c r="BD36" s="113">
        <f t="shared" si="35"/>
        <v>36470</v>
      </c>
      <c r="BE36" s="87">
        <f t="shared" si="36"/>
        <v>24008</v>
      </c>
      <c r="BF36" s="74">
        <f t="shared" si="50"/>
        <v>-1127416</v>
      </c>
      <c r="BG36" s="91"/>
      <c r="BH36" s="87">
        <v>166974</v>
      </c>
      <c r="BI36" s="87">
        <v>153389</v>
      </c>
      <c r="BJ36" s="113">
        <f t="shared" si="37"/>
        <v>13585</v>
      </c>
      <c r="BK36" s="87">
        <f t="shared" si="38"/>
        <v>8943</v>
      </c>
      <c r="BL36" s="81">
        <f t="shared" si="39"/>
        <v>-414955</v>
      </c>
      <c r="BM36" s="81"/>
      <c r="BN36" s="87">
        <v>187988</v>
      </c>
      <c r="BO36" s="87">
        <v>134092</v>
      </c>
      <c r="BP36" s="113">
        <f t="shared" si="40"/>
        <v>53896</v>
      </c>
      <c r="BQ36" s="87">
        <f>BP36*0.6583</f>
        <v>35480</v>
      </c>
      <c r="BR36" s="74">
        <f t="shared" si="47"/>
        <v>-2135541</v>
      </c>
    </row>
    <row r="37" spans="1:70">
      <c r="A37" t="s">
        <v>124</v>
      </c>
      <c r="B37" s="24">
        <f t="shared" si="14"/>
        <v>-60840</v>
      </c>
      <c r="C37" s="22">
        <f t="shared" si="12"/>
        <v>-144722</v>
      </c>
      <c r="D37" s="24">
        <f t="shared" si="42"/>
        <v>83882</v>
      </c>
      <c r="E37" s="24"/>
      <c r="F37" s="24">
        <v>76140</v>
      </c>
      <c r="G37" s="24">
        <v>66000</v>
      </c>
      <c r="H37" s="15">
        <f t="shared" si="15"/>
        <v>10140</v>
      </c>
      <c r="I37" s="12">
        <f t="shared" si="13"/>
        <v>6675</v>
      </c>
      <c r="J37" s="10">
        <f t="shared" si="16"/>
        <v>-480066</v>
      </c>
      <c r="K37" s="10"/>
      <c r="L37" s="22">
        <v>68800</v>
      </c>
      <c r="M37" s="22">
        <v>61700</v>
      </c>
      <c r="N37" s="15">
        <f t="shared" si="43"/>
        <v>7100</v>
      </c>
      <c r="O37" s="12">
        <f t="shared" si="17"/>
        <v>-4674</v>
      </c>
      <c r="P37" s="72">
        <f t="shared" si="18"/>
        <v>-314654</v>
      </c>
      <c r="Q37" s="87">
        <v>37590</v>
      </c>
      <c r="R37" s="87">
        <v>32600</v>
      </c>
      <c r="S37" s="15">
        <f t="shared" si="44"/>
        <v>4990</v>
      </c>
      <c r="T37" s="12">
        <f t="shared" si="48"/>
        <v>-3285</v>
      </c>
      <c r="U37" s="72">
        <f t="shared" si="19"/>
        <v>-235206</v>
      </c>
      <c r="V37" s="87">
        <v>36407</v>
      </c>
      <c r="W37" s="97">
        <v>31600</v>
      </c>
      <c r="X37" s="15">
        <f t="shared" si="20"/>
        <v>4807</v>
      </c>
      <c r="Y37" s="129">
        <f t="shared" si="21"/>
        <v>-3164</v>
      </c>
      <c r="Z37" s="74">
        <f t="shared" si="22"/>
        <v>-279729</v>
      </c>
      <c r="AA37" s="87">
        <v>0</v>
      </c>
      <c r="AB37" s="87">
        <v>0</v>
      </c>
      <c r="AC37" s="15">
        <f t="shared" si="23"/>
        <v>0</v>
      </c>
      <c r="AD37" s="129">
        <f t="shared" si="24"/>
        <v>0</v>
      </c>
      <c r="AE37" s="50">
        <f t="shared" si="45"/>
        <v>0</v>
      </c>
      <c r="AG37" s="87">
        <v>0</v>
      </c>
      <c r="AH37" s="87">
        <v>0</v>
      </c>
      <c r="AI37" s="15">
        <f t="shared" si="25"/>
        <v>0</v>
      </c>
      <c r="AJ37" s="129">
        <f t="shared" si="26"/>
        <v>0</v>
      </c>
      <c r="AK37" s="50">
        <f t="shared" si="49"/>
        <v>0</v>
      </c>
      <c r="AL37" s="87"/>
      <c r="AM37" s="87">
        <v>0</v>
      </c>
      <c r="AN37" s="15">
        <f t="shared" si="27"/>
        <v>0</v>
      </c>
      <c r="AO37" s="129">
        <f t="shared" si="28"/>
        <v>0</v>
      </c>
      <c r="AP37" s="74">
        <f t="shared" si="46"/>
        <v>0</v>
      </c>
      <c r="AQ37" s="87"/>
      <c r="AR37" s="87">
        <v>0</v>
      </c>
      <c r="AS37" s="15">
        <f t="shared" si="29"/>
        <v>0</v>
      </c>
      <c r="AT37" s="129">
        <f t="shared" si="30"/>
        <v>0</v>
      </c>
      <c r="AU37" s="87">
        <f t="shared" si="31"/>
        <v>0</v>
      </c>
      <c r="AV37" s="87"/>
      <c r="AW37" s="87"/>
      <c r="AX37" s="87">
        <v>0</v>
      </c>
      <c r="AY37" s="15">
        <f t="shared" si="32"/>
        <v>0</v>
      </c>
      <c r="AZ37" s="129">
        <f t="shared" si="33"/>
        <v>0</v>
      </c>
      <c r="BA37" s="87">
        <f t="shared" si="34"/>
        <v>0</v>
      </c>
      <c r="BB37" s="87"/>
      <c r="BC37" s="87">
        <v>0</v>
      </c>
      <c r="BD37" s="113">
        <f t="shared" si="35"/>
        <v>0</v>
      </c>
      <c r="BE37" s="87">
        <f t="shared" si="36"/>
        <v>0</v>
      </c>
      <c r="BF37" s="74">
        <f t="shared" si="50"/>
        <v>0</v>
      </c>
      <c r="BG37" s="91"/>
      <c r="BH37" s="87">
        <v>76757</v>
      </c>
      <c r="BI37" s="87">
        <v>63800</v>
      </c>
      <c r="BJ37" s="15">
        <f t="shared" si="37"/>
        <v>12957</v>
      </c>
      <c r="BK37" s="87">
        <f t="shared" si="38"/>
        <v>8530</v>
      </c>
      <c r="BL37" s="81">
        <f t="shared" si="39"/>
        <v>-395792</v>
      </c>
      <c r="BM37" s="81"/>
      <c r="BN37" s="87">
        <v>79305</v>
      </c>
      <c r="BO37" s="87">
        <v>66000</v>
      </c>
      <c r="BP37" s="113">
        <f t="shared" si="40"/>
        <v>13305</v>
      </c>
      <c r="BQ37" s="87">
        <f t="shared" si="41"/>
        <v>8759</v>
      </c>
      <c r="BR37" s="74">
        <f t="shared" si="47"/>
        <v>-527204</v>
      </c>
    </row>
    <row r="38" spans="1:70">
      <c r="A38" t="s">
        <v>125</v>
      </c>
      <c r="B38" s="24">
        <f t="shared" si="14"/>
        <v>46090</v>
      </c>
      <c r="C38" s="22">
        <f t="shared" si="12"/>
        <v>-12933</v>
      </c>
      <c r="D38" s="24">
        <f t="shared" si="42"/>
        <v>59023</v>
      </c>
      <c r="E38" s="24"/>
      <c r="F38" s="24">
        <v>1081</v>
      </c>
      <c r="G38" s="24">
        <v>1700</v>
      </c>
      <c r="H38" s="15">
        <f t="shared" si="15"/>
        <v>-619</v>
      </c>
      <c r="I38" s="12">
        <f t="shared" si="13"/>
        <v>-407</v>
      </c>
      <c r="J38" s="10">
        <f t="shared" si="16"/>
        <v>29271</v>
      </c>
      <c r="K38" s="10"/>
      <c r="L38" s="22">
        <v>942</v>
      </c>
      <c r="M38" s="22">
        <f>100+700+400+600+100</f>
        <v>1900</v>
      </c>
      <c r="N38" s="15">
        <f t="shared" si="43"/>
        <v>-958</v>
      </c>
      <c r="O38" s="12">
        <f t="shared" si="17"/>
        <v>631</v>
      </c>
      <c r="P38" s="72">
        <f t="shared" si="18"/>
        <v>42479</v>
      </c>
      <c r="Q38" s="87">
        <v>1433</v>
      </c>
      <c r="R38" s="87">
        <f>100+700+500+600+300</f>
        <v>2200</v>
      </c>
      <c r="S38" s="15">
        <f t="shared" si="44"/>
        <v>-767</v>
      </c>
      <c r="T38" s="12">
        <f t="shared" si="48"/>
        <v>505</v>
      </c>
      <c r="U38" s="72">
        <f t="shared" si="19"/>
        <v>36158</v>
      </c>
      <c r="V38" s="87">
        <v>2335</v>
      </c>
      <c r="W38" s="97">
        <v>3300</v>
      </c>
      <c r="X38" s="15">
        <f t="shared" si="20"/>
        <v>-965</v>
      </c>
      <c r="Y38" s="129">
        <f t="shared" si="21"/>
        <v>635</v>
      </c>
      <c r="Z38" s="74">
        <f t="shared" si="22"/>
        <v>56140</v>
      </c>
      <c r="AA38" s="87">
        <v>2879</v>
      </c>
      <c r="AB38" s="87">
        <v>2900</v>
      </c>
      <c r="AC38" s="15">
        <f t="shared" si="23"/>
        <v>-21</v>
      </c>
      <c r="AD38" s="129">
        <f t="shared" si="24"/>
        <v>14</v>
      </c>
      <c r="AE38" s="50">
        <f t="shared" si="45"/>
        <v>746</v>
      </c>
      <c r="AG38" s="87">
        <v>3170</v>
      </c>
      <c r="AH38" s="87">
        <v>3200</v>
      </c>
      <c r="AI38" s="15">
        <f t="shared" si="25"/>
        <v>-30</v>
      </c>
      <c r="AJ38" s="129">
        <f t="shared" si="26"/>
        <v>20</v>
      </c>
      <c r="AK38" s="50">
        <f t="shared" si="49"/>
        <v>331</v>
      </c>
      <c r="AL38" s="87">
        <v>3174</v>
      </c>
      <c r="AM38" s="87">
        <v>2200</v>
      </c>
      <c r="AN38" s="15">
        <f t="shared" si="27"/>
        <v>974</v>
      </c>
      <c r="AO38" s="129">
        <f t="shared" si="28"/>
        <v>-641</v>
      </c>
      <c r="AP38" s="74">
        <f t="shared" si="46"/>
        <v>-37056</v>
      </c>
      <c r="AQ38" s="87">
        <v>1907</v>
      </c>
      <c r="AR38" s="87">
        <v>900</v>
      </c>
      <c r="AS38" s="15">
        <f t="shared" si="29"/>
        <v>1007</v>
      </c>
      <c r="AT38" s="129">
        <f t="shared" si="30"/>
        <v>-663</v>
      </c>
      <c r="AU38" s="87">
        <f t="shared" si="31"/>
        <v>-42260</v>
      </c>
      <c r="AV38" s="87"/>
      <c r="AW38" s="87">
        <v>1063</v>
      </c>
      <c r="AX38" s="87">
        <v>600</v>
      </c>
      <c r="AY38" s="15">
        <f t="shared" si="32"/>
        <v>463</v>
      </c>
      <c r="AZ38" s="129">
        <f t="shared" si="33"/>
        <v>-305</v>
      </c>
      <c r="BA38" s="87">
        <f t="shared" si="34"/>
        <v>-15528</v>
      </c>
      <c r="BB38" s="87">
        <v>833</v>
      </c>
      <c r="BC38" s="87">
        <v>800</v>
      </c>
      <c r="BD38" s="15">
        <f t="shared" si="35"/>
        <v>33</v>
      </c>
      <c r="BE38" s="87">
        <f t="shared" si="36"/>
        <v>22</v>
      </c>
      <c r="BF38" s="74">
        <f t="shared" si="50"/>
        <v>-1033</v>
      </c>
      <c r="BG38" s="91"/>
      <c r="BH38" s="87">
        <v>871</v>
      </c>
      <c r="BI38" s="87">
        <v>1000</v>
      </c>
      <c r="BJ38" s="15">
        <f t="shared" si="37"/>
        <v>-129</v>
      </c>
      <c r="BK38" s="87">
        <f t="shared" si="38"/>
        <v>-85</v>
      </c>
      <c r="BL38" s="81">
        <f t="shared" si="39"/>
        <v>3944</v>
      </c>
      <c r="BM38" s="81"/>
      <c r="BN38" s="87">
        <v>1131</v>
      </c>
      <c r="BO38" s="87">
        <v>1300</v>
      </c>
      <c r="BP38" s="113">
        <f t="shared" si="40"/>
        <v>-169</v>
      </c>
      <c r="BQ38" s="87">
        <f t="shared" si="41"/>
        <v>-111</v>
      </c>
      <c r="BR38" s="74">
        <f t="shared" si="47"/>
        <v>6681</v>
      </c>
    </row>
    <row r="39" spans="1:70">
      <c r="A39" t="s">
        <v>126</v>
      </c>
      <c r="B39" s="24">
        <f t="shared" si="14"/>
        <v>116219</v>
      </c>
      <c r="C39" s="22">
        <f t="shared" si="12"/>
        <v>-69042</v>
      </c>
      <c r="D39" s="24">
        <f t="shared" si="42"/>
        <v>185261</v>
      </c>
      <c r="E39" s="24"/>
      <c r="F39" s="24">
        <v>3627</v>
      </c>
      <c r="G39" s="24">
        <v>5300</v>
      </c>
      <c r="H39" s="15">
        <f t="shared" si="15"/>
        <v>-1673</v>
      </c>
      <c r="I39" s="12">
        <f t="shared" si="13"/>
        <v>-1101</v>
      </c>
      <c r="J39" s="10">
        <f t="shared" si="16"/>
        <v>79184</v>
      </c>
      <c r="K39" s="10"/>
      <c r="L39" s="22">
        <v>2814</v>
      </c>
      <c r="M39" s="22">
        <v>8200</v>
      </c>
      <c r="N39" s="15">
        <f t="shared" si="43"/>
        <v>-5386</v>
      </c>
      <c r="O39" s="12">
        <f t="shared" si="17"/>
        <v>3546</v>
      </c>
      <c r="P39" s="72">
        <f t="shared" si="18"/>
        <v>238717</v>
      </c>
      <c r="Q39" s="87">
        <v>7693</v>
      </c>
      <c r="R39" s="87">
        <v>9700</v>
      </c>
      <c r="S39" s="15">
        <f t="shared" si="44"/>
        <v>-2007</v>
      </c>
      <c r="T39" s="12">
        <f t="shared" si="48"/>
        <v>1321</v>
      </c>
      <c r="U39" s="72">
        <f t="shared" si="19"/>
        <v>94584</v>
      </c>
      <c r="V39" s="87">
        <v>8035</v>
      </c>
      <c r="W39" s="97">
        <v>10200</v>
      </c>
      <c r="X39" s="15">
        <f t="shared" si="20"/>
        <v>-2165</v>
      </c>
      <c r="Y39" s="129">
        <f t="shared" si="21"/>
        <v>1425</v>
      </c>
      <c r="Z39" s="74">
        <f t="shared" si="22"/>
        <v>125984</v>
      </c>
      <c r="AA39" s="87">
        <v>4725</v>
      </c>
      <c r="AB39" s="87">
        <v>9200</v>
      </c>
      <c r="AC39" s="15">
        <f t="shared" si="23"/>
        <v>-4475</v>
      </c>
      <c r="AD39" s="129">
        <f t="shared" si="24"/>
        <v>2946</v>
      </c>
      <c r="AE39" s="50">
        <f t="shared" si="45"/>
        <v>157022</v>
      </c>
      <c r="AG39" s="87">
        <v>4682</v>
      </c>
      <c r="AH39" s="87">
        <v>5300</v>
      </c>
      <c r="AI39" s="15">
        <f t="shared" si="25"/>
        <v>-618</v>
      </c>
      <c r="AJ39" s="129">
        <f t="shared" si="26"/>
        <v>407</v>
      </c>
      <c r="AK39" s="50">
        <f t="shared" si="49"/>
        <v>6732</v>
      </c>
      <c r="AL39" s="87">
        <v>4257</v>
      </c>
      <c r="AM39" s="87">
        <v>0</v>
      </c>
      <c r="AN39" s="15">
        <f t="shared" si="27"/>
        <v>4257</v>
      </c>
      <c r="AO39" s="129">
        <f t="shared" si="28"/>
        <v>-2802</v>
      </c>
      <c r="AP39" s="74">
        <f t="shared" si="46"/>
        <v>-161984</v>
      </c>
      <c r="AQ39" s="87">
        <v>-269</v>
      </c>
      <c r="AR39" s="87">
        <v>-2000</v>
      </c>
      <c r="AS39" s="15">
        <f t="shared" si="29"/>
        <v>1731</v>
      </c>
      <c r="AT39" s="129">
        <f t="shared" si="30"/>
        <v>-1140</v>
      </c>
      <c r="AU39" s="87">
        <f t="shared" si="31"/>
        <v>-72664</v>
      </c>
      <c r="AV39" s="87"/>
      <c r="AW39" s="87">
        <v>1109</v>
      </c>
      <c r="AX39" s="87">
        <v>-500</v>
      </c>
      <c r="AY39" s="15">
        <f t="shared" si="32"/>
        <v>1609</v>
      </c>
      <c r="AZ39" s="129">
        <f t="shared" si="33"/>
        <v>-1059</v>
      </c>
      <c r="BA39" s="87">
        <f t="shared" si="34"/>
        <v>-53914</v>
      </c>
      <c r="BB39" s="87">
        <v>2388</v>
      </c>
      <c r="BC39" s="87">
        <v>700</v>
      </c>
      <c r="BD39" s="15">
        <f t="shared" si="35"/>
        <v>1688</v>
      </c>
      <c r="BE39" s="87">
        <f t="shared" si="36"/>
        <v>1111</v>
      </c>
      <c r="BF39" s="74">
        <f t="shared" si="50"/>
        <v>-52173</v>
      </c>
      <c r="BG39" s="91"/>
      <c r="BH39" s="87">
        <v>2518</v>
      </c>
      <c r="BI39" s="87">
        <v>1100</v>
      </c>
      <c r="BJ39" s="15">
        <f t="shared" si="37"/>
        <v>1418</v>
      </c>
      <c r="BK39" s="87">
        <f t="shared" si="38"/>
        <v>933</v>
      </c>
      <c r="BL39" s="81">
        <f t="shared" si="39"/>
        <v>-43291</v>
      </c>
      <c r="BM39" s="81"/>
      <c r="BN39" s="87">
        <v>4469</v>
      </c>
      <c r="BO39" s="87">
        <v>3100</v>
      </c>
      <c r="BP39" s="113">
        <f t="shared" si="40"/>
        <v>1369</v>
      </c>
      <c r="BQ39" s="87">
        <f t="shared" si="41"/>
        <v>901</v>
      </c>
      <c r="BR39" s="74">
        <f t="shared" si="47"/>
        <v>-54231</v>
      </c>
    </row>
    <row r="40" spans="1:70">
      <c r="A40" t="s">
        <v>73</v>
      </c>
      <c r="B40" s="24">
        <f t="shared" si="14"/>
        <v>27297</v>
      </c>
      <c r="C40" s="22">
        <f t="shared" si="12"/>
        <v>119536</v>
      </c>
      <c r="D40" s="24">
        <f t="shared" si="42"/>
        <v>-92239</v>
      </c>
      <c r="E40" s="24"/>
      <c r="F40" s="24">
        <v>1128</v>
      </c>
      <c r="G40" s="24">
        <v>1800</v>
      </c>
      <c r="H40" s="15">
        <f t="shared" si="15"/>
        <v>-672</v>
      </c>
      <c r="I40" s="12">
        <f t="shared" si="13"/>
        <v>-442</v>
      </c>
      <c r="J40" s="10">
        <f t="shared" si="16"/>
        <v>31789</v>
      </c>
      <c r="K40" s="10"/>
      <c r="L40" s="22">
        <v>1110</v>
      </c>
      <c r="M40" s="22">
        <v>1800</v>
      </c>
      <c r="N40" s="15">
        <f t="shared" si="43"/>
        <v>-690</v>
      </c>
      <c r="O40" s="12">
        <f t="shared" si="17"/>
        <v>454</v>
      </c>
      <c r="P40" s="72">
        <f t="shared" si="18"/>
        <v>30563</v>
      </c>
      <c r="Q40" s="87">
        <v>1716</v>
      </c>
      <c r="R40" s="87">
        <v>2100</v>
      </c>
      <c r="S40" s="15">
        <f t="shared" si="44"/>
        <v>-384</v>
      </c>
      <c r="T40" s="12">
        <f t="shared" si="48"/>
        <v>253</v>
      </c>
      <c r="U40" s="72">
        <f t="shared" si="19"/>
        <v>18115</v>
      </c>
      <c r="V40" s="87">
        <v>2078</v>
      </c>
      <c r="W40" s="97">
        <v>2100</v>
      </c>
      <c r="X40" s="15">
        <f t="shared" si="20"/>
        <v>-22</v>
      </c>
      <c r="Y40" s="129">
        <f t="shared" si="21"/>
        <v>14</v>
      </c>
      <c r="Z40" s="74">
        <f t="shared" si="22"/>
        <v>1238</v>
      </c>
      <c r="AA40" s="87">
        <v>5219</v>
      </c>
      <c r="AB40" s="87">
        <v>3400</v>
      </c>
      <c r="AC40" s="15">
        <f t="shared" si="23"/>
        <v>1819</v>
      </c>
      <c r="AD40" s="129">
        <f t="shared" si="24"/>
        <v>-1197</v>
      </c>
      <c r="AE40" s="50">
        <f t="shared" si="45"/>
        <v>-63800</v>
      </c>
      <c r="AG40" s="87">
        <v>5982</v>
      </c>
      <c r="AH40" s="87">
        <v>4700</v>
      </c>
      <c r="AI40" s="15">
        <f t="shared" si="25"/>
        <v>1282</v>
      </c>
      <c r="AJ40" s="129">
        <f t="shared" si="26"/>
        <v>-844</v>
      </c>
      <c r="AK40" s="50">
        <f t="shared" si="49"/>
        <v>-13960</v>
      </c>
      <c r="AL40" s="87">
        <v>4023</v>
      </c>
      <c r="AM40" s="87">
        <v>5100</v>
      </c>
      <c r="AN40" s="15">
        <f t="shared" si="27"/>
        <v>-1077</v>
      </c>
      <c r="AO40" s="129">
        <f t="shared" si="28"/>
        <v>709</v>
      </c>
      <c r="AP40" s="74">
        <f t="shared" si="46"/>
        <v>40987</v>
      </c>
      <c r="AQ40" s="87">
        <v>1935</v>
      </c>
      <c r="AR40" s="87">
        <v>3900</v>
      </c>
      <c r="AS40" s="15">
        <f t="shared" si="29"/>
        <v>-1965</v>
      </c>
      <c r="AT40" s="129">
        <f t="shared" si="30"/>
        <v>1294</v>
      </c>
      <c r="AU40" s="87">
        <f t="shared" si="31"/>
        <v>82480</v>
      </c>
      <c r="AV40" s="87"/>
      <c r="AW40" s="87">
        <v>1010</v>
      </c>
      <c r="AX40" s="87">
        <v>1700</v>
      </c>
      <c r="AY40" s="15">
        <f t="shared" si="32"/>
        <v>-690</v>
      </c>
      <c r="AZ40" s="129">
        <f t="shared" si="33"/>
        <v>454</v>
      </c>
      <c r="BA40" s="87">
        <f t="shared" si="34"/>
        <v>23113</v>
      </c>
      <c r="BB40" s="87">
        <v>909</v>
      </c>
      <c r="BC40" s="87">
        <v>2000</v>
      </c>
      <c r="BD40" s="15">
        <f t="shared" si="35"/>
        <v>-1091</v>
      </c>
      <c r="BE40" s="87">
        <f t="shared" si="36"/>
        <v>-718</v>
      </c>
      <c r="BF40" s="74">
        <f t="shared" si="50"/>
        <v>33717</v>
      </c>
      <c r="BG40" s="91"/>
      <c r="BH40" s="87">
        <v>918</v>
      </c>
      <c r="BI40" s="87">
        <v>1800</v>
      </c>
      <c r="BJ40" s="15">
        <f t="shared" si="37"/>
        <v>-882</v>
      </c>
      <c r="BK40" s="87">
        <f t="shared" si="38"/>
        <v>-581</v>
      </c>
      <c r="BL40" s="81">
        <f t="shared" si="39"/>
        <v>26958</v>
      </c>
      <c r="BM40" s="81"/>
      <c r="BN40" s="87">
        <v>541</v>
      </c>
      <c r="BO40" s="87">
        <v>1800</v>
      </c>
      <c r="BP40" s="113">
        <f t="shared" si="40"/>
        <v>-1259</v>
      </c>
      <c r="BQ40" s="87">
        <f t="shared" si="41"/>
        <v>-829</v>
      </c>
      <c r="BR40" s="74">
        <f t="shared" si="47"/>
        <v>49898</v>
      </c>
    </row>
    <row r="41" spans="1:70">
      <c r="A41" t="s">
        <v>128</v>
      </c>
      <c r="B41" s="12">
        <f t="shared" si="14"/>
        <v>79239</v>
      </c>
      <c r="C41" s="12">
        <f t="shared" si="12"/>
        <v>72636</v>
      </c>
      <c r="D41" s="24">
        <f t="shared" si="42"/>
        <v>6603</v>
      </c>
      <c r="E41" s="24"/>
      <c r="F41" s="12">
        <v>12982</v>
      </c>
      <c r="G41" s="12">
        <v>12900</v>
      </c>
      <c r="H41" s="15">
        <f t="shared" si="15"/>
        <v>82</v>
      </c>
      <c r="I41" s="12">
        <f t="shared" si="13"/>
        <v>54</v>
      </c>
      <c r="J41" s="10">
        <f t="shared" si="16"/>
        <v>-3884</v>
      </c>
      <c r="K41" s="10"/>
      <c r="L41" s="22">
        <v>12227</v>
      </c>
      <c r="M41" s="22">
        <v>12200</v>
      </c>
      <c r="N41" s="15">
        <f t="shared" si="43"/>
        <v>27</v>
      </c>
      <c r="O41" s="12">
        <f t="shared" si="17"/>
        <v>-18</v>
      </c>
      <c r="P41" s="72">
        <f t="shared" si="18"/>
        <v>-1212</v>
      </c>
      <c r="Q41" s="12">
        <v>13140</v>
      </c>
      <c r="R41" s="86">
        <v>13200</v>
      </c>
      <c r="S41" s="15">
        <f t="shared" si="44"/>
        <v>-60</v>
      </c>
      <c r="T41" s="12">
        <f t="shared" si="48"/>
        <v>39</v>
      </c>
      <c r="U41" s="72">
        <f t="shared" si="19"/>
        <v>2792</v>
      </c>
      <c r="V41" s="86">
        <v>18845</v>
      </c>
      <c r="W41" s="97">
        <v>18900</v>
      </c>
      <c r="X41" s="15">
        <f t="shared" si="20"/>
        <v>-55</v>
      </c>
      <c r="Y41" s="129">
        <f t="shared" si="21"/>
        <v>36</v>
      </c>
      <c r="Z41" s="74">
        <f t="shared" si="22"/>
        <v>3183</v>
      </c>
      <c r="AA41" s="87">
        <v>23684</v>
      </c>
      <c r="AB41" s="87">
        <v>23700</v>
      </c>
      <c r="AC41" s="15">
        <f t="shared" si="23"/>
        <v>-16</v>
      </c>
      <c r="AD41" s="129">
        <f t="shared" si="24"/>
        <v>11</v>
      </c>
      <c r="AE41" s="50">
        <f t="shared" si="45"/>
        <v>586</v>
      </c>
      <c r="AG41" s="87">
        <v>22750</v>
      </c>
      <c r="AH41" s="87">
        <v>22800</v>
      </c>
      <c r="AI41" s="15">
        <f t="shared" si="25"/>
        <v>-50</v>
      </c>
      <c r="AJ41" s="129">
        <f t="shared" si="26"/>
        <v>33</v>
      </c>
      <c r="AK41" s="50">
        <f t="shared" si="49"/>
        <v>546</v>
      </c>
      <c r="AL41" s="87">
        <v>20526</v>
      </c>
      <c r="AM41" s="87">
        <v>20500</v>
      </c>
      <c r="AN41" s="15">
        <f t="shared" si="27"/>
        <v>26</v>
      </c>
      <c r="AO41" s="129">
        <f t="shared" si="28"/>
        <v>-17</v>
      </c>
      <c r="AP41" s="74">
        <f t="shared" si="46"/>
        <v>-983</v>
      </c>
      <c r="AQ41" s="87">
        <v>14649</v>
      </c>
      <c r="AR41" s="87">
        <v>14700</v>
      </c>
      <c r="AS41" s="15">
        <f t="shared" si="29"/>
        <v>-51</v>
      </c>
      <c r="AT41" s="129">
        <f t="shared" si="30"/>
        <v>34</v>
      </c>
      <c r="AU41" s="87">
        <f t="shared" si="31"/>
        <v>2167</v>
      </c>
      <c r="AV41" s="87"/>
      <c r="AW41" s="87">
        <v>13667</v>
      </c>
      <c r="AX41" s="87">
        <v>13700</v>
      </c>
      <c r="AY41" s="15">
        <f t="shared" si="32"/>
        <v>-33</v>
      </c>
      <c r="AZ41" s="129">
        <f t="shared" si="33"/>
        <v>22</v>
      </c>
      <c r="BA41" s="87">
        <f t="shared" si="34"/>
        <v>1120</v>
      </c>
      <c r="BB41" s="87">
        <v>13947</v>
      </c>
      <c r="BC41" s="87">
        <v>13900</v>
      </c>
      <c r="BD41" s="15">
        <f t="shared" si="35"/>
        <v>47</v>
      </c>
      <c r="BE41" s="87">
        <f t="shared" si="36"/>
        <v>31</v>
      </c>
      <c r="BF41" s="74">
        <f t="shared" si="50"/>
        <v>-1456</v>
      </c>
      <c r="BG41" s="87"/>
      <c r="BH41" s="87">
        <v>13856</v>
      </c>
      <c r="BI41" s="87">
        <v>13800</v>
      </c>
      <c r="BJ41" s="15">
        <f t="shared" si="37"/>
        <v>56</v>
      </c>
      <c r="BK41" s="87">
        <f t="shared" si="38"/>
        <v>37</v>
      </c>
      <c r="BL41" s="81">
        <f t="shared" si="39"/>
        <v>-1717</v>
      </c>
      <c r="BM41" s="81"/>
      <c r="BN41" s="87">
        <v>14298</v>
      </c>
      <c r="BO41" s="87">
        <v>14300</v>
      </c>
      <c r="BP41" s="113">
        <f t="shared" si="40"/>
        <v>-2</v>
      </c>
      <c r="BQ41" s="87">
        <f t="shared" si="41"/>
        <v>-1</v>
      </c>
      <c r="BR41" s="74">
        <f t="shared" si="47"/>
        <v>60</v>
      </c>
    </row>
    <row r="42" spans="1:70">
      <c r="A42" t="s">
        <v>141</v>
      </c>
      <c r="B42" s="12">
        <f t="shared" si="14"/>
        <v>392422</v>
      </c>
      <c r="C42" s="12">
        <f t="shared" si="12"/>
        <v>1243160</v>
      </c>
      <c r="D42" s="24">
        <f t="shared" si="42"/>
        <v>-850738</v>
      </c>
      <c r="E42" s="24"/>
      <c r="F42" s="12">
        <v>0</v>
      </c>
      <c r="G42" s="12">
        <v>8500</v>
      </c>
      <c r="H42" s="15">
        <f t="shared" si="15"/>
        <v>-8500</v>
      </c>
      <c r="I42" s="12">
        <f t="shared" si="13"/>
        <v>-5596</v>
      </c>
      <c r="J42" s="10">
        <f t="shared" si="16"/>
        <v>402464</v>
      </c>
      <c r="K42" s="10"/>
      <c r="L42" s="22">
        <v>0</v>
      </c>
      <c r="M42" s="22">
        <v>7900</v>
      </c>
      <c r="N42" s="15">
        <f t="shared" si="43"/>
        <v>-7900</v>
      </c>
      <c r="O42" s="12">
        <f t="shared" si="17"/>
        <v>5201</v>
      </c>
      <c r="P42" s="72">
        <f t="shared" si="18"/>
        <v>350131</v>
      </c>
      <c r="Q42" s="12">
        <v>0</v>
      </c>
      <c r="R42" s="86">
        <v>8500</v>
      </c>
      <c r="S42" s="15">
        <f t="shared" si="44"/>
        <v>-8500</v>
      </c>
      <c r="T42" s="12">
        <f t="shared" si="48"/>
        <v>5596</v>
      </c>
      <c r="U42" s="72">
        <f t="shared" si="19"/>
        <v>400674</v>
      </c>
      <c r="V42" s="86">
        <v>0</v>
      </c>
      <c r="W42" s="97">
        <v>8200</v>
      </c>
      <c r="X42" s="15">
        <f t="shared" si="20"/>
        <v>-8200</v>
      </c>
      <c r="Y42" s="129">
        <f t="shared" si="21"/>
        <v>5398</v>
      </c>
      <c r="Z42" s="74">
        <f t="shared" si="22"/>
        <v>477237</v>
      </c>
      <c r="AA42" s="87">
        <v>0</v>
      </c>
      <c r="AB42" s="87">
        <v>8500</v>
      </c>
      <c r="AC42" s="15">
        <f t="shared" si="23"/>
        <v>-8500</v>
      </c>
      <c r="AD42" s="129">
        <f t="shared" si="24"/>
        <v>5596</v>
      </c>
      <c r="AE42" s="50">
        <f t="shared" si="45"/>
        <v>298267</v>
      </c>
      <c r="AG42" s="87">
        <v>0</v>
      </c>
      <c r="AH42" s="87">
        <v>6000</v>
      </c>
      <c r="AI42" s="15">
        <f t="shared" si="25"/>
        <v>-6000</v>
      </c>
      <c r="AJ42" s="129">
        <f t="shared" si="26"/>
        <v>3950</v>
      </c>
      <c r="AK42" s="50">
        <f t="shared" si="49"/>
        <v>65333</v>
      </c>
      <c r="AL42" s="87">
        <v>0</v>
      </c>
      <c r="AM42" s="87">
        <v>8500</v>
      </c>
      <c r="AN42" s="15">
        <f t="shared" si="27"/>
        <v>-8500</v>
      </c>
      <c r="AO42" s="129">
        <f t="shared" si="28"/>
        <v>5596</v>
      </c>
      <c r="AP42" s="74">
        <f t="shared" si="46"/>
        <v>323505</v>
      </c>
      <c r="AQ42" s="87">
        <v>0</v>
      </c>
      <c r="AR42" s="87">
        <v>8500</v>
      </c>
      <c r="AS42" s="15">
        <f t="shared" si="29"/>
        <v>-8500</v>
      </c>
      <c r="AT42" s="129">
        <f t="shared" si="30"/>
        <v>5596</v>
      </c>
      <c r="AU42" s="87">
        <f t="shared" si="31"/>
        <v>356689</v>
      </c>
      <c r="AV42" s="87"/>
      <c r="AW42" s="87">
        <v>0</v>
      </c>
      <c r="AX42" s="87">
        <v>8200</v>
      </c>
      <c r="AY42" s="15">
        <f t="shared" si="32"/>
        <v>-8200</v>
      </c>
      <c r="AZ42" s="129">
        <f t="shared" si="33"/>
        <v>5398</v>
      </c>
      <c r="BA42" s="87">
        <f t="shared" si="34"/>
        <v>274812</v>
      </c>
      <c r="BB42" s="87">
        <v>0</v>
      </c>
      <c r="BC42" s="87">
        <v>8500</v>
      </c>
      <c r="BD42" s="15">
        <f t="shared" si="35"/>
        <v>-8500</v>
      </c>
      <c r="BE42" s="87">
        <f t="shared" si="36"/>
        <v>-5596</v>
      </c>
      <c r="BF42" s="74">
        <f t="shared" si="50"/>
        <v>262788</v>
      </c>
      <c r="BG42" s="87"/>
      <c r="BH42" s="87">
        <v>0</v>
      </c>
      <c r="BI42" s="87">
        <v>8200</v>
      </c>
      <c r="BJ42" s="15">
        <f t="shared" si="37"/>
        <v>-8200</v>
      </c>
      <c r="BK42" s="87">
        <f t="shared" si="38"/>
        <v>-5398</v>
      </c>
      <c r="BL42" s="81">
        <f t="shared" si="39"/>
        <v>250467</v>
      </c>
      <c r="BM42" s="81"/>
      <c r="BN42" s="87">
        <v>0</v>
      </c>
      <c r="BO42" s="87">
        <v>8500</v>
      </c>
      <c r="BP42" s="113">
        <f t="shared" si="40"/>
        <v>-8500</v>
      </c>
      <c r="BQ42" s="87">
        <f t="shared" si="41"/>
        <v>-5596</v>
      </c>
      <c r="BR42" s="74">
        <f t="shared" si="47"/>
        <v>336823</v>
      </c>
    </row>
    <row r="43" spans="1:70">
      <c r="A43" t="s">
        <v>132</v>
      </c>
      <c r="B43" s="12">
        <f t="shared" si="14"/>
        <v>13767</v>
      </c>
      <c r="C43" s="12">
        <f t="shared" si="12"/>
        <v>24844</v>
      </c>
      <c r="D43" s="24">
        <f t="shared" si="42"/>
        <v>-11077</v>
      </c>
      <c r="E43" s="24"/>
      <c r="F43" s="12">
        <v>2667</v>
      </c>
      <c r="G43" s="12">
        <v>3200</v>
      </c>
      <c r="H43" s="15">
        <f t="shared" si="15"/>
        <v>-533</v>
      </c>
      <c r="I43" s="12">
        <f t="shared" si="13"/>
        <v>-351</v>
      </c>
      <c r="J43" s="10">
        <f t="shared" si="16"/>
        <v>25244</v>
      </c>
      <c r="K43" s="10"/>
      <c r="L43" s="22">
        <v>2710</v>
      </c>
      <c r="M43" s="63">
        <v>3000</v>
      </c>
      <c r="N43" s="15">
        <f t="shared" si="43"/>
        <v>-290</v>
      </c>
      <c r="O43" s="12">
        <f t="shared" si="17"/>
        <v>191</v>
      </c>
      <c r="P43" s="72">
        <f t="shared" si="18"/>
        <v>12858</v>
      </c>
      <c r="Q43" s="12">
        <v>3246</v>
      </c>
      <c r="R43" s="86">
        <v>3200</v>
      </c>
      <c r="S43" s="15">
        <f t="shared" si="44"/>
        <v>46</v>
      </c>
      <c r="T43" s="12">
        <f t="shared" si="48"/>
        <v>-30</v>
      </c>
      <c r="U43" s="72">
        <f t="shared" si="19"/>
        <v>-2148</v>
      </c>
      <c r="V43" s="86">
        <v>3013</v>
      </c>
      <c r="W43" s="87">
        <v>3100</v>
      </c>
      <c r="X43" s="15">
        <f t="shared" si="20"/>
        <v>-87</v>
      </c>
      <c r="Y43" s="129">
        <f t="shared" si="21"/>
        <v>57</v>
      </c>
      <c r="Z43" s="74">
        <f t="shared" si="22"/>
        <v>5039</v>
      </c>
      <c r="AA43" s="87">
        <v>3646</v>
      </c>
      <c r="AB43" s="87">
        <v>3200</v>
      </c>
      <c r="AC43" s="15">
        <f t="shared" si="23"/>
        <v>446</v>
      </c>
      <c r="AD43" s="129">
        <f t="shared" si="24"/>
        <v>-294</v>
      </c>
      <c r="AE43" s="50">
        <f t="shared" si="45"/>
        <v>-15670</v>
      </c>
      <c r="AG43" s="87">
        <v>3282</v>
      </c>
      <c r="AH43" s="87">
        <v>3100</v>
      </c>
      <c r="AI43" s="15">
        <f t="shared" si="25"/>
        <v>182</v>
      </c>
      <c r="AJ43" s="129">
        <f t="shared" si="26"/>
        <v>-120</v>
      </c>
      <c r="AK43" s="50">
        <f t="shared" si="49"/>
        <v>-1985</v>
      </c>
      <c r="AL43" s="87">
        <v>2685</v>
      </c>
      <c r="AM43" s="87">
        <v>3200</v>
      </c>
      <c r="AN43" s="15">
        <f t="shared" si="27"/>
        <v>-515</v>
      </c>
      <c r="AO43" s="129">
        <f t="shared" si="28"/>
        <v>339</v>
      </c>
      <c r="AP43" s="74">
        <f t="shared" si="46"/>
        <v>19598</v>
      </c>
      <c r="AQ43" s="87">
        <v>3427</v>
      </c>
      <c r="AR43" s="87">
        <v>3200</v>
      </c>
      <c r="AS43" s="15">
        <f t="shared" si="29"/>
        <v>227</v>
      </c>
      <c r="AT43" s="129">
        <f t="shared" si="30"/>
        <v>-149</v>
      </c>
      <c r="AU43" s="87">
        <f t="shared" si="31"/>
        <v>-9497</v>
      </c>
      <c r="AV43" s="87"/>
      <c r="AW43" s="87">
        <v>2570</v>
      </c>
      <c r="AX43" s="87">
        <v>3100</v>
      </c>
      <c r="AY43" s="15">
        <f t="shared" si="32"/>
        <v>-530</v>
      </c>
      <c r="AZ43" s="129">
        <f t="shared" si="33"/>
        <v>349</v>
      </c>
      <c r="BA43" s="87">
        <f t="shared" si="34"/>
        <v>17768</v>
      </c>
      <c r="BB43" s="87">
        <v>3625</v>
      </c>
      <c r="BC43" s="87">
        <v>3200</v>
      </c>
      <c r="BD43" s="15">
        <f t="shared" si="35"/>
        <v>425</v>
      </c>
      <c r="BE43" s="87">
        <f t="shared" si="36"/>
        <v>280</v>
      </c>
      <c r="BF43" s="74">
        <f t="shared" si="50"/>
        <v>-13149</v>
      </c>
      <c r="BG43" s="87"/>
      <c r="BH43" s="87">
        <v>3160</v>
      </c>
      <c r="BI43" s="87">
        <v>3100</v>
      </c>
      <c r="BJ43" s="15">
        <f t="shared" si="37"/>
        <v>60</v>
      </c>
      <c r="BK43" s="87">
        <f t="shared" si="38"/>
        <v>39</v>
      </c>
      <c r="BL43" s="81">
        <f t="shared" si="39"/>
        <v>-1810</v>
      </c>
      <c r="BM43" s="81"/>
      <c r="BN43" s="87">
        <v>3549</v>
      </c>
      <c r="BO43" s="87">
        <v>3200</v>
      </c>
      <c r="BP43" s="113">
        <f t="shared" si="40"/>
        <v>349</v>
      </c>
      <c r="BQ43" s="87">
        <f t="shared" si="41"/>
        <v>230</v>
      </c>
      <c r="BR43" s="74">
        <f t="shared" si="47"/>
        <v>-13844</v>
      </c>
    </row>
    <row r="44" spans="1:70">
      <c r="A44" t="s">
        <v>129</v>
      </c>
      <c r="B44" s="12">
        <f t="shared" si="14"/>
        <v>-140180</v>
      </c>
      <c r="C44" s="12">
        <f t="shared" si="12"/>
        <v>-277712</v>
      </c>
      <c r="D44" s="24">
        <f t="shared" si="42"/>
        <v>137532</v>
      </c>
      <c r="E44" s="24"/>
      <c r="F44" s="12">
        <v>6943</v>
      </c>
      <c r="G44" s="12">
        <v>6200</v>
      </c>
      <c r="H44" s="15">
        <f t="shared" si="15"/>
        <v>743</v>
      </c>
      <c r="I44" s="12">
        <f t="shared" si="13"/>
        <v>489</v>
      </c>
      <c r="J44" s="10">
        <f t="shared" si="16"/>
        <v>-35169</v>
      </c>
      <c r="K44" s="10"/>
      <c r="L44" s="22">
        <v>7619</v>
      </c>
      <c r="M44" s="63">
        <v>4400</v>
      </c>
      <c r="N44" s="15">
        <f t="shared" si="43"/>
        <v>3219</v>
      </c>
      <c r="O44" s="12">
        <f t="shared" si="17"/>
        <v>-2119</v>
      </c>
      <c r="P44" s="72">
        <f t="shared" si="18"/>
        <v>-142651</v>
      </c>
      <c r="Q44" s="12">
        <v>10000</v>
      </c>
      <c r="R44" s="86">
        <v>6300</v>
      </c>
      <c r="S44" s="15">
        <f t="shared" si="44"/>
        <v>3700</v>
      </c>
      <c r="T44" s="12">
        <f t="shared" si="48"/>
        <v>-2436</v>
      </c>
      <c r="U44" s="72">
        <f t="shared" si="19"/>
        <v>-174418</v>
      </c>
      <c r="V44" s="86">
        <v>9549</v>
      </c>
      <c r="W44" s="87">
        <v>5300</v>
      </c>
      <c r="X44" s="15">
        <f t="shared" si="20"/>
        <v>4249</v>
      </c>
      <c r="Y44" s="129">
        <f t="shared" si="21"/>
        <v>-2797</v>
      </c>
      <c r="Z44" s="74">
        <f t="shared" si="22"/>
        <v>-247283</v>
      </c>
      <c r="AA44" s="87">
        <v>7320</v>
      </c>
      <c r="AB44" s="87">
        <v>6400</v>
      </c>
      <c r="AC44" s="15">
        <f t="shared" si="23"/>
        <v>920</v>
      </c>
      <c r="AD44" s="129">
        <f t="shared" si="24"/>
        <v>-606</v>
      </c>
      <c r="AE44" s="50">
        <f>AD44*$AA$47</f>
        <v>-32300</v>
      </c>
      <c r="AG44" s="87">
        <v>9736</v>
      </c>
      <c r="AH44" s="87">
        <v>6600</v>
      </c>
      <c r="AI44" s="15">
        <f t="shared" si="25"/>
        <v>3136</v>
      </c>
      <c r="AJ44" s="129">
        <f t="shared" si="26"/>
        <v>-2064</v>
      </c>
      <c r="AK44" s="50">
        <f t="shared" si="49"/>
        <v>-34139</v>
      </c>
      <c r="AL44" s="87">
        <v>6745</v>
      </c>
      <c r="AM44" s="87">
        <v>6100</v>
      </c>
      <c r="AN44" s="15">
        <f t="shared" si="27"/>
        <v>645</v>
      </c>
      <c r="AO44" s="129">
        <f t="shared" si="28"/>
        <v>-425</v>
      </c>
      <c r="AP44" s="74">
        <f t="shared" si="46"/>
        <v>-24569</v>
      </c>
      <c r="AQ44" s="87">
        <v>6050</v>
      </c>
      <c r="AR44" s="87">
        <v>6100</v>
      </c>
      <c r="AS44" s="15">
        <f t="shared" si="29"/>
        <v>-50</v>
      </c>
      <c r="AT44" s="129">
        <f t="shared" si="30"/>
        <v>33</v>
      </c>
      <c r="AU44" s="87">
        <f t="shared" si="31"/>
        <v>2103</v>
      </c>
      <c r="AV44" s="87"/>
      <c r="AW44" s="87">
        <v>3633</v>
      </c>
      <c r="AX44" s="87">
        <v>5500</v>
      </c>
      <c r="AY44" s="15">
        <f t="shared" si="32"/>
        <v>-1867</v>
      </c>
      <c r="AZ44" s="129">
        <f t="shared" si="33"/>
        <v>1229</v>
      </c>
      <c r="BA44" s="87">
        <f t="shared" si="34"/>
        <v>62568</v>
      </c>
      <c r="BB44" s="87">
        <v>4605</v>
      </c>
      <c r="BC44" s="87">
        <v>5600</v>
      </c>
      <c r="BD44" s="15">
        <f t="shared" si="35"/>
        <v>-995</v>
      </c>
      <c r="BE44" s="87">
        <f t="shared" si="36"/>
        <v>-655</v>
      </c>
      <c r="BF44" s="74">
        <f t="shared" si="50"/>
        <v>30759</v>
      </c>
      <c r="BG44" s="87"/>
      <c r="BH44" s="87">
        <v>4901</v>
      </c>
      <c r="BI44" s="87">
        <v>6400</v>
      </c>
      <c r="BJ44" s="15">
        <f t="shared" si="37"/>
        <v>-1499</v>
      </c>
      <c r="BK44" s="87">
        <f t="shared" si="38"/>
        <v>-987</v>
      </c>
      <c r="BL44" s="81">
        <f t="shared" si="39"/>
        <v>45797</v>
      </c>
      <c r="BM44" s="81"/>
      <c r="BN44" s="87">
        <v>6276</v>
      </c>
      <c r="BO44" s="87">
        <v>2700</v>
      </c>
      <c r="BP44" s="113">
        <f t="shared" si="40"/>
        <v>3576</v>
      </c>
      <c r="BQ44" s="87">
        <f t="shared" si="41"/>
        <v>2354</v>
      </c>
      <c r="BR44" s="74">
        <f t="shared" si="47"/>
        <v>-141687</v>
      </c>
    </row>
    <row r="45" spans="1:70">
      <c r="B45" s="12"/>
      <c r="C45" s="12"/>
      <c r="D45" s="24"/>
      <c r="E45" s="24"/>
      <c r="F45" s="12"/>
      <c r="G45" s="12"/>
      <c r="H45" s="24"/>
      <c r="I45" s="12"/>
      <c r="J45" s="10"/>
      <c r="K45" s="10"/>
      <c r="L45" s="22"/>
      <c r="M45" s="63"/>
      <c r="N45" s="63"/>
      <c r="Q45" s="12"/>
      <c r="R45" s="86"/>
      <c r="S45" s="87"/>
      <c r="U45" s="86"/>
      <c r="V45" s="86"/>
      <c r="W45" s="87"/>
      <c r="Y45" s="86"/>
      <c r="Z45" s="86"/>
      <c r="AA45" s="87"/>
      <c r="AC45" s="86"/>
      <c r="AD45" s="86"/>
      <c r="AE45" s="87"/>
      <c r="AG45" s="87"/>
      <c r="AI45" s="86"/>
      <c r="AJ45" s="86"/>
      <c r="AK45" s="87"/>
      <c r="AL45" s="87"/>
      <c r="AN45" s="86"/>
      <c r="AO45" s="86"/>
      <c r="AQ45" s="87"/>
      <c r="AS45" s="86"/>
      <c r="AT45" s="86"/>
      <c r="AU45" s="86"/>
      <c r="AV45" s="87"/>
      <c r="AW45" s="87"/>
      <c r="AY45" s="86"/>
      <c r="AZ45" s="86"/>
      <c r="BA45" s="86"/>
      <c r="BB45" s="87"/>
      <c r="BD45" s="86"/>
      <c r="BE45" s="86"/>
      <c r="BF45" s="86"/>
      <c r="BG45" s="87"/>
      <c r="BH45" s="87"/>
      <c r="BJ45" s="86"/>
      <c r="BK45" s="86"/>
      <c r="BN45" s="87"/>
      <c r="BP45" s="86"/>
      <c r="BQ45" s="86"/>
    </row>
    <row r="46" spans="1:70">
      <c r="A46" t="s">
        <v>101</v>
      </c>
      <c r="C46" s="67"/>
      <c r="F46" s="67">
        <v>7.42</v>
      </c>
      <c r="G46" s="67">
        <f>G54/601188</f>
        <v>8.0960000000000001</v>
      </c>
      <c r="H46" s="78"/>
      <c r="J46" s="20"/>
      <c r="L46" s="37"/>
      <c r="M46" s="37">
        <v>7.85</v>
      </c>
      <c r="N46" s="18">
        <f>M46-L46</f>
        <v>7.85</v>
      </c>
      <c r="Q46" s="64"/>
      <c r="R46" s="98">
        <v>7.66</v>
      </c>
      <c r="S46" s="18"/>
      <c r="U46" s="99"/>
      <c r="V46" s="98">
        <v>9.7899999999999991</v>
      </c>
      <c r="W46" s="78">
        <v>7.13</v>
      </c>
      <c r="X46" s="18">
        <f>W46-V46</f>
        <v>-2.66</v>
      </c>
      <c r="Z46" s="98"/>
      <c r="AA46" s="104">
        <v>10.33</v>
      </c>
      <c r="AB46" s="78">
        <v>7.1</v>
      </c>
      <c r="AD46" s="98"/>
      <c r="AE46" s="100"/>
      <c r="AG46" s="104">
        <v>11.1</v>
      </c>
      <c r="AH46" s="78">
        <v>7.19</v>
      </c>
      <c r="AJ46" s="98"/>
      <c r="AK46" s="100"/>
      <c r="AL46" s="104">
        <v>9.35</v>
      </c>
      <c r="AM46" s="78">
        <v>7.27</v>
      </c>
      <c r="AN46" s="78">
        <f>AL46-AM46</f>
        <v>2.08</v>
      </c>
      <c r="AQ46" s="104">
        <v>8.3699999999999992</v>
      </c>
      <c r="AR46" s="78">
        <v>7.35</v>
      </c>
      <c r="AU46" s="98"/>
      <c r="AV46" s="100"/>
      <c r="AW46" s="104">
        <v>8.57</v>
      </c>
      <c r="AX46" s="78">
        <v>7.4</v>
      </c>
      <c r="AZ46" s="98"/>
      <c r="BA46" s="98"/>
      <c r="BB46" s="104">
        <v>7.93</v>
      </c>
      <c r="BC46" s="78">
        <v>7.53</v>
      </c>
      <c r="BE46" s="98"/>
      <c r="BF46" s="98"/>
      <c r="BH46" s="104">
        <v>7.8</v>
      </c>
      <c r="BI46" s="78">
        <v>7.95</v>
      </c>
      <c r="BK46" s="98"/>
      <c r="BN46" s="104">
        <v>7.76</v>
      </c>
      <c r="BO46" s="78">
        <v>8.4</v>
      </c>
      <c r="BQ46" s="98"/>
    </row>
    <row r="47" spans="1:70">
      <c r="A47" t="s">
        <v>133</v>
      </c>
      <c r="F47" s="114">
        <v>71.92</v>
      </c>
      <c r="G47" s="35">
        <v>61.59</v>
      </c>
      <c r="H47" s="37">
        <f>F47-G47</f>
        <v>10.33</v>
      </c>
      <c r="L47" s="37">
        <v>67.319999999999993</v>
      </c>
      <c r="M47" s="37">
        <v>60.86</v>
      </c>
      <c r="N47" s="37">
        <f>M47-L47</f>
        <v>-6.46</v>
      </c>
      <c r="Q47" s="117">
        <v>71.599999999999994</v>
      </c>
      <c r="R47" s="78">
        <v>60.6</v>
      </c>
      <c r="S47" s="37">
        <f>Q47-R47</f>
        <v>11</v>
      </c>
      <c r="V47" s="78">
        <v>88.41</v>
      </c>
      <c r="W47" s="78">
        <v>58.29</v>
      </c>
      <c r="X47" s="37">
        <f>W47-V47</f>
        <v>-30.12</v>
      </c>
      <c r="Z47" s="78"/>
      <c r="AA47" s="78">
        <v>53.3</v>
      </c>
      <c r="AB47" s="78">
        <v>58.58</v>
      </c>
      <c r="AC47" s="78"/>
      <c r="AD47" s="78"/>
      <c r="AE47" s="100"/>
      <c r="AG47" s="78">
        <v>16.54</v>
      </c>
      <c r="AH47" s="78">
        <v>0</v>
      </c>
      <c r="AI47" s="78"/>
      <c r="AJ47" s="78"/>
      <c r="AK47" s="100"/>
      <c r="AL47" s="78">
        <v>64.69</v>
      </c>
      <c r="AM47" s="78">
        <v>67</v>
      </c>
      <c r="AN47" s="78">
        <f>AL47-AM47</f>
        <v>-2.31</v>
      </c>
      <c r="AO47" s="78"/>
      <c r="AQ47" s="78">
        <v>63.74</v>
      </c>
      <c r="AR47" s="78">
        <v>62.11</v>
      </c>
      <c r="AS47" s="78"/>
      <c r="AT47" s="78"/>
      <c r="AU47" s="78"/>
      <c r="AV47" s="78"/>
      <c r="AW47" s="103">
        <v>50.91</v>
      </c>
      <c r="AX47" s="78">
        <v>66.52</v>
      </c>
      <c r="AY47" s="78"/>
      <c r="AZ47" s="78"/>
      <c r="BA47" s="78"/>
      <c r="BB47" s="103">
        <v>46.96</v>
      </c>
      <c r="BC47" s="78">
        <v>66.11</v>
      </c>
      <c r="BD47" s="78"/>
      <c r="BE47" s="78"/>
      <c r="BF47" s="78"/>
      <c r="BG47" s="78"/>
      <c r="BH47" s="103">
        <v>43.88</v>
      </c>
      <c r="BI47" s="78">
        <v>64.88</v>
      </c>
      <c r="BJ47" s="78"/>
      <c r="BK47" s="78"/>
      <c r="BN47" s="78">
        <v>60.19</v>
      </c>
      <c r="BO47" s="78">
        <v>66.84</v>
      </c>
      <c r="BP47" s="78"/>
      <c r="BQ47" s="78"/>
    </row>
    <row r="48" spans="1:70">
      <c r="A48" t="s">
        <v>134</v>
      </c>
      <c r="F48" s="35">
        <v>62.99</v>
      </c>
      <c r="G48" s="35">
        <v>53.25</v>
      </c>
      <c r="H48" s="37">
        <f>F48-G48</f>
        <v>9.74</v>
      </c>
      <c r="L48" s="37">
        <v>68.23</v>
      </c>
      <c r="M48" s="37">
        <v>59.41</v>
      </c>
      <c r="N48" s="37">
        <f>M48-L48</f>
        <v>-8.82</v>
      </c>
      <c r="Q48" s="117">
        <v>69.92</v>
      </c>
      <c r="R48" s="78">
        <v>53.6</v>
      </c>
      <c r="S48" s="37"/>
      <c r="V48" s="78">
        <v>82.69</v>
      </c>
      <c r="W48" s="78">
        <v>47.06</v>
      </c>
      <c r="X48" s="37">
        <f>V48-W48</f>
        <v>35.630000000000003</v>
      </c>
      <c r="Z48" s="78"/>
      <c r="AA48" s="78">
        <v>55.66</v>
      </c>
      <c r="AB48" s="78">
        <v>39.869999999999997</v>
      </c>
      <c r="AC48" s="78"/>
      <c r="AD48" s="78"/>
      <c r="AE48" s="100"/>
      <c r="AG48" s="78">
        <v>31.6</v>
      </c>
      <c r="AH48" s="78">
        <v>35.409999999999997</v>
      </c>
      <c r="AI48" s="78"/>
      <c r="AJ48" s="78"/>
      <c r="AK48" s="100"/>
      <c r="AL48" s="78">
        <v>57.81</v>
      </c>
      <c r="AM48" s="78">
        <v>49.12</v>
      </c>
      <c r="AN48" s="78">
        <f>AL48-AM48</f>
        <v>8.69</v>
      </c>
      <c r="AO48" s="78"/>
      <c r="AQ48" s="78">
        <v>66.75</v>
      </c>
      <c r="AR48" s="78">
        <v>58.13</v>
      </c>
      <c r="AS48" s="78"/>
      <c r="AT48" s="78"/>
      <c r="AU48" s="78"/>
      <c r="AV48" s="78"/>
      <c r="AW48" s="103">
        <v>55.62</v>
      </c>
      <c r="AX48" s="78">
        <v>56.27</v>
      </c>
      <c r="AY48" s="78"/>
      <c r="AZ48" s="78"/>
      <c r="BA48" s="78"/>
      <c r="BB48" s="103">
        <v>51.14</v>
      </c>
      <c r="BC48" s="78">
        <v>54.45</v>
      </c>
      <c r="BD48" s="78"/>
      <c r="BE48" s="78"/>
      <c r="BF48" s="78"/>
      <c r="BG48" s="78"/>
      <c r="BH48" s="103">
        <v>46.4</v>
      </c>
      <c r="BI48" s="78">
        <v>62.44</v>
      </c>
      <c r="BJ48" s="78"/>
      <c r="BK48" s="78"/>
      <c r="BN48" s="78">
        <v>50.2</v>
      </c>
      <c r="BO48" s="78">
        <v>66.84</v>
      </c>
      <c r="BP48" s="78"/>
      <c r="BQ48" s="78"/>
    </row>
    <row r="49" spans="1:69">
      <c r="A49" t="s">
        <v>136</v>
      </c>
      <c r="F49" s="37">
        <f>F52/F30</f>
        <v>10.33</v>
      </c>
      <c r="G49" s="37">
        <f>G52/G30</f>
        <v>8.64</v>
      </c>
      <c r="L49" s="37">
        <f>L52/L30</f>
        <v>11.33</v>
      </c>
      <c r="M49" s="37">
        <v>8.64</v>
      </c>
      <c r="Q49" s="37">
        <f>Q52/Q30</f>
        <v>10.37</v>
      </c>
      <c r="R49" s="37">
        <v>8.64</v>
      </c>
      <c r="V49" s="78">
        <f>V52/V30</f>
        <v>9.8000000000000007</v>
      </c>
      <c r="W49" s="37">
        <v>8.64</v>
      </c>
      <c r="AA49" s="78">
        <f>AA52/AA30</f>
        <v>9.1999999999999993</v>
      </c>
      <c r="AB49" s="37">
        <v>8.64</v>
      </c>
      <c r="AG49" s="78"/>
      <c r="AH49" s="37">
        <v>8.64</v>
      </c>
      <c r="AL49" s="78">
        <f>AL52/AL30</f>
        <v>10.97</v>
      </c>
      <c r="AM49" s="37">
        <v>8.64</v>
      </c>
      <c r="AN49" s="78">
        <f>AL49-AM49</f>
        <v>2.33</v>
      </c>
      <c r="AQ49" s="78"/>
      <c r="AR49" s="37">
        <v>8.64</v>
      </c>
      <c r="AW49" s="78">
        <f>AW52/AW30</f>
        <v>9.39</v>
      </c>
      <c r="AX49" s="37">
        <v>8.64</v>
      </c>
      <c r="BB49" s="78">
        <f>BB52/BB30</f>
        <v>8.32</v>
      </c>
      <c r="BC49" s="37">
        <v>8.64</v>
      </c>
      <c r="BH49" s="103">
        <f>BH52/BH30</f>
        <v>7.1</v>
      </c>
      <c r="BI49" s="37">
        <v>8.64</v>
      </c>
      <c r="BN49" s="78"/>
      <c r="BO49" s="37">
        <v>8.64</v>
      </c>
    </row>
    <row r="50" spans="1:69">
      <c r="F50" s="83" t="s">
        <v>144</v>
      </c>
      <c r="G50" s="83" t="s">
        <v>127</v>
      </c>
      <c r="H50" s="83" t="s">
        <v>120</v>
      </c>
      <c r="I50" s="84" t="s">
        <v>121</v>
      </c>
      <c r="J50" s="83" t="s">
        <v>123</v>
      </c>
      <c r="L50" s="83" t="s">
        <v>9</v>
      </c>
      <c r="M50" s="83" t="s">
        <v>127</v>
      </c>
      <c r="N50" s="83" t="s">
        <v>39</v>
      </c>
      <c r="O50" s="83" t="s">
        <v>121</v>
      </c>
      <c r="P50" s="101"/>
      <c r="Q50" s="83" t="s">
        <v>9</v>
      </c>
      <c r="R50" s="83" t="s">
        <v>127</v>
      </c>
      <c r="S50" s="83" t="s">
        <v>39</v>
      </c>
      <c r="T50" s="83" t="s">
        <v>121</v>
      </c>
      <c r="V50" s="83" t="s">
        <v>9</v>
      </c>
      <c r="W50" s="83" t="s">
        <v>127</v>
      </c>
      <c r="X50" s="83" t="s">
        <v>135</v>
      </c>
      <c r="Y50" s="83" t="s">
        <v>121</v>
      </c>
      <c r="AA50" s="83" t="s">
        <v>9</v>
      </c>
      <c r="AB50" s="83" t="s">
        <v>127</v>
      </c>
      <c r="AC50" s="83" t="s">
        <v>135</v>
      </c>
      <c r="AD50" s="83" t="s">
        <v>121</v>
      </c>
      <c r="AG50" s="83" t="s">
        <v>9</v>
      </c>
      <c r="AH50" s="83" t="s">
        <v>127</v>
      </c>
      <c r="AI50" s="83" t="s">
        <v>135</v>
      </c>
      <c r="AJ50" s="83" t="s">
        <v>121</v>
      </c>
      <c r="AL50" s="83" t="s">
        <v>9</v>
      </c>
      <c r="AM50" s="83" t="s">
        <v>127</v>
      </c>
      <c r="AN50" s="83" t="s">
        <v>135</v>
      </c>
      <c r="AO50" s="83" t="s">
        <v>121</v>
      </c>
      <c r="AQ50" s="83" t="s">
        <v>9</v>
      </c>
      <c r="AR50" s="83" t="s">
        <v>127</v>
      </c>
      <c r="AS50" s="83" t="s">
        <v>135</v>
      </c>
      <c r="AT50" s="83" t="s">
        <v>121</v>
      </c>
      <c r="AW50" s="83" t="s">
        <v>9</v>
      </c>
      <c r="AX50" s="83" t="s">
        <v>127</v>
      </c>
      <c r="AY50" s="83" t="s">
        <v>120</v>
      </c>
      <c r="AZ50" s="83" t="s">
        <v>121</v>
      </c>
      <c r="BA50" s="101"/>
      <c r="BB50" s="83" t="s">
        <v>9</v>
      </c>
      <c r="BC50" s="83" t="s">
        <v>127</v>
      </c>
      <c r="BD50" s="83" t="s">
        <v>120</v>
      </c>
      <c r="BE50" s="83" t="s">
        <v>121</v>
      </c>
      <c r="BF50" s="101"/>
      <c r="BH50" s="83" t="s">
        <v>9</v>
      </c>
      <c r="BI50" s="83" t="s">
        <v>127</v>
      </c>
      <c r="BJ50" s="83" t="s">
        <v>120</v>
      </c>
      <c r="BK50" s="83" t="s">
        <v>121</v>
      </c>
      <c r="BN50" s="83" t="s">
        <v>9</v>
      </c>
      <c r="BO50" s="83" t="s">
        <v>127</v>
      </c>
      <c r="BP50" s="83" t="s">
        <v>120</v>
      </c>
      <c r="BQ50" s="83" t="s">
        <v>121</v>
      </c>
    </row>
    <row r="51" spans="1:69" ht="14.25" customHeight="1">
      <c r="A51" t="s">
        <v>109</v>
      </c>
      <c r="F51" s="10">
        <f>872100+2012</f>
        <v>874112</v>
      </c>
      <c r="G51" s="10">
        <v>963808</v>
      </c>
      <c r="H51" s="10">
        <f>F51-G51</f>
        <v>-89696</v>
      </c>
      <c r="I51" s="10">
        <f>H51*0.6583</f>
        <v>-59047</v>
      </c>
      <c r="J51" s="20">
        <f>I51+J31</f>
        <v>114999</v>
      </c>
      <c r="L51" s="10">
        <v>925212</v>
      </c>
      <c r="M51" s="10">
        <v>909218</v>
      </c>
      <c r="N51" s="10">
        <f t="shared" ref="N51:N65" si="51">L51-M51</f>
        <v>15994</v>
      </c>
      <c r="O51" s="10">
        <f>N51*0.6583</f>
        <v>10529</v>
      </c>
      <c r="P51" s="39"/>
      <c r="Q51" s="10">
        <v>1024893</v>
      </c>
      <c r="R51" s="74">
        <v>976372</v>
      </c>
      <c r="S51" s="10">
        <f>Q51-R51</f>
        <v>48521</v>
      </c>
      <c r="T51" s="10">
        <f>S51*0.6583</f>
        <v>31941</v>
      </c>
      <c r="V51" s="74">
        <v>186627</v>
      </c>
      <c r="W51" s="74">
        <v>937983</v>
      </c>
      <c r="X51" s="10">
        <f>V51-W51</f>
        <v>-751356</v>
      </c>
      <c r="Y51" s="10">
        <f>X51*0.6583</f>
        <v>-494618</v>
      </c>
      <c r="AA51" s="74">
        <v>50016</v>
      </c>
      <c r="AB51" s="74">
        <v>70701</v>
      </c>
      <c r="AC51" s="10">
        <f>AA51-AB51</f>
        <v>-20685</v>
      </c>
      <c r="AD51" s="10">
        <f>AC51*0.6583</f>
        <v>-13617</v>
      </c>
      <c r="AG51" s="74">
        <v>-51371</v>
      </c>
      <c r="AH51" s="74">
        <v>0</v>
      </c>
      <c r="AI51" s="10">
        <f>AG51-AH51</f>
        <v>-51371</v>
      </c>
      <c r="AJ51" s="10">
        <f>AI51*0.6583</f>
        <v>-33818</v>
      </c>
      <c r="AL51" s="74">
        <v>-3169</v>
      </c>
      <c r="AM51" s="74">
        <v>907141</v>
      </c>
      <c r="AN51" s="10">
        <f>AL51-AM51</f>
        <v>-910310</v>
      </c>
      <c r="AO51" s="134">
        <f>AN51*0.6583</f>
        <v>-599257</v>
      </c>
      <c r="AQ51" s="74">
        <f>'WA Monthly'!L58+'WA Monthly'!L59</f>
        <v>714293</v>
      </c>
      <c r="AR51" s="74">
        <v>968779</v>
      </c>
      <c r="AS51" s="10">
        <f>AQ51-AR51</f>
        <v>-254486</v>
      </c>
      <c r="AT51" s="10">
        <f t="shared" ref="AT51:AT59" si="52">AS51*0.6583</f>
        <v>-167528</v>
      </c>
      <c r="AW51" s="74">
        <v>963741</v>
      </c>
      <c r="AX51" s="74">
        <v>945888</v>
      </c>
      <c r="AY51" s="10">
        <f>AW51-AX51</f>
        <v>17853</v>
      </c>
      <c r="AZ51" s="10">
        <f>AY51*0.6583</f>
        <v>11753</v>
      </c>
      <c r="BA51" s="74"/>
      <c r="BB51" s="74">
        <v>310535</v>
      </c>
      <c r="BC51" s="74">
        <v>985759</v>
      </c>
      <c r="BD51" s="10">
        <f>BB51-BC51</f>
        <v>-675224</v>
      </c>
      <c r="BE51" s="10">
        <f>BD51*0.6583</f>
        <v>-444500</v>
      </c>
      <c r="BF51" s="10"/>
      <c r="BG51" s="81"/>
      <c r="BH51" s="74">
        <v>991364</v>
      </c>
      <c r="BI51" s="74">
        <v>953961</v>
      </c>
      <c r="BJ51" s="10">
        <f>BH51-BI51</f>
        <v>37403</v>
      </c>
      <c r="BK51" s="10">
        <f>BJ51*0.6583</f>
        <v>24622</v>
      </c>
      <c r="BN51" s="74">
        <v>1496899</v>
      </c>
      <c r="BO51" s="74">
        <v>985759</v>
      </c>
      <c r="BP51" s="10">
        <f>BN51-BO51</f>
        <v>511140</v>
      </c>
      <c r="BQ51" s="10">
        <f>BP51*0.6583</f>
        <v>336483</v>
      </c>
    </row>
    <row r="52" spans="1:69">
      <c r="A52" t="s">
        <v>110</v>
      </c>
      <c r="F52" s="10">
        <v>1693941</v>
      </c>
      <c r="G52" s="10">
        <v>1338874</v>
      </c>
      <c r="H52" s="10">
        <f t="shared" ref="H52:H59" si="53">F52-G52</f>
        <v>355067</v>
      </c>
      <c r="I52" s="10">
        <f t="shared" ref="I52:I60" si="54">H52*0.6583</f>
        <v>233741</v>
      </c>
      <c r="J52" s="20">
        <f>I52+J30</f>
        <v>-193104</v>
      </c>
      <c r="L52" s="10">
        <v>1738116</v>
      </c>
      <c r="M52" s="10">
        <v>1264764</v>
      </c>
      <c r="N52" s="10">
        <f t="shared" si="51"/>
        <v>473352</v>
      </c>
      <c r="O52" s="10">
        <f t="shared" ref="O52:O75" si="55">N52*0.6583</f>
        <v>311608</v>
      </c>
      <c r="P52" s="39"/>
      <c r="Q52" s="10">
        <v>1691663</v>
      </c>
      <c r="R52" s="74">
        <v>1308319</v>
      </c>
      <c r="S52" s="10">
        <f t="shared" ref="S52:S58" si="56">Q52-R52</f>
        <v>383344</v>
      </c>
      <c r="T52" s="10">
        <f t="shared" ref="T52:T75" si="57">S52*0.6583</f>
        <v>252355</v>
      </c>
      <c r="V52" s="74">
        <v>1479583</v>
      </c>
      <c r="W52" s="74">
        <v>1077180</v>
      </c>
      <c r="X52" s="10">
        <f t="shared" ref="X52:X65" si="58">V52-W52</f>
        <v>402403</v>
      </c>
      <c r="Y52" s="10">
        <f t="shared" ref="Y52:Y75" si="59">X52*0.6583</f>
        <v>264902</v>
      </c>
      <c r="AA52" s="74">
        <v>1265176</v>
      </c>
      <c r="AB52" s="74">
        <v>886276</v>
      </c>
      <c r="AC52" s="10">
        <f t="shared" ref="AC52:AC59" si="60">AA52-AB52</f>
        <v>378900</v>
      </c>
      <c r="AD52" s="10">
        <f t="shared" ref="AD52:AD75" si="61">AC52*0.6583</f>
        <v>249430</v>
      </c>
      <c r="AG52" s="74">
        <v>784963</v>
      </c>
      <c r="AH52" s="74">
        <v>1055387</v>
      </c>
      <c r="AI52" s="10">
        <f t="shared" ref="AI52:AI66" si="62">AG52-AH52</f>
        <v>-270424</v>
      </c>
      <c r="AJ52" s="134">
        <f t="shared" ref="AJ52:AJ64" si="63">AI52*0.6583</f>
        <v>-178020</v>
      </c>
      <c r="AL52" s="74">
        <v>1541332</v>
      </c>
      <c r="AM52" s="74">
        <v>1338060</v>
      </c>
      <c r="AN52" s="10">
        <f t="shared" ref="AN52:AN59" si="64">AL52-AM52</f>
        <v>203272</v>
      </c>
      <c r="AO52" s="134">
        <f t="shared" ref="AO52:AO59" si="65">AN52*0.6583</f>
        <v>133814</v>
      </c>
      <c r="AQ52" s="74">
        <f>'WA Monthly'!L60</f>
        <v>1275042</v>
      </c>
      <c r="AR52" s="74">
        <v>1351971</v>
      </c>
      <c r="AS52" s="10">
        <f t="shared" ref="AS52:AS61" si="66">AQ52-AR52</f>
        <v>-76929</v>
      </c>
      <c r="AT52" s="10">
        <f t="shared" si="52"/>
        <v>-50642</v>
      </c>
      <c r="AW52" s="74">
        <v>1260985</v>
      </c>
      <c r="AX52" s="74">
        <v>1308376</v>
      </c>
      <c r="AY52" s="10">
        <f t="shared" ref="AY52:AY59" si="67">AW52-AX52</f>
        <v>-47391</v>
      </c>
      <c r="AZ52" s="10">
        <f t="shared" ref="AZ52:AZ75" si="68">AY52*0.6583</f>
        <v>-31197</v>
      </c>
      <c r="BA52" s="74"/>
      <c r="BB52" s="74">
        <v>1358851</v>
      </c>
      <c r="BC52" s="74">
        <v>1341037</v>
      </c>
      <c r="BD52" s="10">
        <f>BB52-BC52</f>
        <v>17814</v>
      </c>
      <c r="BE52" s="10">
        <f t="shared" ref="BE52:BE59" si="69">BD52*0.6583</f>
        <v>11727</v>
      </c>
      <c r="BF52" s="10"/>
      <c r="BG52" s="81"/>
      <c r="BH52" s="74">
        <v>1132866</v>
      </c>
      <c r="BI52" s="74">
        <v>1308376</v>
      </c>
      <c r="BJ52" s="10">
        <f t="shared" ref="BJ52:BJ59" si="70">BH52-BI52</f>
        <v>-175510</v>
      </c>
      <c r="BK52" s="10">
        <f t="shared" ref="BK52:BK59" si="71">BJ52*0.6583</f>
        <v>-115538</v>
      </c>
      <c r="BN52" s="74">
        <v>3575916</v>
      </c>
      <c r="BO52" s="74">
        <v>1330222</v>
      </c>
      <c r="BP52" s="10">
        <f t="shared" ref="BP52:BP63" si="72">BN52-BO52</f>
        <v>2245694</v>
      </c>
      <c r="BQ52" s="10">
        <f t="shared" ref="BQ52:BQ59" si="73">BP52*0.6583</f>
        <v>1478340</v>
      </c>
    </row>
    <row r="53" spans="1:69">
      <c r="A53" t="s">
        <v>114</v>
      </c>
      <c r="F53" s="15">
        <v>12803</v>
      </c>
      <c r="G53" s="74">
        <v>21500</v>
      </c>
      <c r="H53" s="10">
        <f t="shared" si="53"/>
        <v>-8697</v>
      </c>
      <c r="I53" s="10">
        <f t="shared" si="54"/>
        <v>-5725</v>
      </c>
      <c r="J53" s="20">
        <f>I53</f>
        <v>-5725</v>
      </c>
      <c r="L53" s="10">
        <v>0</v>
      </c>
      <c r="M53" s="74">
        <v>21500</v>
      </c>
      <c r="N53" s="10">
        <f t="shared" si="51"/>
        <v>-21500</v>
      </c>
      <c r="O53" s="10">
        <f t="shared" si="55"/>
        <v>-14153</v>
      </c>
      <c r="P53" s="39"/>
      <c r="Q53" s="10">
        <v>565</v>
      </c>
      <c r="R53" s="74">
        <v>21500</v>
      </c>
      <c r="S53" s="10">
        <f t="shared" si="56"/>
        <v>-20935</v>
      </c>
      <c r="T53" s="10">
        <f t="shared" si="57"/>
        <v>-13782</v>
      </c>
      <c r="V53" s="74">
        <v>9391</v>
      </c>
      <c r="W53" s="74">
        <v>21500</v>
      </c>
      <c r="X53" s="10">
        <f t="shared" si="58"/>
        <v>-12109</v>
      </c>
      <c r="Y53" s="10">
        <f t="shared" si="59"/>
        <v>-7971</v>
      </c>
      <c r="AA53" s="15">
        <v>14693</v>
      </c>
      <c r="AB53" s="74">
        <v>21500</v>
      </c>
      <c r="AC53" s="10">
        <f t="shared" si="60"/>
        <v>-6807</v>
      </c>
      <c r="AD53" s="10">
        <f t="shared" si="61"/>
        <v>-4481</v>
      </c>
      <c r="AG53" s="74">
        <v>20872</v>
      </c>
      <c r="AH53" s="74">
        <v>21500</v>
      </c>
      <c r="AI53" s="10">
        <f t="shared" si="62"/>
        <v>-628</v>
      </c>
      <c r="AJ53" s="10">
        <f t="shared" si="63"/>
        <v>-413</v>
      </c>
      <c r="AL53" s="74">
        <v>354</v>
      </c>
      <c r="AM53" s="74">
        <v>21500</v>
      </c>
      <c r="AN53" s="10">
        <f t="shared" si="64"/>
        <v>-21146</v>
      </c>
      <c r="AO53" s="10">
        <f t="shared" si="65"/>
        <v>-13920</v>
      </c>
      <c r="AQ53" s="74">
        <f>'WA Monthly'!L61</f>
        <v>104521</v>
      </c>
      <c r="AR53" s="74">
        <v>21500</v>
      </c>
      <c r="AS53" s="10">
        <f t="shared" si="66"/>
        <v>83021</v>
      </c>
      <c r="AT53" s="10">
        <f t="shared" si="52"/>
        <v>54653</v>
      </c>
      <c r="AW53" s="74">
        <v>2816</v>
      </c>
      <c r="AX53" s="74">
        <v>21500</v>
      </c>
      <c r="AY53" s="10">
        <f t="shared" si="67"/>
        <v>-18684</v>
      </c>
      <c r="AZ53" s="10">
        <f t="shared" si="68"/>
        <v>-12300</v>
      </c>
      <c r="BA53" s="74"/>
      <c r="BB53" s="74">
        <v>75164</v>
      </c>
      <c r="BC53" s="74">
        <v>21500</v>
      </c>
      <c r="BD53" s="10">
        <f t="shared" ref="BD53:BD59" si="74">BB53-BC53</f>
        <v>53664</v>
      </c>
      <c r="BE53" s="10">
        <f t="shared" si="69"/>
        <v>35327</v>
      </c>
      <c r="BF53" s="10"/>
      <c r="BG53" s="81"/>
      <c r="BH53" s="74">
        <v>2533</v>
      </c>
      <c r="BI53" s="74">
        <v>21500</v>
      </c>
      <c r="BJ53" s="10">
        <f t="shared" si="70"/>
        <v>-18967</v>
      </c>
      <c r="BK53" s="10">
        <f t="shared" si="71"/>
        <v>-12486</v>
      </c>
      <c r="BN53" s="74">
        <v>0</v>
      </c>
      <c r="BO53" s="74">
        <v>21500</v>
      </c>
      <c r="BP53" s="10">
        <f t="shared" si="72"/>
        <v>-21500</v>
      </c>
      <c r="BQ53" s="10">
        <f t="shared" si="73"/>
        <v>-14153</v>
      </c>
    </row>
    <row r="54" spans="1:69">
      <c r="A54" t="s">
        <v>111</v>
      </c>
      <c r="F54" s="10">
        <v>10182899</v>
      </c>
      <c r="G54" s="10">
        <v>4867055</v>
      </c>
      <c r="H54" s="10">
        <f t="shared" si="53"/>
        <v>5315844</v>
      </c>
      <c r="I54" s="10">
        <f t="shared" si="54"/>
        <v>3499420</v>
      </c>
      <c r="J54" s="72">
        <f>I54+J36</f>
        <v>-1322025</v>
      </c>
      <c r="L54" s="10">
        <v>10099474</v>
      </c>
      <c r="M54" s="10">
        <v>5347254</v>
      </c>
      <c r="N54" s="10">
        <f t="shared" si="51"/>
        <v>4752220</v>
      </c>
      <c r="O54" s="10">
        <f t="shared" si="55"/>
        <v>3128386</v>
      </c>
      <c r="P54" s="39"/>
      <c r="Q54" s="10">
        <v>9822823</v>
      </c>
      <c r="R54" s="74">
        <v>4986965</v>
      </c>
      <c r="S54" s="10">
        <f t="shared" si="56"/>
        <v>4835858</v>
      </c>
      <c r="T54" s="75">
        <f t="shared" si="57"/>
        <v>3183445</v>
      </c>
      <c r="V54" s="74">
        <v>6581106</v>
      </c>
      <c r="W54" s="74">
        <v>2452270</v>
      </c>
      <c r="X54" s="10">
        <f t="shared" si="58"/>
        <v>4128836</v>
      </c>
      <c r="Y54" s="10">
        <f t="shared" si="59"/>
        <v>2718013</v>
      </c>
      <c r="AA54" s="74">
        <v>3192828</v>
      </c>
      <c r="AB54" s="74">
        <v>2099641</v>
      </c>
      <c r="AC54" s="10">
        <f t="shared" si="60"/>
        <v>1093187</v>
      </c>
      <c r="AD54" s="10">
        <f t="shared" si="61"/>
        <v>719645</v>
      </c>
      <c r="AG54" s="74">
        <v>329813</v>
      </c>
      <c r="AH54" s="74">
        <v>1717818</v>
      </c>
      <c r="AI54" s="10">
        <f t="shared" si="62"/>
        <v>-1388005</v>
      </c>
      <c r="AJ54" s="134">
        <f t="shared" si="63"/>
        <v>-913724</v>
      </c>
      <c r="AL54" s="74">
        <v>6673809</v>
      </c>
      <c r="AM54" s="74">
        <v>5500834</v>
      </c>
      <c r="AN54" s="10">
        <f t="shared" si="64"/>
        <v>1172975</v>
      </c>
      <c r="AO54" s="134">
        <f t="shared" si="65"/>
        <v>772169</v>
      </c>
      <c r="AQ54" s="74">
        <v>10529339</v>
      </c>
      <c r="AR54" s="74">
        <v>7042078</v>
      </c>
      <c r="AS54" s="10">
        <f t="shared" si="66"/>
        <v>3487261</v>
      </c>
      <c r="AT54" s="10">
        <f t="shared" si="52"/>
        <v>2295664</v>
      </c>
      <c r="AW54" s="74">
        <v>10577865</v>
      </c>
      <c r="AX54" s="74">
        <v>8125040</v>
      </c>
      <c r="AY54" s="10">
        <f t="shared" si="67"/>
        <v>2452825</v>
      </c>
      <c r="AZ54" s="10">
        <f t="shared" si="68"/>
        <v>1614695</v>
      </c>
      <c r="BA54" s="74"/>
      <c r="BB54" s="74">
        <v>10488426</v>
      </c>
      <c r="BC54" s="74">
        <v>8053724</v>
      </c>
      <c r="BD54" s="10">
        <f t="shared" si="74"/>
        <v>2434702</v>
      </c>
      <c r="BE54" s="10">
        <f t="shared" si="69"/>
        <v>1602764</v>
      </c>
      <c r="BF54" s="10"/>
      <c r="BG54" s="81"/>
      <c r="BH54" s="74">
        <v>9110372</v>
      </c>
      <c r="BI54" s="74">
        <v>8545976</v>
      </c>
      <c r="BJ54" s="10">
        <f t="shared" si="70"/>
        <v>564396</v>
      </c>
      <c r="BK54" s="10">
        <f t="shared" si="71"/>
        <v>371542</v>
      </c>
      <c r="BN54" s="74">
        <v>10274415</v>
      </c>
      <c r="BO54" s="74">
        <v>8037225</v>
      </c>
      <c r="BP54" s="10">
        <f t="shared" si="72"/>
        <v>2237190</v>
      </c>
      <c r="BQ54" s="10">
        <f t="shared" si="73"/>
        <v>1472742</v>
      </c>
    </row>
    <row r="55" spans="1:69">
      <c r="A55" t="s">
        <v>117</v>
      </c>
      <c r="F55" s="10">
        <v>108578</v>
      </c>
      <c r="G55" s="10">
        <v>8912</v>
      </c>
      <c r="H55" s="10">
        <f t="shared" si="53"/>
        <v>99666</v>
      </c>
      <c r="I55" s="10">
        <f t="shared" si="54"/>
        <v>65610</v>
      </c>
      <c r="J55" s="72">
        <f>I55+J32</f>
        <v>19869</v>
      </c>
      <c r="L55" s="10">
        <v>19666</v>
      </c>
      <c r="M55" s="10">
        <v>13655</v>
      </c>
      <c r="N55" s="10">
        <f t="shared" si="51"/>
        <v>6011</v>
      </c>
      <c r="O55" s="10">
        <f t="shared" si="55"/>
        <v>3957</v>
      </c>
      <c r="P55" s="39"/>
      <c r="Q55" s="10">
        <v>19133</v>
      </c>
      <c r="R55" s="74">
        <v>7523</v>
      </c>
      <c r="S55" s="10">
        <f t="shared" si="56"/>
        <v>11610</v>
      </c>
      <c r="T55" s="10">
        <f t="shared" si="57"/>
        <v>7643</v>
      </c>
      <c r="V55" s="74">
        <v>1228</v>
      </c>
      <c r="W55" s="74">
        <v>2169</v>
      </c>
      <c r="X55" s="10">
        <f t="shared" si="58"/>
        <v>-941</v>
      </c>
      <c r="Y55" s="10">
        <f t="shared" si="59"/>
        <v>-619</v>
      </c>
      <c r="AA55" s="74">
        <v>-2347</v>
      </c>
      <c r="AB55" s="74">
        <v>1661</v>
      </c>
      <c r="AC55" s="10">
        <f t="shared" si="60"/>
        <v>-4008</v>
      </c>
      <c r="AD55" s="10">
        <f t="shared" si="61"/>
        <v>-2638</v>
      </c>
      <c r="AG55" s="74">
        <v>-3137</v>
      </c>
      <c r="AH55" s="74">
        <v>2097</v>
      </c>
      <c r="AI55" s="10">
        <f t="shared" si="62"/>
        <v>-5234</v>
      </c>
      <c r="AJ55" s="10">
        <f t="shared" si="63"/>
        <v>-3446</v>
      </c>
      <c r="AL55" s="74">
        <v>9531</v>
      </c>
      <c r="AM55" s="74">
        <v>32143</v>
      </c>
      <c r="AN55" s="10">
        <f t="shared" si="64"/>
        <v>-22612</v>
      </c>
      <c r="AO55" s="10">
        <f t="shared" si="65"/>
        <v>-14885</v>
      </c>
      <c r="AQ55" s="74">
        <f>'WA Monthly'!L75</f>
        <v>61499</v>
      </c>
      <c r="AR55" s="74">
        <v>54496</v>
      </c>
      <c r="AS55" s="10">
        <f t="shared" si="66"/>
        <v>7003</v>
      </c>
      <c r="AT55" s="10">
        <f t="shared" si="52"/>
        <v>4610</v>
      </c>
      <c r="AW55" s="74">
        <v>16920</v>
      </c>
      <c r="AX55" s="74">
        <v>58460</v>
      </c>
      <c r="AY55" s="10">
        <f t="shared" si="67"/>
        <v>-41540</v>
      </c>
      <c r="AZ55" s="10">
        <f t="shared" si="68"/>
        <v>-27346</v>
      </c>
      <c r="BA55" s="74"/>
      <c r="BB55" s="74">
        <v>-461</v>
      </c>
      <c r="BC55" s="74">
        <v>26948</v>
      </c>
      <c r="BD55" s="10">
        <f t="shared" si="74"/>
        <v>-27409</v>
      </c>
      <c r="BE55" s="10">
        <f t="shared" si="69"/>
        <v>-18043</v>
      </c>
      <c r="BF55" s="10"/>
      <c r="BG55" s="81"/>
      <c r="BH55" s="74">
        <v>-100</v>
      </c>
      <c r="BI55" s="74">
        <v>32847</v>
      </c>
      <c r="BJ55" s="10">
        <f t="shared" si="70"/>
        <v>-32947</v>
      </c>
      <c r="BK55" s="10">
        <f t="shared" si="71"/>
        <v>-21689</v>
      </c>
      <c r="BN55" s="74">
        <v>14439</v>
      </c>
      <c r="BO55" s="74">
        <v>15066</v>
      </c>
      <c r="BP55" s="10">
        <f t="shared" si="72"/>
        <v>-627</v>
      </c>
      <c r="BQ55" s="10">
        <f t="shared" si="73"/>
        <v>-413</v>
      </c>
    </row>
    <row r="56" spans="1:69">
      <c r="A56" t="s">
        <v>112</v>
      </c>
      <c r="F56" s="10">
        <v>427640</v>
      </c>
      <c r="G56" s="10">
        <v>6813</v>
      </c>
      <c r="H56" s="10">
        <f t="shared" si="53"/>
        <v>420827</v>
      </c>
      <c r="I56" s="10">
        <f t="shared" si="54"/>
        <v>277030</v>
      </c>
      <c r="J56" s="72">
        <f>I56+J35</f>
        <v>25310</v>
      </c>
      <c r="L56" s="10">
        <v>52113</v>
      </c>
      <c r="M56" s="10">
        <v>5093</v>
      </c>
      <c r="N56" s="10">
        <f t="shared" si="51"/>
        <v>47020</v>
      </c>
      <c r="O56" s="10">
        <f t="shared" si="55"/>
        <v>30953</v>
      </c>
      <c r="P56" s="39"/>
      <c r="Q56" s="10">
        <v>12878</v>
      </c>
      <c r="R56" s="74">
        <v>9304</v>
      </c>
      <c r="S56" s="10">
        <f t="shared" si="56"/>
        <v>3574</v>
      </c>
      <c r="T56" s="10">
        <f t="shared" si="57"/>
        <v>2353</v>
      </c>
      <c r="V56" s="86">
        <v>376549</v>
      </c>
      <c r="W56" s="74">
        <v>1649</v>
      </c>
      <c r="X56" s="10">
        <f t="shared" si="58"/>
        <v>374900</v>
      </c>
      <c r="Y56" s="10">
        <f t="shared" si="59"/>
        <v>246797</v>
      </c>
      <c r="AA56" s="74">
        <v>20022</v>
      </c>
      <c r="AB56" s="74">
        <v>535</v>
      </c>
      <c r="AC56" s="10">
        <f t="shared" si="60"/>
        <v>19487</v>
      </c>
      <c r="AD56" s="10">
        <f t="shared" si="61"/>
        <v>12828</v>
      </c>
      <c r="AG56" s="74">
        <v>19673</v>
      </c>
      <c r="AH56" s="74">
        <v>3735</v>
      </c>
      <c r="AI56" s="10">
        <f t="shared" si="62"/>
        <v>15938</v>
      </c>
      <c r="AJ56" s="10">
        <f t="shared" si="63"/>
        <v>10492</v>
      </c>
      <c r="AL56" s="74">
        <v>114111</v>
      </c>
      <c r="AM56" s="74">
        <v>65731</v>
      </c>
      <c r="AN56" s="10">
        <f t="shared" si="64"/>
        <v>48380</v>
      </c>
      <c r="AO56" s="10">
        <f t="shared" si="65"/>
        <v>31849</v>
      </c>
      <c r="AQ56" s="74">
        <f>'WA Monthly'!L74</f>
        <v>186465</v>
      </c>
      <c r="AR56" s="74">
        <v>104090</v>
      </c>
      <c r="AS56" s="10">
        <f t="shared" si="66"/>
        <v>82375</v>
      </c>
      <c r="AT56" s="10">
        <f t="shared" si="52"/>
        <v>54227</v>
      </c>
      <c r="AW56" s="74">
        <v>138663</v>
      </c>
      <c r="AX56" s="74">
        <v>100859</v>
      </c>
      <c r="AY56" s="10">
        <f t="shared" si="67"/>
        <v>37804</v>
      </c>
      <c r="AZ56" s="10">
        <f t="shared" si="68"/>
        <v>24886</v>
      </c>
      <c r="BA56" s="74"/>
      <c r="BB56" s="74">
        <v>28001</v>
      </c>
      <c r="BC56" s="74">
        <v>25111</v>
      </c>
      <c r="BD56" s="10">
        <f t="shared" si="74"/>
        <v>2890</v>
      </c>
      <c r="BE56" s="10">
        <f t="shared" si="69"/>
        <v>1902</v>
      </c>
      <c r="BF56" s="10"/>
      <c r="BG56" s="81"/>
      <c r="BH56" s="74">
        <v>11330</v>
      </c>
      <c r="BI56" s="74">
        <v>19231</v>
      </c>
      <c r="BJ56" s="10">
        <f t="shared" si="70"/>
        <v>-7901</v>
      </c>
      <c r="BK56" s="10">
        <f t="shared" si="71"/>
        <v>-5201</v>
      </c>
      <c r="BN56" s="74">
        <v>319156</v>
      </c>
      <c r="BO56" s="74">
        <v>6379</v>
      </c>
      <c r="BP56" s="10">
        <f t="shared" si="72"/>
        <v>312777</v>
      </c>
      <c r="BQ56" s="10">
        <f t="shared" si="73"/>
        <v>205901</v>
      </c>
    </row>
    <row r="57" spans="1:69">
      <c r="A57" t="s">
        <v>119</v>
      </c>
      <c r="F57" s="10">
        <v>160396</v>
      </c>
      <c r="G57" s="10">
        <v>4234</v>
      </c>
      <c r="H57" s="10">
        <f t="shared" si="53"/>
        <v>156162</v>
      </c>
      <c r="I57" s="10">
        <f t="shared" si="54"/>
        <v>102801</v>
      </c>
      <c r="J57" s="72">
        <f>I57+J34</f>
        <v>28651</v>
      </c>
      <c r="L57" s="10">
        <v>-493</v>
      </c>
      <c r="M57" s="10"/>
      <c r="N57" s="10">
        <f t="shared" si="51"/>
        <v>-493</v>
      </c>
      <c r="O57" s="10">
        <f t="shared" si="55"/>
        <v>-325</v>
      </c>
      <c r="P57" s="39"/>
      <c r="Q57" s="10">
        <v>-1709</v>
      </c>
      <c r="R57" s="74"/>
      <c r="S57" s="10">
        <f t="shared" si="56"/>
        <v>-1709</v>
      </c>
      <c r="T57" s="10">
        <f t="shared" si="57"/>
        <v>-1125</v>
      </c>
      <c r="V57" s="86">
        <v>-16690</v>
      </c>
      <c r="W57" s="74"/>
      <c r="X57" s="10">
        <f t="shared" si="58"/>
        <v>-16690</v>
      </c>
      <c r="Y57" s="10">
        <f t="shared" si="59"/>
        <v>-10987</v>
      </c>
      <c r="AA57" s="74">
        <v>-5531</v>
      </c>
      <c r="AB57" s="74">
        <v>0</v>
      </c>
      <c r="AC57" s="10">
        <f t="shared" si="60"/>
        <v>-5531</v>
      </c>
      <c r="AD57" s="10">
        <f t="shared" si="61"/>
        <v>-3641</v>
      </c>
      <c r="AG57" s="74">
        <v>2364</v>
      </c>
      <c r="AH57" s="74">
        <v>2279</v>
      </c>
      <c r="AI57" s="10">
        <f t="shared" si="62"/>
        <v>85</v>
      </c>
      <c r="AJ57" s="10">
        <f t="shared" si="63"/>
        <v>56</v>
      </c>
      <c r="AL57" s="74">
        <v>207422</v>
      </c>
      <c r="AM57" s="74">
        <v>70824</v>
      </c>
      <c r="AN57" s="10">
        <f t="shared" si="64"/>
        <v>136598</v>
      </c>
      <c r="AO57" s="10">
        <f t="shared" si="65"/>
        <v>89922</v>
      </c>
      <c r="AQ57" s="74">
        <f>'WA Monthly'!L78</f>
        <v>904957</v>
      </c>
      <c r="AR57" s="74">
        <v>107456</v>
      </c>
      <c r="AS57" s="10">
        <f t="shared" si="66"/>
        <v>797501</v>
      </c>
      <c r="AT57" s="10">
        <f t="shared" si="52"/>
        <v>524995</v>
      </c>
      <c r="AW57" s="74">
        <v>-26</v>
      </c>
      <c r="AX57" s="74">
        <v>61156</v>
      </c>
      <c r="AY57" s="10">
        <f t="shared" si="67"/>
        <v>-61182</v>
      </c>
      <c r="AZ57" s="10">
        <f t="shared" si="68"/>
        <v>-40276</v>
      </c>
      <c r="BA57" s="74"/>
      <c r="BB57" s="74">
        <v>29292</v>
      </c>
      <c r="BC57" s="74"/>
      <c r="BD57" s="10">
        <f t="shared" si="74"/>
        <v>29292</v>
      </c>
      <c r="BE57" s="10">
        <f t="shared" si="69"/>
        <v>19283</v>
      </c>
      <c r="BF57" s="10"/>
      <c r="BG57" s="81"/>
      <c r="BH57" s="74">
        <v>804</v>
      </c>
      <c r="BI57" s="74">
        <v>2506</v>
      </c>
      <c r="BJ57" s="10">
        <f t="shared" si="70"/>
        <v>-1702</v>
      </c>
      <c r="BK57" s="10">
        <f t="shared" si="71"/>
        <v>-1120</v>
      </c>
      <c r="BN57" s="74">
        <v>953206</v>
      </c>
      <c r="BO57" s="74">
        <v>0</v>
      </c>
      <c r="BP57" s="10">
        <f t="shared" si="72"/>
        <v>953206</v>
      </c>
      <c r="BQ57" s="10">
        <f t="shared" si="73"/>
        <v>627496</v>
      </c>
    </row>
    <row r="58" spans="1:69">
      <c r="A58" t="s">
        <v>142</v>
      </c>
      <c r="F58" s="10">
        <v>3168</v>
      </c>
      <c r="G58" s="10">
        <v>0</v>
      </c>
      <c r="H58" s="10">
        <f t="shared" si="53"/>
        <v>3168</v>
      </c>
      <c r="I58" s="10">
        <f t="shared" si="54"/>
        <v>2085</v>
      </c>
      <c r="J58" s="72">
        <f>I58+J33</f>
        <v>647</v>
      </c>
      <c r="L58" s="10">
        <v>60320</v>
      </c>
      <c r="M58" s="10"/>
      <c r="N58" s="10">
        <f t="shared" si="51"/>
        <v>60320</v>
      </c>
      <c r="O58" s="10">
        <f t="shared" si="55"/>
        <v>39709</v>
      </c>
      <c r="P58" s="39"/>
      <c r="Q58" s="10">
        <v>402</v>
      </c>
      <c r="R58" s="74"/>
      <c r="S58" s="10">
        <f t="shared" si="56"/>
        <v>402</v>
      </c>
      <c r="T58" s="10">
        <f t="shared" si="57"/>
        <v>265</v>
      </c>
      <c r="V58" s="74">
        <v>6633</v>
      </c>
      <c r="W58" s="74"/>
      <c r="X58" s="10">
        <f t="shared" si="58"/>
        <v>6633</v>
      </c>
      <c r="Y58" s="10">
        <f t="shared" si="59"/>
        <v>4367</v>
      </c>
      <c r="AA58" s="74">
        <v>83109</v>
      </c>
      <c r="AB58" s="74">
        <v>0</v>
      </c>
      <c r="AC58" s="10">
        <f t="shared" si="60"/>
        <v>83109</v>
      </c>
      <c r="AD58" s="10">
        <f t="shared" si="61"/>
        <v>54711</v>
      </c>
      <c r="AG58" s="74">
        <v>116</v>
      </c>
      <c r="AH58" s="74">
        <v>0</v>
      </c>
      <c r="AI58" s="10">
        <f t="shared" si="62"/>
        <v>116</v>
      </c>
      <c r="AJ58" s="10">
        <f t="shared" si="63"/>
        <v>76</v>
      </c>
      <c r="AL58" s="74">
        <v>-351</v>
      </c>
      <c r="AM58" s="74">
        <v>10548</v>
      </c>
      <c r="AN58" s="10">
        <f t="shared" si="64"/>
        <v>-10899</v>
      </c>
      <c r="AO58" s="10">
        <f t="shared" si="65"/>
        <v>-7175</v>
      </c>
      <c r="AQ58" s="74">
        <f>'WA Monthly'!L73</f>
        <v>1328</v>
      </c>
      <c r="AR58" s="74">
        <v>14925</v>
      </c>
      <c r="AS58" s="10">
        <f t="shared" si="66"/>
        <v>-13597</v>
      </c>
      <c r="AT58" s="10">
        <f t="shared" si="52"/>
        <v>-8951</v>
      </c>
      <c r="AW58" s="74">
        <v>153</v>
      </c>
      <c r="AX58" s="74">
        <v>5433</v>
      </c>
      <c r="AY58" s="10">
        <f t="shared" si="67"/>
        <v>-5280</v>
      </c>
      <c r="AZ58" s="10">
        <f t="shared" si="68"/>
        <v>-3476</v>
      </c>
      <c r="BA58" s="74"/>
      <c r="BB58" s="74">
        <v>-648</v>
      </c>
      <c r="BC58" s="74"/>
      <c r="BD58" s="10">
        <f t="shared" si="74"/>
        <v>-648</v>
      </c>
      <c r="BE58" s="10">
        <f t="shared" si="69"/>
        <v>-427</v>
      </c>
      <c r="BF58" s="10"/>
      <c r="BG58" s="81"/>
      <c r="BH58" s="74">
        <v>-141</v>
      </c>
      <c r="BI58" s="74"/>
      <c r="BJ58" s="10">
        <f t="shared" si="70"/>
        <v>-141</v>
      </c>
      <c r="BK58" s="10">
        <f t="shared" si="71"/>
        <v>-93</v>
      </c>
      <c r="BN58" s="74"/>
      <c r="BO58" s="74"/>
      <c r="BP58" s="10"/>
      <c r="BQ58" s="10"/>
    </row>
    <row r="59" spans="1:69">
      <c r="A59" t="s">
        <v>113</v>
      </c>
      <c r="F59" s="10">
        <v>674872</v>
      </c>
      <c r="G59" s="10">
        <v>613583</v>
      </c>
      <c r="H59" s="10">
        <f t="shared" si="53"/>
        <v>61289</v>
      </c>
      <c r="I59" s="10">
        <f t="shared" si="54"/>
        <v>40347</v>
      </c>
      <c r="J59" s="72">
        <f>I59</f>
        <v>40347</v>
      </c>
      <c r="L59" s="10">
        <v>635455</v>
      </c>
      <c r="M59" s="10">
        <v>613583</v>
      </c>
      <c r="N59" s="10">
        <f t="shared" si="51"/>
        <v>21872</v>
      </c>
      <c r="O59" s="10">
        <f t="shared" si="55"/>
        <v>14398</v>
      </c>
      <c r="P59" s="39"/>
      <c r="Q59" s="10">
        <v>-457063</v>
      </c>
      <c r="R59" s="10">
        <v>613583</v>
      </c>
      <c r="S59" s="10">
        <f t="shared" ref="S59:S65" si="75">Q59-R59</f>
        <v>-1070646</v>
      </c>
      <c r="T59" s="75">
        <f>S59*0.6583</f>
        <v>-704806</v>
      </c>
      <c r="V59" s="74">
        <v>549830</v>
      </c>
      <c r="W59" s="10">
        <v>613583</v>
      </c>
      <c r="X59" s="10">
        <f t="shared" si="58"/>
        <v>-63753</v>
      </c>
      <c r="Y59" s="10">
        <f t="shared" si="59"/>
        <v>-41969</v>
      </c>
      <c r="AA59" s="74">
        <v>414552</v>
      </c>
      <c r="AB59" s="10">
        <v>613583</v>
      </c>
      <c r="AC59" s="10">
        <f t="shared" si="60"/>
        <v>-199031</v>
      </c>
      <c r="AD59" s="10">
        <f t="shared" si="61"/>
        <v>-131022</v>
      </c>
      <c r="AG59" s="74">
        <v>428074</v>
      </c>
      <c r="AH59" s="10">
        <v>613583</v>
      </c>
      <c r="AI59" s="10">
        <f t="shared" si="62"/>
        <v>-185509</v>
      </c>
      <c r="AJ59" s="134">
        <f t="shared" si="63"/>
        <v>-122121</v>
      </c>
      <c r="AL59" s="74">
        <v>578512</v>
      </c>
      <c r="AM59" s="10">
        <v>613583</v>
      </c>
      <c r="AN59" s="10">
        <f t="shared" si="64"/>
        <v>-35071</v>
      </c>
      <c r="AO59" s="10">
        <f t="shared" si="65"/>
        <v>-23087</v>
      </c>
      <c r="AQ59" s="74">
        <v>581452</v>
      </c>
      <c r="AR59" s="10">
        <v>613583</v>
      </c>
      <c r="AS59" s="10">
        <f t="shared" si="66"/>
        <v>-32131</v>
      </c>
      <c r="AT59" s="10">
        <f t="shared" si="52"/>
        <v>-21152</v>
      </c>
      <c r="AW59" s="74">
        <v>531666</v>
      </c>
      <c r="AX59" s="10">
        <v>613583</v>
      </c>
      <c r="AY59" s="10">
        <f t="shared" si="67"/>
        <v>-81917</v>
      </c>
      <c r="AZ59" s="10">
        <f t="shared" si="68"/>
        <v>-53926</v>
      </c>
      <c r="BA59" s="74"/>
      <c r="BB59" s="74">
        <v>494711</v>
      </c>
      <c r="BC59" s="10">
        <v>613583</v>
      </c>
      <c r="BD59" s="10">
        <f t="shared" si="74"/>
        <v>-118872</v>
      </c>
      <c r="BE59" s="10">
        <f t="shared" si="69"/>
        <v>-78253</v>
      </c>
      <c r="BF59" s="10"/>
      <c r="BG59" s="81"/>
      <c r="BH59" s="74">
        <v>551310</v>
      </c>
      <c r="BI59" s="10">
        <v>613583</v>
      </c>
      <c r="BJ59" s="10">
        <f t="shared" si="70"/>
        <v>-62273</v>
      </c>
      <c r="BK59" s="10">
        <f t="shared" si="71"/>
        <v>-40994</v>
      </c>
      <c r="BN59" s="74">
        <v>597647</v>
      </c>
      <c r="BO59" s="10">
        <v>613583</v>
      </c>
      <c r="BP59" s="10">
        <f t="shared" si="72"/>
        <v>-15936</v>
      </c>
      <c r="BQ59" s="10">
        <f t="shared" si="73"/>
        <v>-10491</v>
      </c>
    </row>
    <row r="60" spans="1:69">
      <c r="A60" s="71" t="s">
        <v>145</v>
      </c>
      <c r="F60" s="10">
        <f>428571-308207</f>
        <v>120364</v>
      </c>
      <c r="G60" s="10"/>
      <c r="H60" s="10">
        <f t="shared" ref="H60:H65" si="76">F60-G60</f>
        <v>120364</v>
      </c>
      <c r="I60" s="10">
        <f t="shared" si="54"/>
        <v>79236</v>
      </c>
      <c r="N60" s="20"/>
      <c r="O60" s="10"/>
      <c r="P60" s="39"/>
      <c r="Q60" s="10">
        <f>237071-227772</f>
        <v>9299</v>
      </c>
      <c r="R60" s="74"/>
      <c r="S60" s="10">
        <f t="shared" si="75"/>
        <v>9299</v>
      </c>
      <c r="T60" s="39">
        <f>S60*0.6583</f>
        <v>6122</v>
      </c>
      <c r="W60" s="74"/>
      <c r="X60" s="10">
        <f t="shared" si="58"/>
        <v>0</v>
      </c>
      <c r="Y60" s="10">
        <f t="shared" si="59"/>
        <v>0</v>
      </c>
      <c r="AA60" s="74"/>
      <c r="AC60" s="10">
        <f t="shared" ref="AC60:AC72" si="77">AA60-AB60</f>
        <v>0</v>
      </c>
      <c r="AD60" s="10">
        <f t="shared" si="61"/>
        <v>0</v>
      </c>
      <c r="AG60" s="74"/>
      <c r="AI60" s="10">
        <f t="shared" si="62"/>
        <v>0</v>
      </c>
      <c r="AJ60" s="10">
        <f t="shared" si="63"/>
        <v>0</v>
      </c>
      <c r="AL60" s="74"/>
      <c r="AN60" s="20"/>
      <c r="AO60" s="20"/>
      <c r="AQ60" s="74"/>
      <c r="AS60" s="20"/>
      <c r="AT60" s="20"/>
      <c r="AU60" s="10"/>
      <c r="AW60" s="74"/>
      <c r="AY60" s="20">
        <f>-AY29*AW47</f>
        <v>-1101540</v>
      </c>
      <c r="AZ60" s="10">
        <f t="shared" si="68"/>
        <v>-725144</v>
      </c>
      <c r="BA60" s="82"/>
      <c r="BB60" s="74"/>
      <c r="BD60" s="20"/>
      <c r="BE60" s="10"/>
      <c r="BF60" s="10"/>
      <c r="BG60" s="81"/>
      <c r="BH60" s="74"/>
      <c r="BJ60" s="10"/>
      <c r="BK60" s="10"/>
      <c r="BN60" s="74"/>
      <c r="BP60" s="20"/>
      <c r="BQ60" s="10"/>
    </row>
    <row r="61" spans="1:69">
      <c r="A61" s="71" t="s">
        <v>147</v>
      </c>
      <c r="F61" s="10">
        <v>79209</v>
      </c>
      <c r="G61" s="10">
        <v>121900</v>
      </c>
      <c r="H61" s="10">
        <f t="shared" si="76"/>
        <v>-42691</v>
      </c>
      <c r="I61" s="10">
        <f t="shared" ref="I61:I69" si="78">H61*0.6583</f>
        <v>-28103</v>
      </c>
      <c r="J61" s="20">
        <f>I61+J38</f>
        <v>1168</v>
      </c>
      <c r="L61" s="10">
        <v>116287</v>
      </c>
      <c r="M61" s="10">
        <v>127000</v>
      </c>
      <c r="N61" s="10">
        <f t="shared" si="51"/>
        <v>-10713</v>
      </c>
      <c r="O61" s="10">
        <f t="shared" si="55"/>
        <v>-7052</v>
      </c>
      <c r="P61" s="39"/>
      <c r="Q61" s="10">
        <v>142816</v>
      </c>
      <c r="R61" s="74">
        <v>125400</v>
      </c>
      <c r="S61" s="20">
        <f t="shared" si="75"/>
        <v>17416</v>
      </c>
      <c r="T61" s="10">
        <f t="shared" si="57"/>
        <v>11465</v>
      </c>
      <c r="V61" s="73">
        <v>135435</v>
      </c>
      <c r="W61" s="74">
        <v>130000</v>
      </c>
      <c r="X61" s="10">
        <f t="shared" si="58"/>
        <v>5435</v>
      </c>
      <c r="Y61" s="10"/>
      <c r="AA61" s="74">
        <v>127086</v>
      </c>
      <c r="AB61" s="74">
        <v>114400</v>
      </c>
      <c r="AC61" s="10">
        <f t="shared" si="77"/>
        <v>12686</v>
      </c>
      <c r="AD61" s="10">
        <f t="shared" si="61"/>
        <v>8351</v>
      </c>
      <c r="AG61" s="74">
        <v>132277</v>
      </c>
      <c r="AH61" s="74">
        <v>117100</v>
      </c>
      <c r="AI61" s="10">
        <f t="shared" si="62"/>
        <v>15177</v>
      </c>
      <c r="AJ61" s="10">
        <f t="shared" si="63"/>
        <v>9991</v>
      </c>
      <c r="AL61" s="74">
        <v>103154</v>
      </c>
      <c r="AM61" s="74">
        <v>92600</v>
      </c>
      <c r="AN61" s="20">
        <f>AL61-AM61</f>
        <v>10554</v>
      </c>
      <c r="AO61" s="20">
        <f>AN61*0.6583</f>
        <v>6948</v>
      </c>
      <c r="AQ61" s="74">
        <f>'WA Monthly'!L14</f>
        <v>71032</v>
      </c>
      <c r="AR61" s="74">
        <v>44300</v>
      </c>
      <c r="AS61" s="10">
        <f t="shared" si="66"/>
        <v>26732</v>
      </c>
      <c r="AT61" s="10"/>
      <c r="AU61" s="10"/>
      <c r="AW61" s="74"/>
      <c r="AY61" s="20"/>
      <c r="AZ61" s="10"/>
      <c r="BA61" s="82"/>
      <c r="BB61" s="74"/>
      <c r="BD61" s="20"/>
      <c r="BE61" s="10"/>
      <c r="BF61" s="10"/>
      <c r="BG61" s="81"/>
      <c r="BH61" s="74"/>
      <c r="BJ61" s="20"/>
      <c r="BK61" s="10"/>
      <c r="BN61" s="74">
        <v>61383</v>
      </c>
      <c r="BO61" s="74">
        <v>86700</v>
      </c>
      <c r="BP61" s="10">
        <f t="shared" si="72"/>
        <v>-25317</v>
      </c>
      <c r="BQ61" s="10">
        <f t="shared" ref="BQ61:BQ66" si="79">BP61*0.6583</f>
        <v>-16666</v>
      </c>
    </row>
    <row r="62" spans="1:69" ht="12.75" customHeight="1">
      <c r="A62" t="s">
        <v>126</v>
      </c>
      <c r="F62" s="10">
        <v>159443</v>
      </c>
      <c r="G62" s="10">
        <v>212630</v>
      </c>
      <c r="H62" s="10">
        <f t="shared" si="76"/>
        <v>-53187</v>
      </c>
      <c r="I62" s="10">
        <f t="shared" si="78"/>
        <v>-35013</v>
      </c>
      <c r="J62" s="20">
        <f>I62+J39</f>
        <v>44171</v>
      </c>
      <c r="L62" s="10">
        <v>123703</v>
      </c>
      <c r="M62" s="10">
        <v>193300</v>
      </c>
      <c r="N62" s="10">
        <f t="shared" si="51"/>
        <v>-69597</v>
      </c>
      <c r="O62" s="10">
        <f t="shared" si="55"/>
        <v>-45816</v>
      </c>
      <c r="P62" s="39"/>
      <c r="Q62" s="10"/>
      <c r="R62" s="74">
        <v>193300</v>
      </c>
      <c r="S62" s="20">
        <f t="shared" si="75"/>
        <v>-193300</v>
      </c>
      <c r="T62" s="10">
        <f t="shared" si="57"/>
        <v>-127249</v>
      </c>
      <c r="V62" s="73">
        <v>274717</v>
      </c>
      <c r="W62" s="74">
        <v>231960</v>
      </c>
      <c r="X62" s="10">
        <f t="shared" si="58"/>
        <v>42757</v>
      </c>
      <c r="Y62" s="10">
        <f t="shared" si="59"/>
        <v>28147</v>
      </c>
      <c r="AA62" s="74">
        <v>148761</v>
      </c>
      <c r="AB62" s="74">
        <v>231960</v>
      </c>
      <c r="AC62" s="10">
        <f t="shared" si="77"/>
        <v>-83199</v>
      </c>
      <c r="AD62" s="10">
        <f t="shared" si="61"/>
        <v>-54770</v>
      </c>
      <c r="AG62" s="74">
        <v>160078</v>
      </c>
      <c r="AH62" s="74">
        <v>231960</v>
      </c>
      <c r="AI62" s="10">
        <f t="shared" si="62"/>
        <v>-71882</v>
      </c>
      <c r="AJ62" s="10">
        <f t="shared" si="63"/>
        <v>-47320</v>
      </c>
      <c r="AL62" s="74">
        <v>187138</v>
      </c>
      <c r="AM62" s="74">
        <v>135310</v>
      </c>
      <c r="AN62" s="20">
        <f>AL62-AM62</f>
        <v>51828</v>
      </c>
      <c r="AO62" s="20">
        <f>AN62*0.6583</f>
        <v>34118</v>
      </c>
      <c r="AQ62" s="74">
        <f>'WA Monthly'!L16</f>
        <v>61</v>
      </c>
      <c r="AS62" s="20"/>
      <c r="AT62" s="20"/>
      <c r="AU62" s="10"/>
      <c r="AW62" s="74"/>
      <c r="AY62" s="20">
        <f>-AY24*AW47</f>
        <v>-1125518</v>
      </c>
      <c r="AZ62" s="10">
        <f t="shared" si="68"/>
        <v>-740928</v>
      </c>
      <c r="BA62" s="82"/>
      <c r="BB62" s="74"/>
      <c r="BD62" s="20"/>
      <c r="BE62" s="10"/>
      <c r="BF62" s="10"/>
      <c r="BG62" s="81"/>
      <c r="BH62" s="74"/>
      <c r="BJ62" s="20"/>
      <c r="BK62" s="10"/>
      <c r="BN62" s="74">
        <v>196457</v>
      </c>
      <c r="BO62" s="74">
        <v>231960</v>
      </c>
      <c r="BP62" s="10">
        <f t="shared" si="72"/>
        <v>-35503</v>
      </c>
      <c r="BQ62" s="10">
        <f t="shared" si="79"/>
        <v>-23372</v>
      </c>
    </row>
    <row r="63" spans="1:69">
      <c r="A63" t="s">
        <v>132</v>
      </c>
      <c r="F63" s="10">
        <v>158526</v>
      </c>
      <c r="G63" s="10">
        <v>173083</v>
      </c>
      <c r="H63" s="10">
        <f t="shared" si="76"/>
        <v>-14557</v>
      </c>
      <c r="I63" s="10">
        <f t="shared" si="78"/>
        <v>-9583</v>
      </c>
      <c r="J63" s="20">
        <f>I63+J43</f>
        <v>15661</v>
      </c>
      <c r="L63" s="10">
        <v>160952</v>
      </c>
      <c r="M63" s="10">
        <v>173083</v>
      </c>
      <c r="N63" s="10">
        <f t="shared" si="51"/>
        <v>-12131</v>
      </c>
      <c r="O63" s="10">
        <f t="shared" si="55"/>
        <v>-7986</v>
      </c>
      <c r="P63" s="39"/>
      <c r="Q63" s="10"/>
      <c r="R63" s="74">
        <v>173083</v>
      </c>
      <c r="S63" s="20">
        <f t="shared" si="75"/>
        <v>-173083</v>
      </c>
      <c r="T63" s="10">
        <f t="shared" si="57"/>
        <v>-113941</v>
      </c>
      <c r="V63" s="73">
        <v>139267</v>
      </c>
      <c r="W63" s="74">
        <v>173083</v>
      </c>
      <c r="X63" s="10">
        <f t="shared" si="58"/>
        <v>-33816</v>
      </c>
      <c r="Y63" s="10">
        <f t="shared" si="59"/>
        <v>-22261</v>
      </c>
      <c r="AA63" s="74">
        <v>158548</v>
      </c>
      <c r="AB63" s="74">
        <v>173083</v>
      </c>
      <c r="AC63" s="10">
        <f t="shared" si="77"/>
        <v>-14535</v>
      </c>
      <c r="AD63" s="10">
        <f t="shared" si="61"/>
        <v>-9568</v>
      </c>
      <c r="AG63" s="74">
        <v>151527</v>
      </c>
      <c r="AH63" s="74">
        <v>173083</v>
      </c>
      <c r="AI63" s="10">
        <f t="shared" si="62"/>
        <v>-21556</v>
      </c>
      <c r="AJ63" s="10">
        <f t="shared" si="63"/>
        <v>-14190</v>
      </c>
      <c r="AL63" s="74">
        <v>157286</v>
      </c>
      <c r="AM63" s="74">
        <v>173083</v>
      </c>
      <c r="AN63" s="20">
        <f>AL63-AM63</f>
        <v>-15797</v>
      </c>
      <c r="AO63" s="20">
        <f>AN63*0.6583</f>
        <v>-10399</v>
      </c>
      <c r="AQ63" s="74">
        <f>'WA Monthly'!L15</f>
        <v>124688</v>
      </c>
      <c r="AR63" s="74">
        <v>173083</v>
      </c>
      <c r="AS63" s="20"/>
      <c r="AT63" s="20"/>
      <c r="AU63" s="10"/>
      <c r="AW63" s="74"/>
      <c r="AY63" s="20">
        <f>-AY31*AW47</f>
        <v>988010</v>
      </c>
      <c r="AZ63" s="10">
        <f t="shared" si="68"/>
        <v>650407</v>
      </c>
      <c r="BA63" s="74"/>
      <c r="BB63" s="74"/>
      <c r="BD63" s="20"/>
      <c r="BE63" s="10"/>
      <c r="BF63" s="10"/>
      <c r="BG63" s="81"/>
      <c r="BH63" s="74"/>
      <c r="BJ63" s="20"/>
      <c r="BK63" s="10"/>
      <c r="BN63" s="74">
        <v>207071</v>
      </c>
      <c r="BO63" s="74">
        <v>173083</v>
      </c>
      <c r="BP63" s="10">
        <f t="shared" si="72"/>
        <v>33988</v>
      </c>
      <c r="BQ63" s="10">
        <f t="shared" si="79"/>
        <v>22374</v>
      </c>
    </row>
    <row r="64" spans="1:69">
      <c r="A64" t="s">
        <v>161</v>
      </c>
      <c r="F64" s="10">
        <v>-615229</v>
      </c>
      <c r="G64" s="10"/>
      <c r="H64" s="10">
        <f t="shared" si="76"/>
        <v>-615229</v>
      </c>
      <c r="I64" s="10">
        <f t="shared" si="78"/>
        <v>-405005</v>
      </c>
      <c r="L64" s="10">
        <v>158623</v>
      </c>
      <c r="M64" s="10">
        <v>0</v>
      </c>
      <c r="N64" s="10">
        <f t="shared" si="51"/>
        <v>158623</v>
      </c>
      <c r="O64" s="10">
        <f t="shared" si="55"/>
        <v>104422</v>
      </c>
      <c r="P64" s="39"/>
      <c r="Q64" s="10"/>
      <c r="R64" s="74"/>
      <c r="S64" s="20">
        <f t="shared" si="75"/>
        <v>0</v>
      </c>
      <c r="T64" s="10">
        <f t="shared" si="57"/>
        <v>0</v>
      </c>
      <c r="V64" s="73">
        <v>-117691</v>
      </c>
      <c r="W64" s="74"/>
      <c r="X64" s="10">
        <f t="shared" si="58"/>
        <v>-117691</v>
      </c>
      <c r="Y64" s="10">
        <f t="shared" si="59"/>
        <v>-77476</v>
      </c>
      <c r="AA64" s="74">
        <v>207930</v>
      </c>
      <c r="AC64" s="10">
        <f t="shared" si="77"/>
        <v>207930</v>
      </c>
      <c r="AD64" s="10">
        <f t="shared" si="61"/>
        <v>136880</v>
      </c>
      <c r="AG64" s="74">
        <v>-80024</v>
      </c>
      <c r="AH64" s="74">
        <v>0</v>
      </c>
      <c r="AI64" s="10">
        <f t="shared" si="62"/>
        <v>-80024</v>
      </c>
      <c r="AJ64" s="10">
        <f t="shared" si="63"/>
        <v>-52680</v>
      </c>
      <c r="AL64" s="74"/>
      <c r="AN64" s="20"/>
      <c r="AO64" s="20"/>
      <c r="AQ64" s="74">
        <f>'WA Monthly'!L22</f>
        <v>25950</v>
      </c>
      <c r="AR64" s="73">
        <v>0</v>
      </c>
      <c r="AS64" s="20"/>
      <c r="AT64" s="20"/>
      <c r="AU64" s="10"/>
      <c r="AW64" s="74"/>
      <c r="AY64" s="20">
        <f>-AY30*AW47</f>
        <v>874277</v>
      </c>
      <c r="AZ64" s="10">
        <f t="shared" si="68"/>
        <v>575537</v>
      </c>
      <c r="BA64" s="74"/>
      <c r="BB64" s="74">
        <v>491463</v>
      </c>
      <c r="BC64" s="73">
        <v>0</v>
      </c>
      <c r="BD64" s="20">
        <f>BB64-BC64</f>
        <v>491463</v>
      </c>
      <c r="BE64" s="10">
        <f>BD64*0.6583</f>
        <v>323530</v>
      </c>
      <c r="BF64" s="10"/>
      <c r="BG64" s="81"/>
      <c r="BH64" s="74">
        <v>479728</v>
      </c>
      <c r="BJ64" s="20">
        <f>BH64-BI64</f>
        <v>479728</v>
      </c>
      <c r="BK64" s="10">
        <f>BJ64*0.6583</f>
        <v>315805</v>
      </c>
      <c r="BN64" s="74">
        <v>397652</v>
      </c>
      <c r="BO64" s="74">
        <v>0</v>
      </c>
      <c r="BP64" s="20">
        <f>BN64-BO64</f>
        <v>397652</v>
      </c>
      <c r="BQ64" s="10">
        <f t="shared" si="79"/>
        <v>261774</v>
      </c>
    </row>
    <row r="65" spans="1:69">
      <c r="A65" t="s">
        <v>146</v>
      </c>
      <c r="F65" s="10">
        <f>192200+65000</f>
        <v>257200</v>
      </c>
      <c r="G65" s="10">
        <v>0</v>
      </c>
      <c r="H65" s="10">
        <f t="shared" si="76"/>
        <v>257200</v>
      </c>
      <c r="I65" s="10">
        <f t="shared" si="78"/>
        <v>169315</v>
      </c>
      <c r="L65" s="10">
        <f>173600+65000</f>
        <v>238600</v>
      </c>
      <c r="M65" s="10"/>
      <c r="N65" s="10">
        <f t="shared" si="51"/>
        <v>238600</v>
      </c>
      <c r="O65" s="10">
        <f t="shared" si="55"/>
        <v>157070</v>
      </c>
      <c r="P65" s="39"/>
      <c r="Q65" s="10">
        <f>192200+130000</f>
        <v>322200</v>
      </c>
      <c r="R65" s="74"/>
      <c r="S65" s="20">
        <f t="shared" si="75"/>
        <v>322200</v>
      </c>
      <c r="T65" s="10">
        <f t="shared" si="57"/>
        <v>212104</v>
      </c>
      <c r="V65" s="73">
        <v>162500</v>
      </c>
      <c r="W65" s="74"/>
      <c r="X65" s="10">
        <f t="shared" si="58"/>
        <v>162500</v>
      </c>
      <c r="Y65" s="10">
        <f t="shared" si="59"/>
        <v>106974</v>
      </c>
      <c r="AA65" s="74">
        <v>162500</v>
      </c>
      <c r="AB65" s="73">
        <v>0</v>
      </c>
      <c r="AC65" s="10">
        <f t="shared" si="77"/>
        <v>162500</v>
      </c>
      <c r="AD65" s="10">
        <f t="shared" si="61"/>
        <v>106974</v>
      </c>
      <c r="AG65" s="74">
        <v>195000</v>
      </c>
      <c r="AI65" s="10">
        <f t="shared" si="62"/>
        <v>195000</v>
      </c>
      <c r="AJ65" s="10">
        <f t="shared" ref="AJ65:AJ75" si="80">AI65*0.6583</f>
        <v>128369</v>
      </c>
      <c r="AL65" s="74">
        <f>192200+195000</f>
        <v>387200</v>
      </c>
      <c r="AN65" s="20">
        <f>AL65-AM65</f>
        <v>387200</v>
      </c>
      <c r="AO65" s="20">
        <f>AN65*0.6583</f>
        <v>254894</v>
      </c>
      <c r="AQ65" s="74" t="e">
        <f>'WA Monthly'!#REF!+'WA Monthly'!#REF!</f>
        <v>#REF!</v>
      </c>
      <c r="AR65" s="74">
        <v>0</v>
      </c>
      <c r="AS65" s="20"/>
      <c r="AT65" s="20"/>
      <c r="AU65" s="10"/>
      <c r="AW65" s="74"/>
      <c r="AY65" s="20">
        <f>-AY36*AW47</f>
        <v>-1068805</v>
      </c>
      <c r="AZ65" s="10">
        <f t="shared" si="68"/>
        <v>-703594</v>
      </c>
      <c r="BA65" s="74"/>
      <c r="BB65" s="74"/>
      <c r="BD65" s="20"/>
      <c r="BE65" s="10"/>
      <c r="BF65" s="10"/>
      <c r="BG65" s="81"/>
      <c r="BH65" s="74"/>
      <c r="BJ65" s="20"/>
      <c r="BK65" s="10">
        <f>BJ65*0.6583</f>
        <v>0</v>
      </c>
      <c r="BN65" s="74">
        <f>192200+48750</f>
        <v>240950</v>
      </c>
      <c r="BO65" s="74">
        <v>29269</v>
      </c>
      <c r="BP65" s="20">
        <f>BN65-BO65</f>
        <v>211681</v>
      </c>
      <c r="BQ65" s="10">
        <f t="shared" si="79"/>
        <v>139350</v>
      </c>
    </row>
    <row r="66" spans="1:69">
      <c r="A66" t="s">
        <v>131</v>
      </c>
      <c r="F66" s="10">
        <v>625799</v>
      </c>
      <c r="G66" s="10">
        <v>506083</v>
      </c>
      <c r="H66" s="10">
        <f>G66-F66</f>
        <v>-119716</v>
      </c>
      <c r="I66" s="10">
        <f t="shared" si="78"/>
        <v>-78809</v>
      </c>
      <c r="J66" s="10"/>
      <c r="L66" s="10">
        <v>569909</v>
      </c>
      <c r="M66" s="10">
        <v>506083</v>
      </c>
      <c r="N66" s="10">
        <f>L66-M66</f>
        <v>63826</v>
      </c>
      <c r="O66" s="10">
        <f t="shared" si="55"/>
        <v>42017</v>
      </c>
      <c r="P66" s="39"/>
      <c r="Q66" s="10">
        <v>642980</v>
      </c>
      <c r="R66" s="10">
        <v>506083</v>
      </c>
      <c r="S66" s="20">
        <f>R66-Q66</f>
        <v>-136897</v>
      </c>
      <c r="T66" s="10">
        <f t="shared" si="57"/>
        <v>-90119</v>
      </c>
      <c r="W66" s="10">
        <v>506083</v>
      </c>
      <c r="X66" s="20"/>
      <c r="Y66" s="10">
        <f t="shared" si="59"/>
        <v>0</v>
      </c>
      <c r="AA66" s="74">
        <v>1282734</v>
      </c>
      <c r="AB66" s="10">
        <v>506083</v>
      </c>
      <c r="AC66" s="10">
        <f>AB66-AA66</f>
        <v>-776651</v>
      </c>
      <c r="AD66" s="10">
        <f t="shared" si="61"/>
        <v>-511269</v>
      </c>
      <c r="AE66" s="73" t="s">
        <v>155</v>
      </c>
      <c r="AG66" s="74">
        <v>2640600</v>
      </c>
      <c r="AH66" s="10">
        <v>506083</v>
      </c>
      <c r="AI66" s="10">
        <f t="shared" si="62"/>
        <v>2134517</v>
      </c>
      <c r="AJ66" s="134">
        <f>-AI66*0.6583</f>
        <v>-1405153</v>
      </c>
      <c r="AK66" s="73" t="s">
        <v>155</v>
      </c>
      <c r="AL66" s="74">
        <v>1100858</v>
      </c>
      <c r="AM66" s="10">
        <v>506083</v>
      </c>
      <c r="AN66" s="10">
        <f>AL66-AM66</f>
        <v>594775</v>
      </c>
      <c r="AO66" s="134">
        <f>-AN66*0.6583</f>
        <v>-391540</v>
      </c>
      <c r="AQ66" s="74">
        <v>733395</v>
      </c>
      <c r="AR66" s="10">
        <v>506083</v>
      </c>
      <c r="AS66" s="10"/>
      <c r="AT66" s="10"/>
      <c r="AU66" s="10"/>
      <c r="AW66" s="74">
        <v>677127</v>
      </c>
      <c r="AX66" s="10">
        <v>506083</v>
      </c>
      <c r="AY66" s="20"/>
      <c r="AZ66" s="10">
        <f t="shared" si="68"/>
        <v>0</v>
      </c>
      <c r="BA66" s="74"/>
      <c r="BB66" s="74">
        <v>646824</v>
      </c>
      <c r="BC66" s="10">
        <v>506083</v>
      </c>
      <c r="BD66" s="20">
        <f>BC66-BB66</f>
        <v>-140741</v>
      </c>
      <c r="BE66" s="10">
        <f>BD66*0.6583</f>
        <v>-92650</v>
      </c>
      <c r="BF66" s="10"/>
      <c r="BG66" s="81"/>
      <c r="BH66" s="74">
        <v>583383</v>
      </c>
      <c r="BI66" s="10">
        <v>506083</v>
      </c>
      <c r="BJ66" s="20">
        <f>BH66-BI66</f>
        <v>77300</v>
      </c>
      <c r="BK66" s="10">
        <f>BJ66*0.6583</f>
        <v>50887</v>
      </c>
      <c r="BN66" s="74">
        <v>475050</v>
      </c>
      <c r="BO66" s="10">
        <v>506083</v>
      </c>
      <c r="BP66" s="20">
        <f>BO66-BN66</f>
        <v>31033</v>
      </c>
      <c r="BQ66" s="10">
        <f t="shared" si="79"/>
        <v>20429</v>
      </c>
    </row>
    <row r="67" spans="1:69">
      <c r="A67" t="s">
        <v>149</v>
      </c>
      <c r="F67" s="10">
        <f>279300</f>
        <v>279300</v>
      </c>
      <c r="G67" s="10"/>
      <c r="H67" s="10">
        <f>G67-F67</f>
        <v>-279300</v>
      </c>
      <c r="I67" s="10">
        <f t="shared" si="78"/>
        <v>-183863</v>
      </c>
      <c r="J67" s="10"/>
      <c r="L67" s="10"/>
      <c r="M67" s="10"/>
      <c r="N67" s="10"/>
      <c r="O67" s="10"/>
      <c r="P67" s="39"/>
      <c r="Q67" s="10"/>
      <c r="R67" s="10"/>
      <c r="S67" s="74"/>
      <c r="T67" s="10"/>
      <c r="W67" s="10"/>
      <c r="X67" s="20"/>
      <c r="Y67" s="10">
        <f t="shared" si="59"/>
        <v>0</v>
      </c>
      <c r="AA67" s="74">
        <v>108000</v>
      </c>
      <c r="AB67" s="10"/>
      <c r="AC67" s="10">
        <f>AB67-AA67</f>
        <v>-108000</v>
      </c>
      <c r="AD67" s="10">
        <f t="shared" si="61"/>
        <v>-71096</v>
      </c>
      <c r="AG67" s="74"/>
      <c r="AH67" s="10"/>
      <c r="AI67" s="20"/>
      <c r="AJ67" s="10">
        <f t="shared" si="80"/>
        <v>0</v>
      </c>
      <c r="AL67" s="74"/>
      <c r="AM67" s="10"/>
      <c r="AN67" s="20"/>
      <c r="AO67" s="20"/>
      <c r="AQ67" s="74"/>
      <c r="AR67" s="10"/>
      <c r="AS67" s="20"/>
      <c r="AT67" s="20"/>
      <c r="AU67" s="10"/>
      <c r="AW67" s="74"/>
      <c r="AX67" s="10"/>
      <c r="AY67" s="20"/>
      <c r="AZ67" s="10"/>
      <c r="BA67" s="74"/>
      <c r="BB67" s="74"/>
      <c r="BC67" s="10"/>
      <c r="BD67" s="20"/>
      <c r="BE67" s="10"/>
      <c r="BF67" s="10"/>
      <c r="BG67" s="81"/>
      <c r="BH67" s="74"/>
      <c r="BI67" s="10"/>
      <c r="BJ67" s="20"/>
      <c r="BK67" s="10"/>
      <c r="BN67" s="74"/>
      <c r="BO67" s="10"/>
      <c r="BP67" s="20"/>
      <c r="BQ67" s="10"/>
    </row>
    <row r="68" spans="1:69">
      <c r="A68" t="s">
        <v>160</v>
      </c>
      <c r="F68" s="10">
        <v>274110</v>
      </c>
      <c r="G68" s="10">
        <v>261145</v>
      </c>
      <c r="H68" s="10">
        <f>F68-G68</f>
        <v>12965</v>
      </c>
      <c r="I68" s="10">
        <f t="shared" si="78"/>
        <v>8535</v>
      </c>
      <c r="J68" s="20">
        <f>I68+J44</f>
        <v>-26634</v>
      </c>
      <c r="L68" s="10"/>
      <c r="M68" s="10"/>
      <c r="N68" s="10"/>
      <c r="O68" s="10"/>
      <c r="P68" s="39"/>
      <c r="Q68" s="10">
        <v>394800</v>
      </c>
      <c r="R68" s="74">
        <v>265742</v>
      </c>
      <c r="S68" s="10">
        <f t="shared" ref="S68:S73" si="81">Q68-R68</f>
        <v>129058</v>
      </c>
      <c r="T68" s="10">
        <f t="shared" si="57"/>
        <v>84959</v>
      </c>
      <c r="V68" s="74">
        <v>376995</v>
      </c>
      <c r="W68" s="74">
        <v>224719</v>
      </c>
      <c r="X68" s="10">
        <f t="shared" ref="X68:X75" si="82">V68-W68</f>
        <v>152276</v>
      </c>
      <c r="Y68" s="10">
        <f t="shared" si="59"/>
        <v>100243</v>
      </c>
      <c r="AA68" s="74">
        <v>283687</v>
      </c>
      <c r="AB68" s="74">
        <v>270062</v>
      </c>
      <c r="AC68" s="10">
        <f t="shared" si="77"/>
        <v>13625</v>
      </c>
      <c r="AD68" s="10">
        <f t="shared" si="61"/>
        <v>8969</v>
      </c>
      <c r="AG68" s="74"/>
      <c r="AH68" s="74"/>
      <c r="AI68" s="10"/>
      <c r="AJ68" s="10">
        <f t="shared" si="80"/>
        <v>0</v>
      </c>
      <c r="AL68" s="74">
        <v>266293</v>
      </c>
      <c r="AM68" s="74">
        <v>257434</v>
      </c>
      <c r="AN68" s="10">
        <f>AL68-AM68</f>
        <v>8859</v>
      </c>
      <c r="AO68" s="20">
        <f>AN68*0.6583</f>
        <v>5832</v>
      </c>
      <c r="AQ68" s="74">
        <f>'WA Monthly'!L18</f>
        <v>1025</v>
      </c>
      <c r="AR68" s="74">
        <v>258829</v>
      </c>
      <c r="AS68" s="10"/>
      <c r="AT68" s="10"/>
      <c r="AU68" s="10"/>
      <c r="AW68" s="74"/>
      <c r="AX68" s="74"/>
      <c r="AY68" s="10">
        <f>AW68-AX68</f>
        <v>0</v>
      </c>
      <c r="AZ68" s="10">
        <f t="shared" si="68"/>
        <v>0</v>
      </c>
      <c r="BA68" s="74"/>
      <c r="BB68" s="74">
        <v>-794732</v>
      </c>
      <c r="BC68" s="74">
        <v>0</v>
      </c>
      <c r="BD68" s="10">
        <f>BB68-BC68</f>
        <v>-794732</v>
      </c>
      <c r="BE68" s="10">
        <f>BD68*0.6583</f>
        <v>-523172</v>
      </c>
      <c r="BF68" s="10"/>
      <c r="BG68" s="81"/>
      <c r="BH68" s="74"/>
      <c r="BI68" s="74"/>
      <c r="BJ68" s="10"/>
      <c r="BK68" s="10"/>
      <c r="BN68" s="74"/>
      <c r="BO68" s="74"/>
      <c r="BP68" s="10"/>
      <c r="BQ68" s="10"/>
    </row>
    <row r="69" spans="1:69">
      <c r="A69" t="s">
        <v>159</v>
      </c>
      <c r="F69" s="10">
        <f>320549+2591806</f>
        <v>2912355</v>
      </c>
      <c r="G69" s="10">
        <v>2510890</v>
      </c>
      <c r="H69" s="10">
        <f>F69-G69</f>
        <v>401465</v>
      </c>
      <c r="I69" s="10">
        <f t="shared" si="78"/>
        <v>264284</v>
      </c>
      <c r="J69" s="10">
        <f>I69+J37</f>
        <v>-215782</v>
      </c>
      <c r="L69" s="120">
        <v>2631597</v>
      </c>
      <c r="M69" s="10">
        <v>2348897</v>
      </c>
      <c r="N69" s="10">
        <f>L69-M69</f>
        <v>282700</v>
      </c>
      <c r="O69" s="10">
        <f t="shared" si="55"/>
        <v>186101</v>
      </c>
      <c r="P69" s="39"/>
      <c r="Q69" s="14">
        <v>1279564</v>
      </c>
      <c r="R69" s="74">
        <v>1241609</v>
      </c>
      <c r="S69" s="10">
        <f t="shared" si="81"/>
        <v>37955</v>
      </c>
      <c r="T69" s="10">
        <f t="shared" si="57"/>
        <v>24986</v>
      </c>
      <c r="V69" s="74">
        <f>1239294+153273</f>
        <v>1392567</v>
      </c>
      <c r="W69" s="74">
        <v>1201557</v>
      </c>
      <c r="X69" s="10">
        <f t="shared" si="82"/>
        <v>191010</v>
      </c>
      <c r="Y69" s="10">
        <f t="shared" si="59"/>
        <v>125742</v>
      </c>
      <c r="AA69" s="74">
        <v>0</v>
      </c>
      <c r="AC69" s="10">
        <f t="shared" si="77"/>
        <v>0</v>
      </c>
      <c r="AD69" s="10">
        <f t="shared" si="61"/>
        <v>0</v>
      </c>
      <c r="AG69" s="74">
        <v>0</v>
      </c>
      <c r="AI69" s="20"/>
      <c r="AJ69" s="10">
        <f t="shared" si="80"/>
        <v>0</v>
      </c>
      <c r="AL69" s="74"/>
      <c r="AN69" s="20"/>
      <c r="AO69" s="20"/>
      <c r="AQ69" s="74"/>
      <c r="AS69" s="20"/>
      <c r="AT69" s="20"/>
      <c r="AU69" s="10"/>
      <c r="AW69" s="74"/>
      <c r="AY69" s="20"/>
      <c r="AZ69" s="10">
        <f t="shared" si="68"/>
        <v>0</v>
      </c>
      <c r="BB69" s="74">
        <v>933501</v>
      </c>
      <c r="BC69" s="73">
        <v>0</v>
      </c>
      <c r="BD69" s="10">
        <f t="shared" ref="BD69:BD75" si="83">BB69-BC69</f>
        <v>933501</v>
      </c>
      <c r="BE69" s="10">
        <f>BD69*0.6583</f>
        <v>614524</v>
      </c>
      <c r="BF69" s="10"/>
      <c r="BG69" s="81"/>
      <c r="BH69" s="74">
        <v>933501</v>
      </c>
      <c r="BI69" s="74">
        <v>0</v>
      </c>
      <c r="BJ69" s="10">
        <f>BH69-BI69</f>
        <v>933501</v>
      </c>
      <c r="BK69" s="10">
        <f>BJ69*0.6583</f>
        <v>614524</v>
      </c>
      <c r="BN69" s="74">
        <v>933501</v>
      </c>
      <c r="BO69" s="74"/>
      <c r="BP69" s="20">
        <f>BN69-BO69</f>
        <v>933501</v>
      </c>
      <c r="BQ69" s="10">
        <f t="shared" ref="BQ69:BQ76" si="84">BP69*0.6583</f>
        <v>614524</v>
      </c>
    </row>
    <row r="70" spans="1:69">
      <c r="A70" t="s">
        <v>15</v>
      </c>
      <c r="F70" s="10">
        <v>124067</v>
      </c>
      <c r="G70" s="10">
        <v>188667</v>
      </c>
      <c r="H70" s="10">
        <f t="shared" ref="H70:H75" si="85">F70-G70</f>
        <v>-64600</v>
      </c>
      <c r="I70" s="10">
        <f t="shared" ref="I70:I75" si="86">H70*0.6583</f>
        <v>-42526</v>
      </c>
      <c r="L70" s="10">
        <v>66882</v>
      </c>
      <c r="M70" s="10">
        <v>188667</v>
      </c>
      <c r="N70" s="10">
        <f>L70-M70</f>
        <v>-121785</v>
      </c>
      <c r="O70" s="10">
        <f t="shared" si="55"/>
        <v>-80171</v>
      </c>
      <c r="P70" s="39"/>
      <c r="Q70" s="10">
        <v>114001</v>
      </c>
      <c r="R70" s="10">
        <v>188667</v>
      </c>
      <c r="S70" s="10">
        <f t="shared" si="81"/>
        <v>-74666</v>
      </c>
      <c r="T70" s="10">
        <f t="shared" si="57"/>
        <v>-49153</v>
      </c>
      <c r="V70" s="73">
        <v>102873</v>
      </c>
      <c r="W70" s="10">
        <v>188667</v>
      </c>
      <c r="X70" s="10">
        <f t="shared" si="82"/>
        <v>-85794</v>
      </c>
      <c r="Y70" s="10">
        <f t="shared" si="59"/>
        <v>-56478</v>
      </c>
      <c r="AA70" s="74">
        <v>136410</v>
      </c>
      <c r="AB70" s="10">
        <v>188667</v>
      </c>
      <c r="AC70" s="10">
        <f t="shared" si="77"/>
        <v>-52257</v>
      </c>
      <c r="AD70" s="10">
        <f t="shared" si="61"/>
        <v>-34401</v>
      </c>
      <c r="AG70" s="74">
        <v>456189</v>
      </c>
      <c r="AH70" s="10">
        <v>188667</v>
      </c>
      <c r="AI70" s="10">
        <f t="shared" ref="AI70:AI75" si="87">AG70-AH70</f>
        <v>267522</v>
      </c>
      <c r="AJ70" s="134">
        <f t="shared" si="80"/>
        <v>176110</v>
      </c>
      <c r="AL70" s="74">
        <v>116097</v>
      </c>
      <c r="AM70" s="10">
        <v>188667</v>
      </c>
      <c r="AN70" s="10">
        <f t="shared" ref="AN70:AN75" si="88">AL70-AM70</f>
        <v>-72570</v>
      </c>
      <c r="AO70" s="20">
        <f t="shared" ref="AO70:AO75" si="89">AN70*0.6583</f>
        <v>-47773</v>
      </c>
      <c r="AQ70" s="74" t="e">
        <f>'WA Monthly'!#REF!</f>
        <v>#REF!</v>
      </c>
      <c r="AR70" s="10">
        <v>188667</v>
      </c>
      <c r="AS70" s="10"/>
      <c r="AT70" s="10"/>
      <c r="AU70" s="10"/>
      <c r="AW70" s="74"/>
      <c r="AX70" s="10">
        <v>188667</v>
      </c>
      <c r="AY70" s="10"/>
      <c r="AZ70" s="10"/>
      <c r="BA70" s="74"/>
      <c r="BB70" s="74">
        <v>128411</v>
      </c>
      <c r="BC70" s="10">
        <v>188667</v>
      </c>
      <c r="BD70" s="10">
        <f t="shared" si="83"/>
        <v>-60256</v>
      </c>
      <c r="BE70" s="10">
        <f t="shared" ref="BE70:BE75" si="90">BD70*0.6583</f>
        <v>-39667</v>
      </c>
      <c r="BF70" s="10"/>
      <c r="BG70" s="81"/>
      <c r="BH70" s="74">
        <v>151228</v>
      </c>
      <c r="BI70" s="10">
        <v>188667</v>
      </c>
      <c r="BJ70" s="10">
        <f>BH70-BI70</f>
        <v>-37439</v>
      </c>
      <c r="BK70" s="10">
        <f>BJ70*0.6583</f>
        <v>-24646</v>
      </c>
      <c r="BN70" s="74">
        <v>421955</v>
      </c>
      <c r="BO70" s="10">
        <f>BI70</f>
        <v>188667</v>
      </c>
      <c r="BP70" s="20">
        <f t="shared" ref="BP70:BP76" si="91">BN70-BO70</f>
        <v>233288</v>
      </c>
      <c r="BQ70" s="10">
        <f t="shared" si="84"/>
        <v>153573</v>
      </c>
    </row>
    <row r="71" spans="1:69">
      <c r="A71" t="s">
        <v>16</v>
      </c>
      <c r="F71" s="10">
        <v>457314</v>
      </c>
      <c r="G71" s="10">
        <v>420500</v>
      </c>
      <c r="H71" s="10">
        <f t="shared" si="85"/>
        <v>36814</v>
      </c>
      <c r="I71" s="10">
        <f t="shared" si="86"/>
        <v>24235</v>
      </c>
      <c r="L71" s="10">
        <v>457314</v>
      </c>
      <c r="M71" s="10">
        <v>420500</v>
      </c>
      <c r="N71" s="10">
        <f>L71-M71</f>
        <v>36814</v>
      </c>
      <c r="O71" s="10">
        <f t="shared" si="55"/>
        <v>24235</v>
      </c>
      <c r="P71" s="39"/>
      <c r="Q71" s="10">
        <v>457314</v>
      </c>
      <c r="R71" s="10">
        <v>420500</v>
      </c>
      <c r="S71" s="10">
        <f t="shared" si="81"/>
        <v>36814</v>
      </c>
      <c r="T71" s="10">
        <f t="shared" si="57"/>
        <v>24235</v>
      </c>
      <c r="V71" s="73">
        <v>684950</v>
      </c>
      <c r="W71" s="10">
        <v>420500</v>
      </c>
      <c r="X71" s="10">
        <f t="shared" si="82"/>
        <v>264450</v>
      </c>
      <c r="Y71" s="10">
        <f t="shared" si="59"/>
        <v>174087</v>
      </c>
      <c r="AA71" s="74">
        <f>457314</f>
        <v>457314</v>
      </c>
      <c r="AB71" s="10">
        <v>420500</v>
      </c>
      <c r="AC71" s="10">
        <f t="shared" si="77"/>
        <v>36814</v>
      </c>
      <c r="AD71" s="10">
        <f t="shared" si="61"/>
        <v>24235</v>
      </c>
      <c r="AG71" s="74">
        <v>457314</v>
      </c>
      <c r="AH71" s="10">
        <v>420500</v>
      </c>
      <c r="AI71" s="10">
        <f t="shared" si="87"/>
        <v>36814</v>
      </c>
      <c r="AJ71" s="10">
        <f t="shared" si="80"/>
        <v>24235</v>
      </c>
      <c r="AL71" s="74">
        <v>457314</v>
      </c>
      <c r="AM71" s="10">
        <v>420500</v>
      </c>
      <c r="AN71" s="10">
        <f t="shared" si="88"/>
        <v>36814</v>
      </c>
      <c r="AO71" s="20">
        <f t="shared" si="89"/>
        <v>24235</v>
      </c>
      <c r="AQ71" s="74" t="e">
        <f>'WA Monthly'!#REF!</f>
        <v>#REF!</v>
      </c>
      <c r="AR71" s="10">
        <v>420500</v>
      </c>
      <c r="AS71" s="10"/>
      <c r="AT71" s="10"/>
      <c r="AU71" s="10"/>
      <c r="AW71" s="74"/>
      <c r="AX71" s="10">
        <v>420500</v>
      </c>
      <c r="AY71" s="10"/>
      <c r="AZ71" s="10"/>
      <c r="BA71" s="74"/>
      <c r="BB71" s="74">
        <v>457314</v>
      </c>
      <c r="BC71" s="10">
        <v>420500</v>
      </c>
      <c r="BD71" s="10">
        <f t="shared" si="83"/>
        <v>36814</v>
      </c>
      <c r="BE71" s="10">
        <f t="shared" si="90"/>
        <v>24235</v>
      </c>
      <c r="BF71" s="10"/>
      <c r="BG71" s="81"/>
      <c r="BH71" s="74">
        <v>457314</v>
      </c>
      <c r="BI71" s="10">
        <v>420500</v>
      </c>
      <c r="BJ71" s="10">
        <f>BH71-BI71</f>
        <v>36814</v>
      </c>
      <c r="BK71" s="10">
        <f>BJ71*0.6583</f>
        <v>24235</v>
      </c>
      <c r="BN71" s="74">
        <v>14032</v>
      </c>
      <c r="BO71" s="10">
        <f>BI71</f>
        <v>420500</v>
      </c>
      <c r="BP71" s="20">
        <f t="shared" si="91"/>
        <v>-406468</v>
      </c>
      <c r="BQ71" s="10">
        <f t="shared" si="84"/>
        <v>-267578</v>
      </c>
    </row>
    <row r="72" spans="1:69">
      <c r="A72" t="s">
        <v>17</v>
      </c>
      <c r="F72" s="10">
        <v>116071</v>
      </c>
      <c r="G72" s="10">
        <v>115250</v>
      </c>
      <c r="H72" s="10">
        <f t="shared" si="85"/>
        <v>821</v>
      </c>
      <c r="I72" s="10">
        <f t="shared" si="86"/>
        <v>540</v>
      </c>
      <c r="L72" s="10">
        <v>116071</v>
      </c>
      <c r="M72" s="10">
        <v>115250</v>
      </c>
      <c r="N72" s="10">
        <f>L72-M72</f>
        <v>821</v>
      </c>
      <c r="O72" s="10">
        <f t="shared" si="55"/>
        <v>540</v>
      </c>
      <c r="Q72" s="10">
        <v>116071</v>
      </c>
      <c r="R72" s="10">
        <v>115250</v>
      </c>
      <c r="S72" s="10">
        <f t="shared" si="81"/>
        <v>821</v>
      </c>
      <c r="T72" s="10">
        <f t="shared" si="57"/>
        <v>540</v>
      </c>
      <c r="V72" s="73">
        <v>116071</v>
      </c>
      <c r="W72" s="10">
        <v>115250</v>
      </c>
      <c r="X72" s="10">
        <f t="shared" si="82"/>
        <v>821</v>
      </c>
      <c r="Y72" s="10">
        <f t="shared" si="59"/>
        <v>540</v>
      </c>
      <c r="AA72" s="74">
        <v>116071</v>
      </c>
      <c r="AB72" s="10">
        <v>115250</v>
      </c>
      <c r="AC72" s="10">
        <f t="shared" si="77"/>
        <v>821</v>
      </c>
      <c r="AD72" s="10">
        <f t="shared" si="61"/>
        <v>540</v>
      </c>
      <c r="AG72" s="74">
        <v>116071</v>
      </c>
      <c r="AH72" s="10">
        <v>115250</v>
      </c>
      <c r="AI72" s="10">
        <f t="shared" si="87"/>
        <v>821</v>
      </c>
      <c r="AJ72" s="10">
        <f t="shared" si="80"/>
        <v>540</v>
      </c>
      <c r="AL72" s="74">
        <v>116071</v>
      </c>
      <c r="AM72" s="10">
        <v>115250</v>
      </c>
      <c r="AN72" s="10">
        <f t="shared" si="88"/>
        <v>821</v>
      </c>
      <c r="AO72" s="20">
        <f t="shared" si="89"/>
        <v>540</v>
      </c>
      <c r="AQ72" s="135">
        <f>'WA Monthly'!L10</f>
        <v>153740</v>
      </c>
      <c r="AR72" s="10">
        <v>115250</v>
      </c>
      <c r="AX72" s="10">
        <v>115250</v>
      </c>
      <c r="BB72" s="74">
        <v>124153</v>
      </c>
      <c r="BC72" s="10">
        <v>115250</v>
      </c>
      <c r="BD72" s="10">
        <f t="shared" si="83"/>
        <v>8903</v>
      </c>
      <c r="BE72" s="10">
        <f t="shared" si="90"/>
        <v>5861</v>
      </c>
      <c r="BH72" s="74">
        <v>124153</v>
      </c>
      <c r="BI72" s="10">
        <v>115250</v>
      </c>
      <c r="BJ72" s="10">
        <f>BH72-BI72</f>
        <v>8903</v>
      </c>
      <c r="BK72" s="10">
        <f>BJ72*0.6583</f>
        <v>5861</v>
      </c>
      <c r="BN72" s="74">
        <v>0</v>
      </c>
      <c r="BO72" s="10">
        <f>BI72</f>
        <v>115250</v>
      </c>
      <c r="BP72" s="20">
        <f t="shared" si="91"/>
        <v>-115250</v>
      </c>
      <c r="BQ72" s="10">
        <f t="shared" si="84"/>
        <v>-75869</v>
      </c>
    </row>
    <row r="73" spans="1:69">
      <c r="A73" t="s">
        <v>150</v>
      </c>
      <c r="F73" s="10">
        <v>882536</v>
      </c>
      <c r="G73" s="10">
        <f>507823+403236</f>
        <v>911059</v>
      </c>
      <c r="H73" s="10">
        <f t="shared" si="85"/>
        <v>-28523</v>
      </c>
      <c r="I73" s="10">
        <f t="shared" si="86"/>
        <v>-18777</v>
      </c>
      <c r="L73" s="10">
        <f>871017</f>
        <v>871017</v>
      </c>
      <c r="M73" s="10">
        <f>416015+393868</f>
        <v>809883</v>
      </c>
      <c r="N73" s="10">
        <f>L73-M73</f>
        <v>61134</v>
      </c>
      <c r="O73" s="10">
        <f t="shared" si="55"/>
        <v>40245</v>
      </c>
      <c r="P73" s="39"/>
      <c r="Q73" s="10">
        <v>869662</v>
      </c>
      <c r="R73" s="10">
        <f>357560+391673</f>
        <v>749233</v>
      </c>
      <c r="S73" s="10">
        <f t="shared" si="81"/>
        <v>120429</v>
      </c>
      <c r="T73" s="10">
        <f>S73*0.6583</f>
        <v>79278</v>
      </c>
      <c r="V73" s="74">
        <v>640550</v>
      </c>
      <c r="W73" s="10">
        <f>507228+354277</f>
        <v>861505</v>
      </c>
      <c r="X73" s="10">
        <f t="shared" si="82"/>
        <v>-220955</v>
      </c>
      <c r="Y73" s="10">
        <f t="shared" si="59"/>
        <v>-145455</v>
      </c>
      <c r="AA73" s="74">
        <f>1007639</f>
        <v>1007639</v>
      </c>
      <c r="AB73" s="10">
        <f>313927+530042</f>
        <v>843969</v>
      </c>
      <c r="AC73" s="10">
        <f>AA73-AB73</f>
        <v>163670</v>
      </c>
      <c r="AD73" s="10">
        <f t="shared" si="61"/>
        <v>107744</v>
      </c>
      <c r="AG73" s="74">
        <v>793710</v>
      </c>
      <c r="AH73" s="74">
        <f>325702+441025</f>
        <v>766727</v>
      </c>
      <c r="AI73" s="10">
        <f t="shared" si="87"/>
        <v>26983</v>
      </c>
      <c r="AJ73" s="10">
        <f t="shared" si="80"/>
        <v>17763</v>
      </c>
      <c r="AL73" s="74">
        <v>979166</v>
      </c>
      <c r="AM73" s="74">
        <f>364496+519360</f>
        <v>883856</v>
      </c>
      <c r="AN73" s="10">
        <f t="shared" si="88"/>
        <v>95310</v>
      </c>
      <c r="AO73" s="20">
        <f t="shared" si="89"/>
        <v>62743</v>
      </c>
      <c r="AQ73" s="74">
        <f>'WA Monthly'!L11</f>
        <v>618454</v>
      </c>
      <c r="AR73" s="74">
        <v>338463</v>
      </c>
      <c r="AS73" s="10">
        <f>AQ73-AR73</f>
        <v>279991</v>
      </c>
      <c r="AT73" s="10"/>
      <c r="AU73" s="10">
        <f>AS73*0.6583</f>
        <v>184318</v>
      </c>
      <c r="AW73" s="74"/>
      <c r="AX73" s="74">
        <v>279248</v>
      </c>
      <c r="AY73" s="10">
        <f>AW73-AX73</f>
        <v>-279248</v>
      </c>
      <c r="AZ73" s="10">
        <f>AY73*0.6583</f>
        <v>-183829</v>
      </c>
      <c r="BA73" s="74"/>
      <c r="BB73" s="74">
        <v>917753</v>
      </c>
      <c r="BC73" s="74">
        <f>327163+493315</f>
        <v>820478</v>
      </c>
      <c r="BD73" s="10">
        <f t="shared" si="83"/>
        <v>97275</v>
      </c>
      <c r="BE73" s="10">
        <f t="shared" si="90"/>
        <v>64036</v>
      </c>
      <c r="BF73" s="10"/>
      <c r="BG73" s="81"/>
      <c r="BH73" s="74">
        <v>823722</v>
      </c>
      <c r="BI73" s="74">
        <f>384064+520576</f>
        <v>904640</v>
      </c>
      <c r="BJ73" s="10">
        <f>BH73-BI73</f>
        <v>-80918</v>
      </c>
      <c r="BK73" s="10">
        <f>BJ73*0.6583</f>
        <v>-53268</v>
      </c>
      <c r="BN73" s="74">
        <v>972856</v>
      </c>
      <c r="BO73" s="74">
        <f>454524+554101</f>
        <v>1008625</v>
      </c>
      <c r="BP73" s="20">
        <f t="shared" si="91"/>
        <v>-35769</v>
      </c>
      <c r="BQ73" s="10">
        <f t="shared" si="84"/>
        <v>-23547</v>
      </c>
    </row>
    <row r="74" spans="1:69">
      <c r="A74" t="s">
        <v>129</v>
      </c>
      <c r="F74" s="10"/>
      <c r="G74" s="10"/>
      <c r="H74" s="10">
        <f t="shared" si="85"/>
        <v>0</v>
      </c>
      <c r="I74" s="10">
        <f t="shared" si="86"/>
        <v>0</v>
      </c>
      <c r="L74" s="10"/>
      <c r="M74" s="10"/>
      <c r="N74" s="10"/>
      <c r="O74" s="10"/>
      <c r="P74" s="39"/>
      <c r="Q74" s="10"/>
      <c r="R74" s="10"/>
      <c r="S74" s="10"/>
      <c r="T74" s="10"/>
      <c r="V74" s="74"/>
      <c r="W74" s="10">
        <v>507228</v>
      </c>
      <c r="X74" s="10">
        <f t="shared" si="82"/>
        <v>-507228</v>
      </c>
      <c r="Y74" s="10">
        <f t="shared" si="59"/>
        <v>-333908</v>
      </c>
      <c r="AA74" s="74"/>
      <c r="AB74" s="10">
        <v>0</v>
      </c>
      <c r="AC74" s="10">
        <f>AA74-AB74</f>
        <v>0</v>
      </c>
      <c r="AD74" s="10">
        <f t="shared" si="61"/>
        <v>0</v>
      </c>
      <c r="AG74" s="74"/>
      <c r="AH74" s="74">
        <v>0</v>
      </c>
      <c r="AI74" s="10">
        <f t="shared" si="87"/>
        <v>0</v>
      </c>
      <c r="AJ74" s="10">
        <f t="shared" si="80"/>
        <v>0</v>
      </c>
      <c r="AL74" s="74"/>
      <c r="AM74" s="74"/>
      <c r="AN74" s="10"/>
      <c r="AO74" s="20"/>
      <c r="AQ74" s="74"/>
      <c r="AR74" s="74">
        <v>444756</v>
      </c>
      <c r="AS74" s="10"/>
      <c r="AT74" s="10"/>
      <c r="AU74" s="10"/>
      <c r="AW74" s="74"/>
      <c r="AX74" s="74">
        <v>439184</v>
      </c>
      <c r="AY74" s="10"/>
      <c r="AZ74" s="10"/>
      <c r="BA74" s="74"/>
      <c r="BB74" s="74"/>
      <c r="BC74" s="74"/>
      <c r="BD74" s="10"/>
      <c r="BE74" s="10"/>
      <c r="BF74" s="10"/>
      <c r="BG74" s="81"/>
      <c r="BH74" s="74"/>
      <c r="BI74" s="74"/>
      <c r="BJ74" s="10"/>
      <c r="BK74" s="10"/>
      <c r="BN74" s="74">
        <v>247776</v>
      </c>
      <c r="BO74" s="74">
        <v>127489</v>
      </c>
      <c r="BP74" s="20">
        <f t="shared" si="91"/>
        <v>120287</v>
      </c>
      <c r="BQ74" s="10">
        <f t="shared" si="84"/>
        <v>79185</v>
      </c>
    </row>
    <row r="75" spans="1:69">
      <c r="A75" t="s">
        <v>143</v>
      </c>
      <c r="F75" s="10">
        <v>0</v>
      </c>
      <c r="G75" s="10">
        <v>496174</v>
      </c>
      <c r="H75" s="10">
        <f t="shared" si="85"/>
        <v>-496174</v>
      </c>
      <c r="I75" s="10">
        <f t="shared" si="86"/>
        <v>-326631</v>
      </c>
      <c r="J75" s="20">
        <f>I75+J42</f>
        <v>75833</v>
      </c>
      <c r="L75" s="10">
        <v>0</v>
      </c>
      <c r="M75" s="10">
        <v>496174</v>
      </c>
      <c r="N75" s="10">
        <f>L75-M75</f>
        <v>-496174</v>
      </c>
      <c r="O75" s="10">
        <f t="shared" si="55"/>
        <v>-326631</v>
      </c>
      <c r="P75" s="39"/>
      <c r="Q75" s="10">
        <v>0</v>
      </c>
      <c r="R75" s="74">
        <v>496174</v>
      </c>
      <c r="S75" s="10">
        <f>Q75-R75</f>
        <v>-496174</v>
      </c>
      <c r="T75" s="10">
        <f t="shared" si="57"/>
        <v>-326631</v>
      </c>
      <c r="W75" s="74">
        <v>480168</v>
      </c>
      <c r="X75" s="10">
        <f t="shared" si="82"/>
        <v>-480168</v>
      </c>
      <c r="Y75" s="10">
        <f t="shared" si="59"/>
        <v>-316095</v>
      </c>
      <c r="AA75" s="74"/>
      <c r="AB75" s="10">
        <v>496174</v>
      </c>
      <c r="AC75" s="10">
        <f>AA75-AB75</f>
        <v>-496174</v>
      </c>
      <c r="AD75" s="10">
        <f t="shared" si="61"/>
        <v>-326631</v>
      </c>
      <c r="AG75" s="74"/>
      <c r="AH75" s="74">
        <v>352123</v>
      </c>
      <c r="AI75" s="10">
        <f t="shared" si="87"/>
        <v>-352123</v>
      </c>
      <c r="AJ75" s="10">
        <f t="shared" si="80"/>
        <v>-231803</v>
      </c>
      <c r="AL75" s="74"/>
      <c r="AM75" s="74">
        <v>496174</v>
      </c>
      <c r="AN75" s="10">
        <f t="shared" si="88"/>
        <v>-496174</v>
      </c>
      <c r="AO75" s="20">
        <f t="shared" si="89"/>
        <v>-326631</v>
      </c>
      <c r="AQ75" s="74"/>
      <c r="AR75" s="74">
        <v>496174</v>
      </c>
      <c r="AS75" s="10">
        <f>AQ75-AR75</f>
        <v>-496174</v>
      </c>
      <c r="AT75" s="10"/>
      <c r="AU75" s="10">
        <f>AS75*0.6583</f>
        <v>-326631</v>
      </c>
      <c r="AW75" s="74"/>
      <c r="AX75" s="74">
        <v>480168</v>
      </c>
      <c r="AY75" s="10">
        <f>AW75-AX75</f>
        <v>-480168</v>
      </c>
      <c r="AZ75" s="10">
        <f t="shared" si="68"/>
        <v>-316095</v>
      </c>
      <c r="BA75" s="74"/>
      <c r="BB75" s="74"/>
      <c r="BC75" s="74">
        <v>496174</v>
      </c>
      <c r="BD75" s="10">
        <f t="shared" si="83"/>
        <v>-496174</v>
      </c>
      <c r="BE75" s="10">
        <f t="shared" si="90"/>
        <v>-326631</v>
      </c>
      <c r="BF75" s="10"/>
      <c r="BG75" s="81"/>
      <c r="BH75" s="74">
        <v>0</v>
      </c>
      <c r="BI75" s="74">
        <v>480168</v>
      </c>
      <c r="BJ75" s="10">
        <f>BH75-BI75</f>
        <v>-480168</v>
      </c>
      <c r="BK75" s="10">
        <f>BJ75*0.6583</f>
        <v>-316095</v>
      </c>
      <c r="BN75" s="74">
        <v>0</v>
      </c>
      <c r="BO75" s="74">
        <v>496174</v>
      </c>
      <c r="BP75" s="20">
        <f t="shared" si="91"/>
        <v>-496174</v>
      </c>
      <c r="BQ75" s="10">
        <f t="shared" si="84"/>
        <v>-326631</v>
      </c>
    </row>
    <row r="76" spans="1:69">
      <c r="A76" t="s">
        <v>162</v>
      </c>
      <c r="F76" s="10"/>
      <c r="G76" s="10"/>
      <c r="H76" s="10"/>
      <c r="N76" s="20"/>
      <c r="O76" s="10"/>
      <c r="P76" s="39"/>
      <c r="Q76" s="10">
        <v>-19520159</v>
      </c>
      <c r="R76" s="74"/>
      <c r="S76" s="10">
        <f>Q76-R76</f>
        <v>-19520159</v>
      </c>
      <c r="T76" s="75">
        <f>S76*0.6583</f>
        <v>-12850121</v>
      </c>
      <c r="W76" s="74"/>
      <c r="X76" s="74"/>
      <c r="Y76" s="10"/>
      <c r="AA76" s="74"/>
      <c r="AC76" s="20"/>
      <c r="AG76" s="74"/>
      <c r="AI76" s="20"/>
      <c r="BG76" s="81"/>
      <c r="BN76" s="74">
        <f>'WA Monthly'!P12</f>
        <v>0</v>
      </c>
      <c r="BO76" s="74">
        <v>2571568</v>
      </c>
      <c r="BP76" s="20">
        <f t="shared" si="91"/>
        <v>-2571568</v>
      </c>
      <c r="BQ76" s="10">
        <f t="shared" si="84"/>
        <v>-1692863</v>
      </c>
    </row>
    <row r="77" spans="1:69">
      <c r="A77" s="3"/>
      <c r="B77" s="3"/>
      <c r="C77" s="3"/>
      <c r="D77" s="3"/>
      <c r="E77" s="3"/>
      <c r="F77" s="11"/>
      <c r="G77" s="11"/>
      <c r="H77" s="11"/>
      <c r="I77" s="3"/>
      <c r="J77" s="3"/>
      <c r="K77" s="3"/>
      <c r="L77" s="3"/>
      <c r="M77" s="3"/>
      <c r="N77" s="19"/>
      <c r="O77" s="11"/>
      <c r="P77" s="74"/>
      <c r="Q77" s="11">
        <v>10285559</v>
      </c>
      <c r="R77" s="74"/>
      <c r="S77" s="10">
        <f>Q77-R77</f>
        <v>10285559</v>
      </c>
      <c r="T77" s="75">
        <f>S77*0.6583</f>
        <v>6770983</v>
      </c>
      <c r="W77" s="74"/>
      <c r="X77" s="74"/>
      <c r="Y77" s="10"/>
      <c r="AA77" s="74"/>
      <c r="AC77" s="20"/>
      <c r="AG77" s="74"/>
      <c r="AI77" s="20"/>
      <c r="BG77" s="81"/>
    </row>
    <row r="78" spans="1:69">
      <c r="E78" s="3"/>
      <c r="F78" s="11"/>
      <c r="G78" s="11"/>
      <c r="H78" s="11"/>
      <c r="I78" s="3"/>
      <c r="J78" s="3"/>
      <c r="K78" s="3"/>
      <c r="L78" s="3"/>
      <c r="M78" s="3"/>
      <c r="N78" s="3"/>
      <c r="O78" s="19"/>
      <c r="P78" s="81"/>
      <c r="Q78" s="3"/>
      <c r="T78" s="81"/>
      <c r="Y78" s="81"/>
      <c r="AC78" s="20"/>
      <c r="AI78" s="20"/>
      <c r="BG78" s="81"/>
    </row>
    <row r="79" spans="1:69">
      <c r="F79" s="10"/>
      <c r="G79" s="10"/>
      <c r="H79" s="10"/>
      <c r="S79" s="123"/>
      <c r="T79" s="124" t="s">
        <v>153</v>
      </c>
      <c r="U79" s="125">
        <f>U27+U28+T76+T77</f>
        <v>-1596691</v>
      </c>
      <c r="BG79" s="81"/>
    </row>
    <row r="80" spans="1:69">
      <c r="F80" s="10"/>
      <c r="G80" s="10"/>
      <c r="H80" s="10"/>
      <c r="BG80" s="81"/>
    </row>
    <row r="81" spans="1:59">
      <c r="F81" s="10"/>
      <c r="G81" s="10"/>
      <c r="H81" s="107"/>
      <c r="I81" s="74"/>
      <c r="J81" s="74"/>
      <c r="K81" s="73"/>
      <c r="L81" s="73"/>
      <c r="BG81" s="81"/>
    </row>
    <row r="82" spans="1:59">
      <c r="F82" s="10"/>
      <c r="G82" s="10"/>
      <c r="H82" s="81"/>
      <c r="I82" s="73"/>
      <c r="J82" s="73"/>
      <c r="K82" s="73"/>
      <c r="L82" s="73"/>
      <c r="BG82" s="81"/>
    </row>
    <row r="83" spans="1:59">
      <c r="F83" s="10"/>
      <c r="G83" s="10"/>
      <c r="H83" s="81"/>
      <c r="I83" s="73"/>
      <c r="J83" s="73"/>
      <c r="K83" s="73"/>
      <c r="L83" s="73"/>
      <c r="BG83" s="81"/>
    </row>
    <row r="84" spans="1:59">
      <c r="F84" s="10"/>
      <c r="G84" s="10"/>
      <c r="H84" s="81"/>
      <c r="I84" s="73"/>
      <c r="J84" s="73"/>
      <c r="K84" s="73"/>
      <c r="L84" s="73"/>
      <c r="BG84" s="81"/>
    </row>
    <row r="85" spans="1:59">
      <c r="F85" s="10"/>
      <c r="G85" s="10"/>
      <c r="H85" s="81"/>
      <c r="I85" s="74"/>
      <c r="J85" s="74"/>
      <c r="K85" s="73"/>
      <c r="L85" s="73"/>
      <c r="BG85" s="81"/>
    </row>
    <row r="86" spans="1:59">
      <c r="F86" s="10"/>
      <c r="G86" s="10"/>
      <c r="H86" s="81"/>
      <c r="I86" s="73"/>
      <c r="J86" s="73"/>
      <c r="K86" s="73"/>
      <c r="L86" s="73"/>
      <c r="BG86" s="81"/>
    </row>
    <row r="87" spans="1:59">
      <c r="F87" s="10"/>
      <c r="G87" s="10"/>
      <c r="H87" s="81"/>
      <c r="I87" s="73"/>
      <c r="J87" s="73"/>
      <c r="K87" s="73"/>
      <c r="L87" s="73"/>
      <c r="BG87" s="81"/>
    </row>
    <row r="88" spans="1:59">
      <c r="F88" s="10"/>
      <c r="G88" s="10"/>
      <c r="H88" s="81"/>
      <c r="I88" s="73"/>
      <c r="J88" s="73"/>
      <c r="K88" s="73"/>
      <c r="L88" s="73"/>
      <c r="BG88" s="81"/>
    </row>
    <row r="89" spans="1:59">
      <c r="F89" s="10"/>
      <c r="G89" s="10"/>
      <c r="H89" s="81"/>
      <c r="I89" s="73"/>
      <c r="J89" s="73"/>
      <c r="K89" s="73"/>
      <c r="L89" s="73"/>
      <c r="BG89" s="81"/>
    </row>
    <row r="90" spans="1:59">
      <c r="F90" s="10"/>
      <c r="G90" s="10"/>
      <c r="H90" s="81"/>
      <c r="I90" s="73"/>
      <c r="J90" s="73"/>
      <c r="K90" s="73"/>
      <c r="L90" s="73"/>
      <c r="BG90" s="81"/>
    </row>
    <row r="91" spans="1:59">
      <c r="F91" s="10"/>
      <c r="G91" s="10"/>
      <c r="H91" s="81"/>
      <c r="I91" s="73"/>
      <c r="J91" s="73"/>
      <c r="K91" s="73"/>
      <c r="L91" s="73"/>
      <c r="BG91" s="81"/>
    </row>
    <row r="92" spans="1:59">
      <c r="F92" s="10"/>
      <c r="G92" s="10"/>
      <c r="H92" s="81"/>
      <c r="I92" s="73"/>
      <c r="J92" s="73"/>
      <c r="K92" s="73"/>
      <c r="L92" s="73"/>
      <c r="BG92" s="81"/>
    </row>
    <row r="93" spans="1:59">
      <c r="A93" s="73"/>
      <c r="B93" s="73"/>
      <c r="C93" s="73"/>
      <c r="D93" s="73"/>
      <c r="E93" s="73"/>
      <c r="F93" s="74"/>
      <c r="G93" s="74"/>
      <c r="H93" s="81"/>
      <c r="I93" s="73"/>
      <c r="J93" s="73"/>
      <c r="K93" s="73"/>
      <c r="L93" s="73"/>
      <c r="M93" s="73"/>
      <c r="N93" s="73"/>
      <c r="BG93" s="81"/>
    </row>
    <row r="94" spans="1:59">
      <c r="A94" s="110"/>
      <c r="B94" s="73"/>
      <c r="C94" s="73"/>
      <c r="D94" s="73"/>
      <c r="E94" s="73"/>
      <c r="F94" s="74"/>
      <c r="G94" s="74"/>
      <c r="H94" s="81"/>
      <c r="I94" s="73"/>
      <c r="J94" s="73"/>
      <c r="K94" s="73"/>
      <c r="L94" s="108"/>
      <c r="M94" s="73"/>
      <c r="N94" s="73"/>
    </row>
    <row r="95" spans="1:59">
      <c r="A95" s="73"/>
      <c r="B95" s="73"/>
      <c r="C95" s="73"/>
      <c r="D95" s="73"/>
      <c r="E95" s="73"/>
      <c r="F95" s="74"/>
      <c r="G95" s="74"/>
      <c r="H95" s="81"/>
      <c r="I95" s="73"/>
      <c r="J95" s="73"/>
      <c r="K95" s="73"/>
      <c r="L95" s="74"/>
      <c r="M95" s="73"/>
      <c r="N95" s="73"/>
    </row>
    <row r="96" spans="1:59">
      <c r="A96" s="73"/>
      <c r="B96" s="73"/>
      <c r="C96" s="73"/>
      <c r="D96" s="73"/>
      <c r="E96" s="73"/>
      <c r="F96" s="74"/>
      <c r="G96" s="74"/>
      <c r="H96" s="74"/>
      <c r="I96" s="73"/>
      <c r="J96" s="73"/>
      <c r="K96" s="73"/>
      <c r="L96" s="74"/>
      <c r="M96" s="73"/>
      <c r="N96" s="73"/>
    </row>
    <row r="97" spans="1:14">
      <c r="A97" s="73"/>
      <c r="B97" s="73"/>
      <c r="C97" s="73"/>
      <c r="D97" s="73"/>
      <c r="E97" s="73"/>
      <c r="F97" s="81"/>
      <c r="G97" s="73"/>
      <c r="H97" s="73"/>
      <c r="I97" s="73"/>
      <c r="J97" s="73"/>
      <c r="K97" s="73"/>
      <c r="L97" s="74"/>
      <c r="M97" s="73"/>
      <c r="N97" s="73"/>
    </row>
    <row r="98" spans="1:14">
      <c r="A98" s="73"/>
      <c r="B98" s="73"/>
      <c r="C98" s="73"/>
      <c r="D98" s="73"/>
      <c r="E98" s="73"/>
      <c r="F98" s="81"/>
      <c r="G98" s="73"/>
      <c r="H98" s="73"/>
      <c r="I98" s="73"/>
      <c r="J98" s="73"/>
      <c r="K98" s="73"/>
      <c r="L98" s="74"/>
      <c r="M98" s="73"/>
      <c r="N98" s="73"/>
    </row>
    <row r="99" spans="1:14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4"/>
      <c r="M99" s="73"/>
      <c r="N99" s="73"/>
    </row>
    <row r="100" spans="1:14">
      <c r="A100" s="73"/>
      <c r="B100" s="73"/>
      <c r="C100" s="73"/>
      <c r="D100" s="73"/>
      <c r="E100" s="73"/>
      <c r="F100" s="73"/>
      <c r="G100" s="73"/>
      <c r="H100" s="111"/>
      <c r="I100" s="73"/>
      <c r="J100" s="73"/>
      <c r="K100" s="73"/>
      <c r="L100" s="74"/>
      <c r="M100" s="73"/>
      <c r="N100" s="73"/>
    </row>
    <row r="101" spans="1:14">
      <c r="A101" s="73"/>
      <c r="B101" s="73"/>
      <c r="C101" s="73"/>
      <c r="D101" s="73"/>
      <c r="E101" s="73"/>
      <c r="F101" s="73"/>
      <c r="G101" s="73"/>
      <c r="H101" s="111"/>
      <c r="I101" s="73"/>
      <c r="J101" s="73"/>
      <c r="K101" s="73"/>
      <c r="L101" s="74"/>
      <c r="M101" s="73"/>
      <c r="N101" s="73"/>
    </row>
    <row r="102" spans="1:14">
      <c r="A102" s="73"/>
      <c r="B102" s="73"/>
      <c r="C102" s="73"/>
      <c r="D102" s="73"/>
      <c r="E102" s="73"/>
      <c r="F102" s="74"/>
      <c r="G102" s="74"/>
      <c r="H102" s="74"/>
      <c r="I102" s="73"/>
      <c r="J102" s="73"/>
      <c r="K102" s="73"/>
      <c r="L102" s="74"/>
      <c r="M102" s="73"/>
      <c r="N102" s="73"/>
    </row>
    <row r="103" spans="1:14">
      <c r="A103" s="73"/>
      <c r="B103" s="73"/>
      <c r="C103" s="73"/>
      <c r="D103" s="73"/>
      <c r="E103" s="73"/>
      <c r="F103" s="74"/>
      <c r="G103" s="74"/>
      <c r="H103" s="74"/>
      <c r="I103" s="73"/>
      <c r="J103" s="73"/>
      <c r="K103" s="73"/>
      <c r="L103" s="74"/>
      <c r="M103" s="73"/>
      <c r="N103" s="73"/>
    </row>
    <row r="104" spans="1:14">
      <c r="A104" s="73"/>
      <c r="B104" s="73"/>
      <c r="C104" s="73"/>
      <c r="D104" s="73"/>
      <c r="E104" s="73"/>
      <c r="F104" s="74"/>
      <c r="G104" s="74"/>
      <c r="H104" s="74"/>
      <c r="I104" s="73"/>
      <c r="J104" s="73"/>
      <c r="K104" s="73"/>
      <c r="L104" s="74"/>
      <c r="M104" s="73"/>
      <c r="N104" s="73"/>
    </row>
    <row r="105" spans="1:14">
      <c r="A105" s="73"/>
      <c r="B105" s="73"/>
      <c r="C105" s="73"/>
      <c r="D105" s="73"/>
      <c r="E105" s="73"/>
      <c r="F105" s="74"/>
      <c r="G105" s="74"/>
      <c r="H105" s="74"/>
      <c r="I105" s="73"/>
      <c r="J105" s="73"/>
      <c r="K105" s="73"/>
      <c r="L105" s="74"/>
      <c r="M105" s="73"/>
      <c r="N105" s="73"/>
    </row>
    <row r="106" spans="1:14">
      <c r="A106" s="73"/>
      <c r="B106" s="73"/>
      <c r="C106" s="73"/>
      <c r="D106" s="73"/>
      <c r="E106" s="73"/>
      <c r="F106" s="74"/>
      <c r="G106" s="74"/>
      <c r="H106" s="74"/>
      <c r="I106" s="73"/>
      <c r="J106" s="73"/>
      <c r="K106" s="73"/>
      <c r="L106" s="74"/>
      <c r="M106" s="73"/>
      <c r="N106" s="73"/>
    </row>
    <row r="107" spans="1:14">
      <c r="A107" s="73"/>
      <c r="B107" s="73"/>
      <c r="C107" s="73"/>
      <c r="D107" s="73"/>
      <c r="E107" s="73"/>
      <c r="F107" s="74"/>
      <c r="G107" s="74"/>
      <c r="H107" s="74"/>
      <c r="I107" s="73"/>
      <c r="J107" s="73"/>
      <c r="K107" s="73"/>
      <c r="L107" s="74"/>
      <c r="M107" s="73"/>
      <c r="N107" s="73"/>
    </row>
    <row r="108" spans="1:14">
      <c r="A108" s="73"/>
      <c r="B108" s="73"/>
      <c r="C108" s="73"/>
      <c r="D108" s="73"/>
      <c r="E108" s="73"/>
      <c r="F108" s="108"/>
      <c r="G108" s="112"/>
      <c r="H108" s="108"/>
      <c r="I108" s="109"/>
      <c r="J108" s="108"/>
      <c r="K108" s="112"/>
      <c r="L108" s="74"/>
      <c r="M108" s="73"/>
      <c r="N108" s="73"/>
    </row>
    <row r="109" spans="1:14">
      <c r="A109" s="73"/>
      <c r="B109" s="73"/>
      <c r="C109" s="73"/>
      <c r="D109" s="73"/>
      <c r="E109" s="73"/>
      <c r="F109" s="74"/>
      <c r="G109" s="74"/>
      <c r="H109" s="74"/>
      <c r="I109" s="74"/>
      <c r="J109" s="87"/>
      <c r="K109" s="87"/>
      <c r="L109" s="74"/>
      <c r="M109" s="73"/>
      <c r="N109" s="73"/>
    </row>
    <row r="110" spans="1:14">
      <c r="A110" s="73"/>
      <c r="B110" s="73"/>
      <c r="C110" s="73"/>
      <c r="D110" s="73"/>
      <c r="E110" s="73"/>
      <c r="F110" s="74"/>
      <c r="G110" s="74"/>
      <c r="H110" s="74"/>
      <c r="I110" s="74"/>
      <c r="J110" s="87"/>
      <c r="K110" s="87"/>
      <c r="L110" s="74"/>
      <c r="M110" s="73"/>
      <c r="N110" s="73"/>
    </row>
    <row r="111" spans="1:14">
      <c r="A111" s="73"/>
      <c r="B111" s="73"/>
      <c r="C111" s="73"/>
      <c r="D111" s="73"/>
      <c r="E111" s="73"/>
      <c r="F111" s="74"/>
      <c r="G111" s="74"/>
      <c r="H111" s="74"/>
      <c r="I111" s="74"/>
      <c r="J111" s="87"/>
      <c r="K111" s="87"/>
      <c r="L111" s="74"/>
      <c r="M111" s="73"/>
      <c r="N111" s="73"/>
    </row>
    <row r="112" spans="1:14">
      <c r="A112" s="73"/>
      <c r="B112" s="73"/>
      <c r="C112" s="73"/>
      <c r="D112" s="73"/>
      <c r="E112" s="73"/>
      <c r="F112" s="74"/>
      <c r="G112" s="74"/>
      <c r="H112" s="74"/>
      <c r="I112" s="74"/>
      <c r="J112" s="87"/>
      <c r="K112" s="87"/>
      <c r="L112" s="74"/>
      <c r="M112" s="73"/>
      <c r="N112" s="73"/>
    </row>
    <row r="113" spans="1:14">
      <c r="A113" s="73"/>
      <c r="B113" s="73"/>
      <c r="C113" s="73"/>
      <c r="D113" s="73"/>
      <c r="E113" s="73"/>
      <c r="F113" s="74"/>
      <c r="G113" s="74"/>
      <c r="H113" s="74"/>
      <c r="I113" s="74"/>
      <c r="J113" s="87"/>
      <c r="K113" s="87"/>
      <c r="L113" s="74"/>
      <c r="M113" s="73"/>
      <c r="N113" s="73"/>
    </row>
    <row r="114" spans="1:14">
      <c r="A114" s="73"/>
      <c r="B114" s="73"/>
      <c r="C114" s="73"/>
      <c r="D114" s="73"/>
      <c r="E114" s="73"/>
      <c r="F114" s="74"/>
      <c r="G114" s="74"/>
      <c r="H114" s="74"/>
      <c r="I114" s="74"/>
      <c r="J114" s="87"/>
      <c r="K114" s="87"/>
      <c r="L114" s="74"/>
      <c r="M114" s="73"/>
      <c r="N114" s="73"/>
    </row>
    <row r="115" spans="1:14">
      <c r="A115" s="73"/>
      <c r="B115" s="73"/>
      <c r="C115" s="73"/>
      <c r="D115" s="73"/>
      <c r="E115" s="73"/>
      <c r="F115" s="74"/>
      <c r="G115" s="74"/>
      <c r="H115" s="74"/>
      <c r="I115" s="74"/>
      <c r="J115" s="87"/>
      <c r="K115" s="87"/>
      <c r="L115" s="74"/>
      <c r="M115" s="73"/>
      <c r="N115" s="73"/>
    </row>
    <row r="116" spans="1:14">
      <c r="A116" s="73"/>
      <c r="B116" s="73"/>
      <c r="C116" s="73"/>
      <c r="D116" s="73"/>
      <c r="E116" s="73"/>
      <c r="F116" s="74"/>
      <c r="G116" s="74"/>
      <c r="H116" s="74"/>
      <c r="I116" s="74"/>
      <c r="J116" s="87"/>
      <c r="K116" s="87"/>
      <c r="L116" s="74"/>
      <c r="M116" s="73"/>
      <c r="N116" s="73"/>
    </row>
    <row r="117" spans="1:14">
      <c r="A117" s="73"/>
      <c r="B117" s="73"/>
      <c r="C117" s="73"/>
      <c r="D117" s="73"/>
      <c r="E117" s="73"/>
      <c r="F117" s="74"/>
      <c r="G117" s="74"/>
      <c r="H117" s="74"/>
      <c r="I117" s="74"/>
      <c r="J117" s="87"/>
      <c r="K117" s="87"/>
      <c r="L117" s="73"/>
      <c r="M117" s="73"/>
      <c r="N117" s="73"/>
    </row>
    <row r="118" spans="1:14">
      <c r="A118" s="73"/>
      <c r="B118" s="73"/>
      <c r="C118" s="73"/>
      <c r="D118" s="73"/>
      <c r="E118" s="73"/>
      <c r="F118" s="74"/>
      <c r="G118" s="74"/>
      <c r="H118" s="74"/>
      <c r="I118" s="74"/>
      <c r="J118" s="87"/>
      <c r="K118" s="87"/>
      <c r="L118" s="73"/>
      <c r="M118" s="73"/>
      <c r="N118" s="73"/>
    </row>
    <row r="119" spans="1:14">
      <c r="A119" s="110"/>
      <c r="B119" s="73"/>
      <c r="C119" s="73"/>
      <c r="D119" s="73"/>
      <c r="E119" s="73"/>
      <c r="F119" s="74"/>
      <c r="G119" s="74"/>
      <c r="H119" s="74"/>
      <c r="I119" s="74"/>
      <c r="J119" s="87"/>
      <c r="K119" s="87"/>
      <c r="L119" s="73"/>
      <c r="M119" s="73"/>
      <c r="N119" s="73"/>
    </row>
    <row r="120" spans="1:14">
      <c r="A120" s="73"/>
      <c r="B120" s="73"/>
      <c r="C120" s="73"/>
      <c r="D120" s="73"/>
      <c r="E120" s="73"/>
      <c r="F120" s="74"/>
      <c r="G120" s="74"/>
      <c r="H120" s="74"/>
      <c r="I120" s="74"/>
      <c r="J120" s="87"/>
      <c r="K120" s="87"/>
      <c r="L120" s="74"/>
      <c r="M120" s="73"/>
      <c r="N120" s="73"/>
    </row>
    <row r="121" spans="1:14">
      <c r="A121" s="73"/>
      <c r="B121" s="73"/>
      <c r="C121" s="73"/>
      <c r="D121" s="73"/>
      <c r="E121" s="73"/>
      <c r="F121" s="74"/>
      <c r="G121" s="74"/>
      <c r="H121" s="74"/>
      <c r="I121" s="74"/>
      <c r="J121" s="87"/>
      <c r="K121" s="87"/>
      <c r="L121" s="74"/>
      <c r="M121" s="73"/>
      <c r="N121" s="73"/>
    </row>
    <row r="122" spans="1:14">
      <c r="A122" s="73"/>
      <c r="B122" s="73"/>
      <c r="C122" s="73"/>
      <c r="D122" s="73"/>
      <c r="E122" s="73"/>
      <c r="F122" s="74"/>
      <c r="G122" s="74"/>
      <c r="H122" s="74"/>
      <c r="I122" s="74"/>
      <c r="J122" s="87"/>
      <c r="K122" s="87"/>
      <c r="L122" s="74"/>
      <c r="M122" s="73"/>
      <c r="N122" s="73"/>
    </row>
    <row r="123" spans="1:14">
      <c r="A123" s="73"/>
      <c r="B123" s="73"/>
      <c r="C123" s="73"/>
      <c r="D123" s="73"/>
      <c r="E123" s="73"/>
      <c r="F123" s="74"/>
      <c r="G123" s="74"/>
      <c r="H123" s="74"/>
      <c r="I123" s="74"/>
      <c r="J123" s="87"/>
      <c r="K123" s="87"/>
      <c r="L123" s="74"/>
      <c r="M123" s="73"/>
      <c r="N123" s="73"/>
    </row>
    <row r="124" spans="1:14">
      <c r="A124" s="73"/>
      <c r="B124" s="73"/>
      <c r="C124" s="73"/>
      <c r="D124" s="73"/>
      <c r="E124" s="73"/>
      <c r="F124" s="74"/>
      <c r="G124" s="74"/>
      <c r="H124" s="74"/>
      <c r="I124" s="74"/>
      <c r="J124" s="87"/>
      <c r="K124" s="87"/>
      <c r="L124" s="74"/>
      <c r="M124" s="73"/>
      <c r="N124" s="73"/>
    </row>
    <row r="125" spans="1:14">
      <c r="A125" s="73"/>
      <c r="B125" s="73"/>
      <c r="C125" s="73"/>
      <c r="D125" s="73"/>
      <c r="E125" s="73"/>
      <c r="F125" s="74"/>
      <c r="G125" s="74"/>
      <c r="H125" s="74"/>
      <c r="I125" s="74"/>
      <c r="J125" s="87"/>
      <c r="K125" s="87"/>
      <c r="L125" s="74"/>
      <c r="M125" s="73"/>
      <c r="N125" s="73"/>
    </row>
    <row r="126" spans="1:14">
      <c r="A126" s="73"/>
      <c r="B126" s="73"/>
      <c r="C126" s="73"/>
      <c r="D126" s="73"/>
      <c r="E126" s="73"/>
      <c r="F126" s="74"/>
      <c r="G126" s="74"/>
      <c r="H126" s="74"/>
      <c r="I126" s="74"/>
      <c r="J126" s="87"/>
      <c r="K126" s="87"/>
      <c r="L126" s="74"/>
      <c r="M126" s="73"/>
      <c r="N126" s="73"/>
    </row>
    <row r="127" spans="1:14">
      <c r="A127" s="73"/>
      <c r="B127" s="73"/>
      <c r="C127" s="73"/>
      <c r="D127" s="73"/>
      <c r="E127" s="73"/>
      <c r="F127" s="74"/>
      <c r="G127" s="74"/>
      <c r="H127" s="74"/>
      <c r="I127" s="74"/>
      <c r="J127" s="87"/>
      <c r="K127" s="87"/>
      <c r="L127" s="74"/>
      <c r="M127" s="73"/>
      <c r="N127" s="73"/>
    </row>
    <row r="128" spans="1:14">
      <c r="A128" s="73"/>
      <c r="B128" s="73"/>
      <c r="C128" s="73"/>
      <c r="D128" s="73"/>
      <c r="E128" s="73"/>
      <c r="F128" s="74"/>
      <c r="G128" s="74"/>
      <c r="H128" s="74"/>
      <c r="I128" s="74"/>
      <c r="J128" s="87"/>
      <c r="K128" s="87"/>
      <c r="L128" s="74"/>
      <c r="M128" s="73"/>
      <c r="N128" s="73"/>
    </row>
    <row r="129" spans="1:14">
      <c r="A129" s="73"/>
      <c r="B129" s="73"/>
      <c r="C129" s="73"/>
      <c r="D129" s="73"/>
      <c r="E129" s="73"/>
      <c r="F129" s="74"/>
      <c r="G129" s="74"/>
      <c r="H129" s="74"/>
      <c r="I129" s="74"/>
      <c r="J129" s="87"/>
      <c r="K129" s="87"/>
      <c r="L129" s="74"/>
      <c r="M129" s="73"/>
      <c r="N129" s="73"/>
    </row>
    <row r="130" spans="1:14">
      <c r="A130" s="73"/>
      <c r="B130" s="73"/>
      <c r="C130" s="73"/>
      <c r="D130" s="73"/>
      <c r="E130" s="73"/>
      <c r="F130" s="74"/>
      <c r="G130" s="74"/>
      <c r="H130" s="74"/>
      <c r="I130" s="74"/>
      <c r="J130" s="74"/>
      <c r="K130" s="74"/>
      <c r="L130" s="74"/>
      <c r="M130" s="73"/>
      <c r="N130" s="73"/>
    </row>
    <row r="131" spans="1:14">
      <c r="A131" s="73"/>
      <c r="B131" s="73"/>
      <c r="C131" s="73"/>
      <c r="D131" s="73"/>
      <c r="E131" s="73"/>
      <c r="F131" s="74"/>
      <c r="G131" s="74"/>
      <c r="H131" s="74"/>
      <c r="I131" s="86"/>
      <c r="J131" s="73"/>
      <c r="K131" s="73"/>
      <c r="L131" s="74"/>
      <c r="M131" s="73"/>
      <c r="N131" s="73"/>
    </row>
    <row r="132" spans="1:14">
      <c r="A132" s="73"/>
      <c r="B132" s="73"/>
      <c r="C132" s="73"/>
      <c r="D132" s="73"/>
      <c r="E132" s="73"/>
      <c r="F132" s="74"/>
      <c r="G132" s="74"/>
      <c r="H132" s="74"/>
      <c r="I132" s="86"/>
      <c r="J132" s="73"/>
      <c r="K132" s="73"/>
      <c r="L132" s="74"/>
      <c r="M132" s="73"/>
      <c r="N132" s="73"/>
    </row>
    <row r="133" spans="1:14">
      <c r="A133" s="73"/>
      <c r="B133" s="73"/>
      <c r="C133" s="73"/>
      <c r="D133" s="73"/>
      <c r="E133" s="73"/>
      <c r="F133" s="74"/>
      <c r="G133" s="74"/>
      <c r="H133" s="74"/>
      <c r="I133" s="86"/>
      <c r="J133" s="73"/>
      <c r="K133" s="73"/>
      <c r="L133" s="73"/>
      <c r="M133" s="73"/>
      <c r="N133" s="73"/>
    </row>
    <row r="134" spans="1:14">
      <c r="A134" s="73"/>
      <c r="B134" s="73"/>
      <c r="C134" s="73"/>
      <c r="D134" s="73"/>
      <c r="E134" s="73"/>
      <c r="F134" s="74"/>
      <c r="G134" s="74"/>
      <c r="H134" s="74"/>
      <c r="I134" s="86"/>
      <c r="J134" s="73"/>
      <c r="K134" s="87"/>
      <c r="L134" s="73"/>
      <c r="M134" s="73"/>
      <c r="N134" s="73"/>
    </row>
    <row r="135" spans="1:14">
      <c r="A135" s="73"/>
      <c r="B135" s="73"/>
      <c r="C135" s="73"/>
      <c r="D135" s="73"/>
      <c r="E135" s="73"/>
      <c r="F135" s="74"/>
      <c r="G135" s="74"/>
      <c r="H135" s="74"/>
      <c r="I135" s="86"/>
      <c r="J135" s="73"/>
      <c r="K135" s="87"/>
      <c r="L135" s="73"/>
      <c r="M135" s="73"/>
      <c r="N135" s="73"/>
    </row>
    <row r="136" spans="1:14">
      <c r="A136" s="73"/>
      <c r="B136" s="73"/>
      <c r="C136" s="73"/>
      <c r="D136" s="73"/>
      <c r="E136" s="73"/>
      <c r="F136" s="74"/>
      <c r="G136" s="74"/>
      <c r="H136" s="74"/>
      <c r="I136" s="86"/>
      <c r="J136" s="73"/>
      <c r="K136" s="87"/>
      <c r="L136" s="73"/>
      <c r="M136" s="73"/>
      <c r="N136" s="73"/>
    </row>
    <row r="137" spans="1:14">
      <c r="A137" s="73"/>
      <c r="B137" s="73"/>
      <c r="C137" s="73"/>
      <c r="D137" s="73"/>
      <c r="E137" s="73"/>
      <c r="F137" s="74"/>
      <c r="G137" s="74"/>
      <c r="H137" s="74"/>
      <c r="I137" s="86"/>
      <c r="J137" s="73"/>
      <c r="K137" s="87"/>
      <c r="L137" s="73"/>
      <c r="M137" s="73"/>
      <c r="N137" s="73"/>
    </row>
    <row r="138" spans="1:14">
      <c r="A138" s="73"/>
      <c r="B138" s="73"/>
      <c r="C138" s="73"/>
      <c r="D138" s="73"/>
      <c r="E138" s="73"/>
      <c r="F138" s="74"/>
      <c r="G138" s="74"/>
      <c r="H138" s="74"/>
      <c r="I138" s="86"/>
      <c r="J138" s="73"/>
      <c r="K138" s="87"/>
      <c r="L138" s="73"/>
      <c r="M138" s="73"/>
      <c r="N138" s="73"/>
    </row>
    <row r="139" spans="1:14">
      <c r="A139" s="73"/>
      <c r="B139" s="73"/>
      <c r="C139" s="73"/>
      <c r="D139" s="73"/>
      <c r="E139" s="73"/>
      <c r="F139" s="74"/>
      <c r="G139" s="74"/>
      <c r="H139" s="74"/>
      <c r="I139" s="86"/>
      <c r="J139" s="73"/>
      <c r="K139" s="87"/>
      <c r="L139" s="73"/>
      <c r="M139" s="73"/>
      <c r="N139" s="73"/>
    </row>
    <row r="140" spans="1:14">
      <c r="A140" s="73"/>
      <c r="B140" s="73"/>
      <c r="C140" s="73"/>
      <c r="D140" s="73"/>
      <c r="E140" s="73"/>
      <c r="F140" s="74"/>
      <c r="G140" s="74"/>
      <c r="H140" s="74"/>
      <c r="I140" s="86"/>
      <c r="J140" s="73"/>
      <c r="K140" s="87"/>
      <c r="L140" s="73"/>
      <c r="M140" s="73"/>
      <c r="N140" s="73"/>
    </row>
    <row r="141" spans="1:14">
      <c r="A141" s="73"/>
      <c r="B141" s="73"/>
      <c r="C141" s="73"/>
      <c r="D141" s="73"/>
      <c r="E141" s="73"/>
      <c r="F141" s="74"/>
      <c r="G141" s="74"/>
      <c r="H141" s="74"/>
      <c r="I141" s="86"/>
      <c r="J141" s="73"/>
      <c r="K141" s="87"/>
      <c r="L141" s="73"/>
      <c r="M141" s="73"/>
      <c r="N141" s="73"/>
    </row>
    <row r="142" spans="1:14">
      <c r="A142" s="73"/>
      <c r="B142" s="73"/>
      <c r="C142" s="73"/>
      <c r="D142" s="73"/>
      <c r="E142" s="73"/>
      <c r="F142" s="74"/>
      <c r="G142" s="74"/>
      <c r="H142" s="74"/>
      <c r="I142" s="86"/>
      <c r="J142" s="73"/>
      <c r="K142" s="87"/>
      <c r="L142" s="73"/>
      <c r="M142" s="73"/>
      <c r="N142" s="73"/>
    </row>
    <row r="143" spans="1:14">
      <c r="A143" s="73"/>
      <c r="B143" s="73"/>
      <c r="C143" s="73"/>
      <c r="D143" s="73"/>
      <c r="E143" s="73"/>
      <c r="F143" s="74"/>
      <c r="G143" s="74"/>
      <c r="H143" s="74"/>
      <c r="I143" s="86"/>
      <c r="J143" s="73"/>
      <c r="K143" s="87"/>
      <c r="L143" s="73"/>
      <c r="M143" s="73"/>
      <c r="N143" s="73"/>
    </row>
    <row r="144" spans="1:14">
      <c r="A144" s="73"/>
      <c r="B144" s="73"/>
      <c r="C144" s="73"/>
      <c r="D144" s="73"/>
      <c r="E144" s="73"/>
      <c r="F144" s="74"/>
      <c r="G144" s="74"/>
      <c r="H144" s="74"/>
      <c r="I144" s="86"/>
      <c r="J144" s="73"/>
      <c r="K144" s="87"/>
      <c r="L144" s="73"/>
      <c r="M144" s="73"/>
      <c r="N144" s="73"/>
    </row>
    <row r="145" spans="1:14">
      <c r="A145" s="73"/>
      <c r="B145" s="73"/>
      <c r="C145" s="73"/>
      <c r="D145" s="73"/>
      <c r="E145" s="73"/>
      <c r="F145" s="74"/>
      <c r="G145" s="74"/>
      <c r="H145" s="74"/>
      <c r="I145" s="86"/>
      <c r="J145" s="73"/>
      <c r="K145" s="73"/>
      <c r="L145" s="73"/>
      <c r="M145" s="73"/>
      <c r="N145" s="73"/>
    </row>
    <row r="146" spans="1:14">
      <c r="A146" s="73"/>
      <c r="B146" s="73"/>
      <c r="C146" s="73"/>
      <c r="D146" s="73"/>
      <c r="E146" s="73"/>
      <c r="F146" s="74"/>
      <c r="G146" s="74"/>
      <c r="H146" s="74"/>
      <c r="I146" s="86"/>
      <c r="J146" s="73"/>
      <c r="K146" s="86"/>
      <c r="L146" s="73"/>
      <c r="M146" s="73"/>
      <c r="N146" s="73"/>
    </row>
    <row r="147" spans="1:14">
      <c r="A147" s="73"/>
      <c r="B147" s="73"/>
      <c r="C147" s="73"/>
      <c r="D147" s="73"/>
      <c r="E147" s="73"/>
      <c r="F147" s="74"/>
      <c r="G147" s="74"/>
      <c r="H147" s="74"/>
      <c r="I147" s="86"/>
      <c r="J147" s="74"/>
      <c r="K147" s="74"/>
      <c r="L147" s="73"/>
      <c r="M147" s="73"/>
      <c r="N147" s="73"/>
    </row>
    <row r="148" spans="1:14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</row>
    <row r="149" spans="1:14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</row>
    <row r="150" spans="1:14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</row>
    <row r="151" spans="1:14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</row>
    <row r="152" spans="1:14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</row>
    <row r="153" spans="1:14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</row>
    <row r="154" spans="1:14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</row>
  </sheetData>
  <phoneticPr fontId="0" type="noConversion"/>
  <pageMargins left="0.75" right="0" top="0.75" bottom="0" header="0.5" footer="0.5"/>
  <pageSetup scale="73" orientation="portrait" r:id="rId1"/>
  <headerFooter alignWithMargins="0">
    <oddHeader>&amp;L&amp;F&amp;A&amp;R&amp;D&amp;T sw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D37"/>
  <sheetViews>
    <sheetView topLeftCell="A10" workbookViewId="0">
      <selection activeCell="D29" sqref="D29"/>
    </sheetView>
  </sheetViews>
  <sheetFormatPr defaultRowHeight="12.75"/>
  <sheetData>
    <row r="2" spans="2:4">
      <c r="D2" t="s">
        <v>167</v>
      </c>
    </row>
    <row r="4" spans="2:4">
      <c r="B4" t="s">
        <v>170</v>
      </c>
    </row>
    <row r="5" spans="2:4">
      <c r="B5" t="s">
        <v>171</v>
      </c>
    </row>
    <row r="6" spans="2:4">
      <c r="B6">
        <v>1</v>
      </c>
      <c r="C6" s="26" t="s">
        <v>185</v>
      </c>
    </row>
    <row r="7" spans="2:4">
      <c r="C7" s="26" t="s">
        <v>206</v>
      </c>
    </row>
    <row r="8" spans="2:4">
      <c r="B8">
        <v>2</v>
      </c>
      <c r="C8" t="s">
        <v>168</v>
      </c>
    </row>
    <row r="9" spans="2:4">
      <c r="C9" t="s">
        <v>204</v>
      </c>
    </row>
    <row r="10" spans="2:4">
      <c r="C10" s="26" t="s">
        <v>205</v>
      </c>
    </row>
    <row r="11" spans="2:4">
      <c r="B11">
        <v>3</v>
      </c>
      <c r="C11" t="s">
        <v>169</v>
      </c>
    </row>
    <row r="12" spans="2:4" hidden="1">
      <c r="B12">
        <v>4</v>
      </c>
      <c r="C12" s="158" t="s">
        <v>195</v>
      </c>
    </row>
    <row r="13" spans="2:4">
      <c r="B13">
        <v>4</v>
      </c>
      <c r="C13" s="26" t="s">
        <v>253</v>
      </c>
    </row>
    <row r="15" spans="2:4">
      <c r="B15" t="s">
        <v>173</v>
      </c>
    </row>
    <row r="16" spans="2:4">
      <c r="B16" t="s">
        <v>172</v>
      </c>
    </row>
    <row r="17" spans="2:3">
      <c r="B17">
        <v>1</v>
      </c>
      <c r="C17" s="26" t="s">
        <v>194</v>
      </c>
    </row>
    <row r="18" spans="2:3">
      <c r="B18">
        <v>2</v>
      </c>
      <c r="C18" s="26" t="s">
        <v>186</v>
      </c>
    </row>
    <row r="19" spans="2:3">
      <c r="B19">
        <v>3</v>
      </c>
      <c r="C19" s="26" t="s">
        <v>187</v>
      </c>
    </row>
    <row r="21" spans="2:3">
      <c r="B21" t="s">
        <v>210</v>
      </c>
    </row>
    <row r="22" spans="2:3">
      <c r="B22" t="s">
        <v>174</v>
      </c>
    </row>
    <row r="24" spans="2:3">
      <c r="B24" s="26" t="s">
        <v>196</v>
      </c>
    </row>
    <row r="25" spans="2:3">
      <c r="B25" s="26"/>
    </row>
    <row r="26" spans="2:3">
      <c r="B26" s="26" t="s">
        <v>207</v>
      </c>
    </row>
    <row r="27" spans="2:3">
      <c r="B27">
        <v>1</v>
      </c>
      <c r="C27" s="26" t="s">
        <v>254</v>
      </c>
    </row>
    <row r="28" spans="2:3">
      <c r="B28">
        <v>2</v>
      </c>
      <c r="C28" s="158" t="s">
        <v>209</v>
      </c>
    </row>
    <row r="29" spans="2:3">
      <c r="B29">
        <v>3</v>
      </c>
      <c r="C29" s="158" t="s">
        <v>197</v>
      </c>
    </row>
    <row r="30" spans="2:3">
      <c r="B30">
        <v>4</v>
      </c>
      <c r="C30" s="26" t="s">
        <v>198</v>
      </c>
    </row>
    <row r="31" spans="2:3">
      <c r="B31">
        <v>5</v>
      </c>
      <c r="C31" s="26" t="s">
        <v>97</v>
      </c>
    </row>
    <row r="33" spans="2:3">
      <c r="B33" s="26" t="s">
        <v>199</v>
      </c>
    </row>
    <row r="34" spans="2:3">
      <c r="B34">
        <v>1</v>
      </c>
      <c r="C34" s="26" t="s">
        <v>200</v>
      </c>
    </row>
    <row r="35" spans="2:3">
      <c r="C35" s="26" t="s">
        <v>201</v>
      </c>
    </row>
    <row r="36" spans="2:3">
      <c r="B36">
        <v>2</v>
      </c>
      <c r="C36" s="26" t="s">
        <v>202</v>
      </c>
    </row>
    <row r="37" spans="2:3">
      <c r="C37" s="26" t="s">
        <v>203</v>
      </c>
    </row>
  </sheetData>
  <phoneticPr fontId="13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1"/>
  <sheetViews>
    <sheetView workbookViewId="0">
      <selection activeCell="K1" sqref="K1"/>
    </sheetView>
  </sheetViews>
  <sheetFormatPr defaultRowHeight="12.75"/>
  <cols>
    <col min="2" max="2" width="39.28515625" bestFit="1" customWidth="1"/>
    <col min="3" max="6" width="14" bestFit="1" customWidth="1"/>
    <col min="7" max="12" width="13.5703125" bestFit="1" customWidth="1"/>
    <col min="13" max="14" width="14" bestFit="1" customWidth="1"/>
    <col min="15" max="15" width="78.85546875" bestFit="1" customWidth="1"/>
    <col min="16" max="16" width="174" bestFit="1" customWidth="1"/>
  </cols>
  <sheetData>
    <row r="1" spans="1:17">
      <c r="O1" s="264" t="s">
        <v>362</v>
      </c>
      <c r="P1" s="71"/>
      <c r="Q1" s="233"/>
    </row>
    <row r="2" spans="1:17">
      <c r="C2" s="13">
        <v>43131</v>
      </c>
      <c r="D2" s="13">
        <f>EOMONTH(C2,1)</f>
        <v>43159</v>
      </c>
      <c r="E2" s="13">
        <f t="shared" ref="E2:N2" si="0">EOMONTH(D2,1)</f>
        <v>43190</v>
      </c>
      <c r="F2" s="13">
        <f t="shared" si="0"/>
        <v>43220</v>
      </c>
      <c r="G2" s="13">
        <f t="shared" si="0"/>
        <v>43251</v>
      </c>
      <c r="H2" s="13">
        <f t="shared" si="0"/>
        <v>43281</v>
      </c>
      <c r="I2" s="13">
        <f t="shared" si="0"/>
        <v>43312</v>
      </c>
      <c r="J2" s="13">
        <f t="shared" si="0"/>
        <v>43343</v>
      </c>
      <c r="K2" s="13">
        <f t="shared" si="0"/>
        <v>43373</v>
      </c>
      <c r="L2" s="13">
        <f t="shared" si="0"/>
        <v>43404</v>
      </c>
      <c r="M2" s="13">
        <f t="shared" si="0"/>
        <v>43434</v>
      </c>
      <c r="N2" s="13">
        <f t="shared" si="0"/>
        <v>43465</v>
      </c>
      <c r="O2" s="294" t="s">
        <v>396</v>
      </c>
      <c r="P2" s="71"/>
    </row>
    <row r="3" spans="1:17">
      <c r="A3" s="2" t="s">
        <v>369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7">
      <c r="B4" s="266" t="s">
        <v>13</v>
      </c>
      <c r="C4" s="272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</row>
    <row r="5" spans="1:17">
      <c r="A5" s="298">
        <f>'WA Summary '!A15</f>
        <v>9</v>
      </c>
      <c r="B5" s="51" t="s">
        <v>3</v>
      </c>
      <c r="C5" s="287">
        <v>12127251.189999999</v>
      </c>
      <c r="D5" s="288">
        <v>11591984.93</v>
      </c>
      <c r="E5" s="288">
        <v>10660400.51</v>
      </c>
      <c r="F5" s="288">
        <v>10031882.140000001</v>
      </c>
      <c r="G5" s="293">
        <v>7204007.3300000001</v>
      </c>
      <c r="H5" s="293">
        <v>6832768.3600000003</v>
      </c>
      <c r="I5" s="293">
        <v>7367141.2599999998</v>
      </c>
      <c r="J5" s="293">
        <v>8064915.6600000001</v>
      </c>
      <c r="K5" s="293">
        <v>7448796.1699999999</v>
      </c>
      <c r="L5" s="293">
        <v>7999787.46</v>
      </c>
      <c r="M5" s="293">
        <v>11642227.199999999</v>
      </c>
      <c r="N5" s="293">
        <v>12112599.34</v>
      </c>
    </row>
    <row r="6" spans="1:17">
      <c r="A6" s="298">
        <f>'WA Summary '!A16</f>
        <v>10</v>
      </c>
      <c r="B6" s="51" t="s">
        <v>6</v>
      </c>
      <c r="C6" s="287">
        <v>-7154528.2800000003</v>
      </c>
      <c r="D6" s="288">
        <v>-6331582.5999999996</v>
      </c>
      <c r="E6" s="288">
        <v>-7373144.1100000003</v>
      </c>
      <c r="F6" s="288">
        <v>-9451450.3200000003</v>
      </c>
      <c r="G6" s="293">
        <v>-3992970.36</v>
      </c>
      <c r="H6" s="293">
        <v>-3782255.59</v>
      </c>
      <c r="I6" s="293">
        <v>-5325599.3499999996</v>
      </c>
      <c r="J6" s="293">
        <v>-3215250.64</v>
      </c>
      <c r="K6" s="293">
        <v>-4016772.06</v>
      </c>
      <c r="L6" s="293">
        <v>-3304258.83</v>
      </c>
      <c r="M6" s="293">
        <v>-4468024.59</v>
      </c>
      <c r="N6" s="293">
        <v>-6320022.7000000002</v>
      </c>
    </row>
    <row r="7" spans="1:17">
      <c r="A7" s="298">
        <f>'WA Summary '!A17</f>
        <v>11</v>
      </c>
      <c r="B7" s="51" t="s">
        <v>4</v>
      </c>
      <c r="C7" s="287">
        <v>2667343.1</v>
      </c>
      <c r="D7" s="288">
        <v>2503516.62</v>
      </c>
      <c r="E7" s="288">
        <v>2494287.48</v>
      </c>
      <c r="F7" s="288">
        <v>2179004.29</v>
      </c>
      <c r="G7" s="293">
        <v>1551263.17</v>
      </c>
      <c r="H7" s="293">
        <v>1358750.78</v>
      </c>
      <c r="I7" s="293">
        <v>2219592.2200000002</v>
      </c>
      <c r="J7" s="293">
        <v>2478124.66</v>
      </c>
      <c r="K7" s="293">
        <v>2578207.41</v>
      </c>
      <c r="L7" s="293">
        <v>2592986.98</v>
      </c>
      <c r="M7" s="293">
        <v>2566832.77</v>
      </c>
      <c r="N7" s="293">
        <v>2703883.73</v>
      </c>
    </row>
    <row r="8" spans="1:17">
      <c r="A8" s="298">
        <f>'WA Summary '!A18</f>
        <v>12</v>
      </c>
      <c r="B8" s="51" t="s">
        <v>5</v>
      </c>
      <c r="C8" s="287">
        <v>8481667.5999999996</v>
      </c>
      <c r="D8" s="288">
        <v>7698691.8099999996</v>
      </c>
      <c r="E8" s="288">
        <v>7292619.1900000004</v>
      </c>
      <c r="F8" s="288">
        <v>5265751.1399999997</v>
      </c>
      <c r="G8" s="293">
        <v>1426182.27</v>
      </c>
      <c r="H8" s="293">
        <v>1698326.77</v>
      </c>
      <c r="I8" s="293">
        <v>5653252.0099999998</v>
      </c>
      <c r="J8" s="293">
        <v>7341418.3399999999</v>
      </c>
      <c r="K8" s="293">
        <v>6493557.54</v>
      </c>
      <c r="L8" s="293">
        <v>6103470.4500000002</v>
      </c>
      <c r="M8" s="293">
        <v>6561954.4000000004</v>
      </c>
      <c r="N8" s="293">
        <v>8397560.5700000003</v>
      </c>
    </row>
    <row r="9" spans="1:17">
      <c r="A9" s="298">
        <f>'WA Summary '!A19</f>
        <v>13</v>
      </c>
      <c r="B9" s="51" t="s">
        <v>139</v>
      </c>
      <c r="C9" s="287">
        <v>-1306341.6000000001</v>
      </c>
      <c r="D9" s="288">
        <v>-1061936.3799999999</v>
      </c>
      <c r="E9" s="288">
        <v>-1137644.24</v>
      </c>
      <c r="F9" s="288">
        <v>-1166933.42</v>
      </c>
      <c r="G9" s="293">
        <v>-1253487.52</v>
      </c>
      <c r="H9" s="293">
        <v>-1398528.7</v>
      </c>
      <c r="I9" s="293">
        <v>-1450378.42</v>
      </c>
      <c r="J9" s="293">
        <v>-1346818.86</v>
      </c>
      <c r="K9" s="293">
        <v>-1372212.68</v>
      </c>
      <c r="L9" s="293">
        <v>-1319316.33</v>
      </c>
      <c r="M9" s="293">
        <v>-1257650.3400000001</v>
      </c>
      <c r="N9" s="293">
        <v>-1191496.26</v>
      </c>
    </row>
    <row r="10" spans="1:17">
      <c r="A10" s="298">
        <f>'WA Summary '!A20</f>
        <v>14</v>
      </c>
      <c r="B10" s="51" t="s">
        <v>106</v>
      </c>
      <c r="C10" s="287">
        <v>1503378.97</v>
      </c>
      <c r="D10" s="288">
        <v>1417561.5</v>
      </c>
      <c r="E10" s="288">
        <v>1557827.18</v>
      </c>
      <c r="F10" s="288">
        <v>1347286.17</v>
      </c>
      <c r="G10" s="293">
        <v>1394142.28</v>
      </c>
      <c r="H10" s="293">
        <v>1391307.66</v>
      </c>
      <c r="I10" s="293">
        <v>1452951.07</v>
      </c>
      <c r="J10" s="293">
        <v>1443201.71</v>
      </c>
      <c r="K10" s="293">
        <v>1567440.78</v>
      </c>
      <c r="L10" s="293">
        <v>1406860.96</v>
      </c>
      <c r="M10" s="293">
        <v>1416448.5</v>
      </c>
      <c r="N10" s="293">
        <v>1446134.29</v>
      </c>
    </row>
    <row r="11" spans="1:17">
      <c r="A11" s="298">
        <f>'WA Summary '!A21</f>
        <v>15</v>
      </c>
      <c r="B11" s="51" t="s">
        <v>107</v>
      </c>
      <c r="C11" s="287">
        <v>57500</v>
      </c>
      <c r="D11" s="288">
        <v>57500</v>
      </c>
      <c r="E11" s="288">
        <v>57500</v>
      </c>
      <c r="F11" s="288">
        <v>57500</v>
      </c>
      <c r="G11" s="293">
        <v>34250</v>
      </c>
      <c r="H11" s="293">
        <v>34250</v>
      </c>
      <c r="I11" s="293">
        <v>34250</v>
      </c>
      <c r="J11" s="293">
        <v>34250</v>
      </c>
      <c r="K11" s="293">
        <v>34250</v>
      </c>
      <c r="L11" s="293">
        <v>34250</v>
      </c>
      <c r="M11" s="293">
        <v>34250</v>
      </c>
      <c r="N11" s="293">
        <v>34250</v>
      </c>
    </row>
    <row r="12" spans="1:17">
      <c r="A12" s="299">
        <f>'WA Summary '!A22</f>
        <v>16</v>
      </c>
      <c r="B12" s="26" t="s">
        <v>378</v>
      </c>
      <c r="C12" s="288">
        <v>-125000</v>
      </c>
      <c r="D12" s="288">
        <v>-125000</v>
      </c>
      <c r="E12" s="288">
        <v>-125000</v>
      </c>
      <c r="F12" s="288">
        <v>-125000</v>
      </c>
      <c r="G12" s="293">
        <v>-165583.32999999999</v>
      </c>
      <c r="H12" s="293">
        <v>-165583.32999999999</v>
      </c>
      <c r="I12" s="293">
        <v>-165583.32999999999</v>
      </c>
      <c r="J12" s="293">
        <v>-165583.32999999999</v>
      </c>
      <c r="K12" s="293">
        <v>-165583.32999999999</v>
      </c>
      <c r="L12" s="293">
        <v>-165583.32999999999</v>
      </c>
      <c r="M12" s="293">
        <v>-165583.32999999999</v>
      </c>
      <c r="N12" s="293">
        <v>-165583.32999999999</v>
      </c>
      <c r="O12" s="138" t="s">
        <v>397</v>
      </c>
    </row>
    <row r="13" spans="1:17">
      <c r="A13" s="299">
        <f>'WA Summary '!A27</f>
        <v>21</v>
      </c>
      <c r="B13" s="51" t="s">
        <v>218</v>
      </c>
      <c r="C13" s="283">
        <v>0.64710000000000001</v>
      </c>
      <c r="D13" s="283">
        <v>0.64710000000000001</v>
      </c>
      <c r="E13" s="283">
        <v>0.64710000000000001</v>
      </c>
      <c r="F13" s="283">
        <v>0.64710000000000001</v>
      </c>
      <c r="G13" s="295">
        <v>0.6573</v>
      </c>
      <c r="H13" s="295">
        <v>0.6573</v>
      </c>
      <c r="I13" s="295">
        <v>0.6573</v>
      </c>
      <c r="J13" s="295">
        <v>0.6573</v>
      </c>
      <c r="K13" s="295">
        <v>0.6573</v>
      </c>
      <c r="L13" s="295">
        <v>0.6573</v>
      </c>
      <c r="M13" s="295">
        <v>0.6573</v>
      </c>
      <c r="N13" s="295">
        <v>0.6573</v>
      </c>
    </row>
    <row r="14" spans="1:17"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</row>
    <row r="16" spans="1:17"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</row>
    <row r="17" spans="1:16">
      <c r="A17" s="2" t="s">
        <v>361</v>
      </c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</row>
    <row r="18" spans="1:16">
      <c r="B18" s="140" t="s">
        <v>14</v>
      </c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</row>
    <row r="19" spans="1:16">
      <c r="A19" s="1">
        <f>'WA Monthly'!A8</f>
        <v>2</v>
      </c>
      <c r="B19" s="51" t="s">
        <v>258</v>
      </c>
      <c r="C19" s="270">
        <f>1216938-490204.75</f>
        <v>726733.25</v>
      </c>
      <c r="D19" s="270">
        <v>1216938</v>
      </c>
      <c r="E19" s="270">
        <v>1216938</v>
      </c>
      <c r="F19" s="270">
        <v>1216938</v>
      </c>
      <c r="G19" s="270">
        <v>1216938</v>
      </c>
      <c r="H19" s="270">
        <v>1216938</v>
      </c>
      <c r="I19" s="270">
        <v>1216938</v>
      </c>
      <c r="J19" s="270">
        <v>1216938</v>
      </c>
      <c r="K19" s="270">
        <v>1216938</v>
      </c>
      <c r="L19" s="270"/>
      <c r="M19" s="270"/>
      <c r="N19" s="270"/>
    </row>
    <row r="20" spans="1:16">
      <c r="A20" s="1">
        <f>'WA Monthly'!A9</f>
        <v>3</v>
      </c>
      <c r="B20" s="51" t="s">
        <v>259</v>
      </c>
      <c r="C20" s="270">
        <v>67916.61</v>
      </c>
      <c r="D20" s="270">
        <v>81240.899999999994</v>
      </c>
      <c r="E20" s="270">
        <v>93497.61</v>
      </c>
      <c r="F20" s="270">
        <v>152573.94</v>
      </c>
      <c r="G20" s="270">
        <v>162896.94</v>
      </c>
      <c r="H20" s="270">
        <v>158630.1</v>
      </c>
      <c r="I20" s="270">
        <v>58962.21</v>
      </c>
      <c r="J20" s="270">
        <v>55517.73</v>
      </c>
      <c r="K20" s="270">
        <v>50510</v>
      </c>
      <c r="L20" s="270"/>
      <c r="M20" s="270"/>
      <c r="N20" s="270"/>
    </row>
    <row r="21" spans="1:16">
      <c r="A21" s="1">
        <f>'WA Monthly'!A10</f>
        <v>4</v>
      </c>
      <c r="B21" s="51" t="s">
        <v>262</v>
      </c>
      <c r="C21" s="270">
        <v>153740</v>
      </c>
      <c r="D21" s="270">
        <v>153740</v>
      </c>
      <c r="E21" s="270">
        <v>153740</v>
      </c>
      <c r="F21" s="270">
        <v>153740</v>
      </c>
      <c r="G21" s="270">
        <v>153740</v>
      </c>
      <c r="H21" s="270">
        <v>153740</v>
      </c>
      <c r="I21" s="270">
        <v>153740</v>
      </c>
      <c r="J21" s="270">
        <v>153740</v>
      </c>
      <c r="K21" s="270">
        <v>165218</v>
      </c>
      <c r="L21" s="270"/>
      <c r="M21" s="270"/>
      <c r="N21" s="270"/>
    </row>
    <row r="22" spans="1:16">
      <c r="A22" s="1">
        <f>'WA Monthly'!A11</f>
        <v>5</v>
      </c>
      <c r="B22" s="51" t="s">
        <v>260</v>
      </c>
      <c r="C22" s="270">
        <v>618453.74</v>
      </c>
      <c r="D22" s="270">
        <v>618453.74</v>
      </c>
      <c r="E22" s="270">
        <v>618453.74</v>
      </c>
      <c r="F22" s="270">
        <f>618453.74+172659.84</f>
        <v>791113.58</v>
      </c>
      <c r="G22" s="270">
        <v>618453.74</v>
      </c>
      <c r="H22" s="270">
        <v>618453.74</v>
      </c>
      <c r="I22" s="270">
        <v>618453.74</v>
      </c>
      <c r="J22" s="270">
        <v>618453.74</v>
      </c>
      <c r="K22" s="270">
        <v>618453.74</v>
      </c>
      <c r="L22" s="270"/>
      <c r="M22" s="270"/>
      <c r="N22" s="270"/>
    </row>
    <row r="23" spans="1:16" ht="14.25">
      <c r="A23" s="1">
        <f>'WA Monthly'!A12</f>
        <v>6</v>
      </c>
      <c r="B23" s="26" t="s">
        <v>261</v>
      </c>
      <c r="C23" s="270">
        <v>3744666.75</v>
      </c>
      <c r="D23" s="270">
        <v>3383687</v>
      </c>
      <c r="E23" s="270">
        <v>1848736.5</v>
      </c>
      <c r="F23" s="270">
        <v>1790509.9</v>
      </c>
      <c r="G23" s="273"/>
      <c r="H23" s="273"/>
      <c r="I23" s="273"/>
      <c r="J23" s="273"/>
      <c r="K23" s="273"/>
      <c r="L23" s="273"/>
      <c r="M23" s="270"/>
      <c r="N23" s="270"/>
    </row>
    <row r="24" spans="1:16">
      <c r="A24" s="1">
        <f>'WA Monthly'!A13</f>
        <v>7</v>
      </c>
      <c r="B24" t="s">
        <v>255</v>
      </c>
      <c r="C24" s="270">
        <v>1067.57</v>
      </c>
      <c r="D24" s="270">
        <v>885.41</v>
      </c>
      <c r="E24" s="270">
        <v>1088.27</v>
      </c>
      <c r="F24" s="270">
        <v>716.55</v>
      </c>
      <c r="G24" s="270">
        <v>691.35</v>
      </c>
      <c r="H24" s="270">
        <v>443.81</v>
      </c>
      <c r="I24" s="270">
        <v>537.20000000000005</v>
      </c>
      <c r="J24" s="270">
        <v>656.06</v>
      </c>
      <c r="K24" s="270">
        <v>647.57000000000005</v>
      </c>
      <c r="L24" s="270"/>
      <c r="M24" s="270"/>
      <c r="N24" s="270"/>
    </row>
    <row r="25" spans="1:16">
      <c r="A25" s="1">
        <f>'WA Monthly'!A14</f>
        <v>8</v>
      </c>
      <c r="B25" s="2" t="s">
        <v>368</v>
      </c>
      <c r="C25" s="277">
        <f>SUM(C26:C33)</f>
        <v>196326.72</v>
      </c>
      <c r="D25" s="277">
        <f t="shared" ref="D25:N25" si="1">SUM(D26:D33)</f>
        <v>176449.19</v>
      </c>
      <c r="E25" s="277">
        <f t="shared" si="1"/>
        <v>137699.89000000001</v>
      </c>
      <c r="F25" s="277">
        <f t="shared" si="1"/>
        <v>145244.5</v>
      </c>
      <c r="G25" s="277">
        <f t="shared" si="1"/>
        <v>118255.54</v>
      </c>
      <c r="H25" s="277">
        <f t="shared" si="1"/>
        <v>119817.55</v>
      </c>
      <c r="I25" s="277">
        <f t="shared" si="1"/>
        <v>109806.91</v>
      </c>
      <c r="J25" s="277">
        <f t="shared" si="1"/>
        <v>71032.06</v>
      </c>
      <c r="K25" s="277">
        <f t="shared" si="1"/>
        <v>47083.97</v>
      </c>
      <c r="L25" s="277">
        <f t="shared" si="1"/>
        <v>0</v>
      </c>
      <c r="M25" s="277">
        <f t="shared" si="1"/>
        <v>0</v>
      </c>
      <c r="N25" s="277">
        <f t="shared" si="1"/>
        <v>0</v>
      </c>
      <c r="P25" s="143"/>
    </row>
    <row r="26" spans="1:16">
      <c r="A26" s="1"/>
      <c r="B26" s="142" t="s">
        <v>364</v>
      </c>
      <c r="C26" s="270">
        <v>87062.6</v>
      </c>
      <c r="D26" s="270">
        <v>69242.05</v>
      </c>
      <c r="E26" s="270">
        <v>40381.07</v>
      </c>
      <c r="F26" s="270">
        <v>37858.050000000003</v>
      </c>
      <c r="G26" s="270">
        <v>19569.04</v>
      </c>
      <c r="H26" s="270">
        <v>8986.94</v>
      </c>
      <c r="I26" s="270">
        <v>0</v>
      </c>
      <c r="J26" s="270">
        <v>0</v>
      </c>
      <c r="K26" s="270">
        <v>0</v>
      </c>
      <c r="L26" s="270"/>
      <c r="M26" s="270"/>
      <c r="N26" s="270"/>
    </row>
    <row r="27" spans="1:16">
      <c r="A27" s="1"/>
      <c r="B27" s="142" t="s">
        <v>365</v>
      </c>
      <c r="C27" s="270">
        <v>25338.94</v>
      </c>
      <c r="D27" s="270">
        <v>23425.64</v>
      </c>
      <c r="E27" s="270">
        <v>30273.599999999999</v>
      </c>
      <c r="F27" s="270">
        <v>41252.879999999997</v>
      </c>
      <c r="G27" s="270">
        <v>25145.26</v>
      </c>
      <c r="H27" s="270">
        <v>46034.32</v>
      </c>
      <c r="I27" s="270">
        <v>40001.599999999999</v>
      </c>
      <c r="J27" s="270">
        <v>19852.87</v>
      </c>
      <c r="K27" s="270">
        <v>15376.48</v>
      </c>
      <c r="L27" s="270"/>
      <c r="M27" s="270"/>
      <c r="N27" s="270"/>
    </row>
    <row r="28" spans="1:16">
      <c r="A28" s="1"/>
      <c r="B28" s="142" t="s">
        <v>383</v>
      </c>
      <c r="C28" s="270">
        <v>0</v>
      </c>
      <c r="D28" s="270">
        <v>0</v>
      </c>
      <c r="E28" s="270">
        <v>0</v>
      </c>
      <c r="F28" s="270">
        <v>0</v>
      </c>
      <c r="G28" s="270">
        <v>0</v>
      </c>
      <c r="H28" s="270">
        <v>0</v>
      </c>
      <c r="I28" s="270">
        <v>1318.96</v>
      </c>
      <c r="J28" s="270">
        <v>195.89</v>
      </c>
      <c r="K28" s="270">
        <v>0</v>
      </c>
      <c r="L28" s="270">
        <v>0</v>
      </c>
      <c r="M28" s="270">
        <v>0</v>
      </c>
      <c r="N28" s="270">
        <v>0</v>
      </c>
    </row>
    <row r="29" spans="1:16">
      <c r="A29" s="1"/>
      <c r="B29" s="142" t="s">
        <v>366</v>
      </c>
      <c r="C29" s="270">
        <v>18784.810000000001</v>
      </c>
      <c r="D29" s="270">
        <v>20311.2</v>
      </c>
      <c r="E29" s="270">
        <v>11733.87</v>
      </c>
      <c r="F29" s="270">
        <v>15232.61</v>
      </c>
      <c r="G29" s="270">
        <v>12944.55</v>
      </c>
      <c r="H29" s="270">
        <v>5177.3100000000004</v>
      </c>
      <c r="I29" s="270">
        <v>4932.8100000000004</v>
      </c>
      <c r="J29" s="270">
        <v>5297.8</v>
      </c>
      <c r="K29" s="270">
        <v>11.34</v>
      </c>
      <c r="L29" s="270"/>
      <c r="M29" s="270"/>
      <c r="N29" s="270"/>
    </row>
    <row r="30" spans="1:16">
      <c r="A30" s="1"/>
      <c r="B30" s="291" t="s">
        <v>388</v>
      </c>
      <c r="C30" s="270">
        <v>2282.34</v>
      </c>
      <c r="D30" s="270">
        <v>7907.08</v>
      </c>
      <c r="E30" s="270">
        <v>2888.35</v>
      </c>
      <c r="F30" s="270">
        <v>5800.34</v>
      </c>
      <c r="G30" s="270">
        <v>9597.16</v>
      </c>
      <c r="H30" s="270">
        <v>9738.5499999999993</v>
      </c>
      <c r="I30" s="270">
        <v>7531.67</v>
      </c>
      <c r="J30" s="270">
        <v>4142.82</v>
      </c>
      <c r="K30" s="270">
        <v>2483.13</v>
      </c>
      <c r="L30" s="270"/>
      <c r="M30" s="270"/>
      <c r="N30" s="270"/>
    </row>
    <row r="31" spans="1:16">
      <c r="A31" s="1"/>
      <c r="B31" s="291" t="s">
        <v>389</v>
      </c>
      <c r="C31" s="270">
        <v>56380.92</v>
      </c>
      <c r="D31" s="270">
        <v>49329.04</v>
      </c>
      <c r="E31" s="270">
        <v>48233.1</v>
      </c>
      <c r="F31" s="270">
        <v>42288.05</v>
      </c>
      <c r="G31" s="270">
        <v>46520.15</v>
      </c>
      <c r="H31" s="270">
        <v>46108</v>
      </c>
      <c r="I31" s="270">
        <v>49928.76</v>
      </c>
      <c r="J31" s="270">
        <v>35531.86</v>
      </c>
      <c r="K31" s="270">
        <v>22061.94</v>
      </c>
      <c r="L31" s="270"/>
      <c r="M31" s="270"/>
      <c r="N31" s="270"/>
    </row>
    <row r="32" spans="1:16">
      <c r="A32" s="1"/>
      <c r="B32" s="142" t="s">
        <v>367</v>
      </c>
      <c r="C32" s="270">
        <v>5160.53</v>
      </c>
      <c r="D32" s="270">
        <v>4274.9799999999996</v>
      </c>
      <c r="E32" s="270">
        <v>2364.63</v>
      </c>
      <c r="F32" s="270">
        <v>2812.57</v>
      </c>
      <c r="G32" s="270">
        <v>4479.38</v>
      </c>
      <c r="H32" s="270">
        <v>3772.43</v>
      </c>
      <c r="I32" s="270">
        <v>5638.58</v>
      </c>
      <c r="J32" s="270">
        <v>6010.82</v>
      </c>
      <c r="K32" s="270">
        <v>7021.77</v>
      </c>
      <c r="L32" s="270"/>
      <c r="M32" s="270"/>
      <c r="N32" s="270"/>
    </row>
    <row r="33" spans="1:14">
      <c r="A33" s="1"/>
      <c r="B33" s="291" t="s">
        <v>390</v>
      </c>
      <c r="C33" s="270">
        <v>1316.58</v>
      </c>
      <c r="D33" s="270">
        <v>1959.2</v>
      </c>
      <c r="E33" s="270">
        <v>1825.27</v>
      </c>
      <c r="F33" s="270">
        <v>0</v>
      </c>
      <c r="G33" s="270">
        <v>0</v>
      </c>
      <c r="H33" s="270">
        <v>0</v>
      </c>
      <c r="I33" s="270">
        <v>454.53</v>
      </c>
      <c r="J33" s="270">
        <v>0</v>
      </c>
      <c r="K33" s="270">
        <v>129.31</v>
      </c>
      <c r="L33" s="270">
        <v>0</v>
      </c>
      <c r="M33" s="270">
        <v>0</v>
      </c>
      <c r="N33" s="270"/>
    </row>
    <row r="34" spans="1:14">
      <c r="A34" s="1">
        <f>'WA Monthly'!A15</f>
        <v>9</v>
      </c>
      <c r="B34" s="138" t="s">
        <v>391</v>
      </c>
      <c r="C34" s="270">
        <v>167411.29999999999</v>
      </c>
      <c r="D34" s="270">
        <v>151142.16</v>
      </c>
      <c r="E34" s="270">
        <v>134752.32000000001</v>
      </c>
      <c r="F34" s="270">
        <v>9638.73</v>
      </c>
      <c r="G34" s="270">
        <v>139720.07999999999</v>
      </c>
      <c r="H34" s="270">
        <v>156195</v>
      </c>
      <c r="I34" s="270">
        <v>206662.44</v>
      </c>
      <c r="J34" s="270">
        <v>124688.08</v>
      </c>
      <c r="K34" s="270">
        <v>38427.199999999997</v>
      </c>
      <c r="L34" s="270"/>
      <c r="M34" s="270"/>
      <c r="N34" s="270"/>
    </row>
    <row r="35" spans="1:14">
      <c r="A35" s="1">
        <f>'WA Monthly'!A16</f>
        <v>10</v>
      </c>
      <c r="B35" s="26" t="s">
        <v>372</v>
      </c>
      <c r="C35" s="270">
        <v>509116.36</v>
      </c>
      <c r="D35" s="270">
        <v>428289.88</v>
      </c>
      <c r="E35" s="270">
        <v>551749.19999999995</v>
      </c>
      <c r="F35" s="270">
        <v>336085.63</v>
      </c>
      <c r="G35" s="270">
        <v>237800.84</v>
      </c>
      <c r="H35" s="270">
        <v>242504.84</v>
      </c>
      <c r="I35" s="270">
        <v>18009.36</v>
      </c>
      <c r="J35" s="270">
        <v>61.36</v>
      </c>
      <c r="K35" s="270">
        <v>7398.64</v>
      </c>
      <c r="L35" s="270"/>
      <c r="M35" s="270"/>
      <c r="N35" s="270"/>
    </row>
    <row r="36" spans="1:14">
      <c r="A36" s="1">
        <f>'WA Monthly'!A17</f>
        <v>11</v>
      </c>
      <c r="B36" s="138" t="s">
        <v>392</v>
      </c>
      <c r="C36" s="270">
        <v>503269.5</v>
      </c>
      <c r="D36" s="270">
        <v>466387.56</v>
      </c>
      <c r="E36" s="270">
        <v>406267.94</v>
      </c>
      <c r="F36" s="270">
        <v>349209.12</v>
      </c>
      <c r="G36" s="270">
        <v>332411.43</v>
      </c>
      <c r="H36" s="270">
        <v>457879.89</v>
      </c>
      <c r="I36" s="270">
        <v>561310.80000000005</v>
      </c>
      <c r="J36" s="270">
        <v>434207.7</v>
      </c>
      <c r="K36" s="270">
        <v>588004.9</v>
      </c>
      <c r="L36" s="270"/>
      <c r="M36" s="270"/>
      <c r="N36" s="270"/>
    </row>
    <row r="37" spans="1:14">
      <c r="A37" s="1">
        <f>'WA Monthly'!A18</f>
        <v>12</v>
      </c>
      <c r="B37" s="138" t="s">
        <v>393</v>
      </c>
      <c r="C37" s="270">
        <v>0</v>
      </c>
      <c r="D37" s="270">
        <v>0</v>
      </c>
      <c r="E37" s="270">
        <f>1411.5+1359.92</f>
        <v>2771.42</v>
      </c>
      <c r="F37" s="270">
        <v>1252.47</v>
      </c>
      <c r="G37" s="270">
        <v>1245.71</v>
      </c>
      <c r="H37" s="270">
        <v>1021</v>
      </c>
      <c r="I37" s="270">
        <v>1028.3599999999999</v>
      </c>
      <c r="J37" s="270">
        <v>1024.68</v>
      </c>
      <c r="K37" s="270">
        <v>1109.4100000000001</v>
      </c>
      <c r="L37" s="270">
        <v>0</v>
      </c>
      <c r="M37" s="270">
        <v>0</v>
      </c>
      <c r="N37" s="270">
        <v>0</v>
      </c>
    </row>
    <row r="38" spans="1:14">
      <c r="A38" s="1">
        <f>'WA Monthly'!A19</f>
        <v>13</v>
      </c>
      <c r="B38" s="52" t="s">
        <v>256</v>
      </c>
      <c r="C38" s="270">
        <f>2311799.36+35.95+15018.17</f>
        <v>2326853.48</v>
      </c>
      <c r="D38" s="270">
        <f>2144634.67-5035.12+6261.75+37010.14</f>
        <v>2182871.44</v>
      </c>
      <c r="E38" s="270">
        <f>2331714.55+99.39+25957.02</f>
        <v>2357770.96</v>
      </c>
      <c r="F38" s="270">
        <f>2184072.62+66.5+51631.06</f>
        <v>2235770.1800000002</v>
      </c>
      <c r="G38" s="270">
        <f>2056178.44+121.01+41759.13</f>
        <v>2098058.58</v>
      </c>
      <c r="H38" s="270">
        <f>2041840.76+129.2+14420.2</f>
        <v>2056390.16</v>
      </c>
      <c r="I38" s="270">
        <f>2361758.54-0.01+73.61+15763.98</f>
        <v>2377596.12</v>
      </c>
      <c r="J38" s="270">
        <f>2358639.46-40.51+57648.67</f>
        <v>2416247.62</v>
      </c>
      <c r="K38" s="270">
        <f>2352121.14+79.14+73159.66</f>
        <v>2425359.94</v>
      </c>
      <c r="L38" s="270"/>
      <c r="M38" s="270"/>
      <c r="N38" s="270"/>
    </row>
    <row r="39" spans="1:14">
      <c r="A39" s="1">
        <f>'WA Monthly'!A20</f>
        <v>14</v>
      </c>
      <c r="B39" s="52" t="s">
        <v>283</v>
      </c>
      <c r="C39" s="270">
        <v>2365264</v>
      </c>
      <c r="D39" s="270">
        <v>2240477.6</v>
      </c>
      <c r="E39" s="270">
        <v>2072807.2</v>
      </c>
      <c r="F39" s="270">
        <v>2009810</v>
      </c>
      <c r="G39" s="270">
        <v>1146210.8</v>
      </c>
      <c r="H39" s="270">
        <v>1530958.8</v>
      </c>
      <c r="I39" s="270">
        <v>1018827.2</v>
      </c>
      <c r="J39" s="270">
        <v>1297090</v>
      </c>
      <c r="K39" s="270">
        <v>1187101.6000000001</v>
      </c>
      <c r="L39" s="270"/>
      <c r="M39" s="270"/>
      <c r="N39" s="270"/>
    </row>
    <row r="40" spans="1:14">
      <c r="A40" s="1"/>
      <c r="B40" s="52"/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</row>
    <row r="41" spans="1:14">
      <c r="A41" s="1"/>
      <c r="B41" s="269" t="s">
        <v>166</v>
      </c>
      <c r="C41" s="286">
        <f>89265*(45.32-41.95)</f>
        <v>300823.05</v>
      </c>
      <c r="D41" s="286">
        <f>80660*(45.32-41.95)</f>
        <v>271824.2</v>
      </c>
      <c r="E41" s="286">
        <f>44070*(45.32-41.95)</f>
        <v>148515.9</v>
      </c>
      <c r="F41" s="286">
        <f>42682*(45.32-41.95)</f>
        <v>143838.34</v>
      </c>
      <c r="G41" s="274"/>
      <c r="H41" s="274"/>
      <c r="I41" s="274"/>
      <c r="J41" s="274"/>
      <c r="K41" s="274"/>
      <c r="L41" s="274"/>
      <c r="M41" s="286">
        <f>58380*(46.15-45.61)</f>
        <v>31525.200000000001</v>
      </c>
      <c r="N41" s="286">
        <f>60320*(46.15-45.61)</f>
        <v>32572.799999999999</v>
      </c>
    </row>
    <row r="42" spans="1:14"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</row>
    <row r="43" spans="1:14">
      <c r="B43" s="239" t="s">
        <v>26</v>
      </c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</row>
    <row r="44" spans="1:14">
      <c r="A44" s="1">
        <f>'WA Monthly'!A41</f>
        <v>19</v>
      </c>
      <c r="B44" s="71" t="s">
        <v>32</v>
      </c>
      <c r="C44" s="270">
        <v>96850.08</v>
      </c>
      <c r="D44" s="270">
        <v>54051.06</v>
      </c>
      <c r="E44" s="270">
        <v>67735.03</v>
      </c>
      <c r="F44" s="270">
        <v>46837.56</v>
      </c>
      <c r="G44" s="270">
        <v>23444.400000000001</v>
      </c>
      <c r="H44" s="270">
        <v>38086.019999999997</v>
      </c>
      <c r="I44" s="270">
        <v>256172.96</v>
      </c>
      <c r="J44" s="270">
        <v>268722.36</v>
      </c>
      <c r="K44" s="270">
        <v>122394.78</v>
      </c>
      <c r="L44" s="270"/>
      <c r="M44" s="270"/>
      <c r="N44" s="270"/>
    </row>
    <row r="45" spans="1:14">
      <c r="A45" s="1">
        <f>'WA Monthly'!A42</f>
        <v>20</v>
      </c>
      <c r="B45" s="52" t="s">
        <v>375</v>
      </c>
      <c r="C45" s="270">
        <f>5766+3073.73+3073.73+1064.5</f>
        <v>12977.96</v>
      </c>
      <c r="D45" s="285">
        <f>5208+2746.01+2746.01+894.25</f>
        <v>11594.27</v>
      </c>
      <c r="E45" s="270">
        <f>699+5758.25+2905.76+2905.76</f>
        <v>12268.77</v>
      </c>
      <c r="F45" s="270">
        <f>864+22320+386.64+386.64</f>
        <v>23957.279999999999</v>
      </c>
      <c r="G45" s="270">
        <f>676.25+5766+2899.01+2899.01</f>
        <v>12240.27</v>
      </c>
      <c r="H45" s="270">
        <f>5580+2815.43+2815.43+676.5</f>
        <v>11887.36</v>
      </c>
      <c r="I45" s="270">
        <f>790.75+5766+2950.54+2950.54</f>
        <v>12457.83</v>
      </c>
      <c r="J45" s="270">
        <f>758.75+5766+2936.14+2936.14</f>
        <v>12397.03</v>
      </c>
      <c r="K45" s="270">
        <f>5580+2801.93+2801.93+646.5</f>
        <v>11830.36</v>
      </c>
      <c r="L45" s="270"/>
      <c r="M45" s="270"/>
      <c r="N45" s="270"/>
    </row>
    <row r="46" spans="1:14">
      <c r="A46" s="1">
        <f>'WA Monthly'!A43</f>
        <v>21</v>
      </c>
      <c r="B46" s="71" t="s">
        <v>53</v>
      </c>
      <c r="C46" s="270">
        <f>10587.71+10587.71+26351.64+4376.14+4376.14+5580</f>
        <v>61859.34</v>
      </c>
      <c r="D46" s="285">
        <f>9540.79+9540.79+23745.96+5636.93+5636.93+5040</f>
        <v>59141.4</v>
      </c>
      <c r="E46" s="270">
        <f>10713.83+10713.83+26665.52+5981.18+5981.18+5572.5</f>
        <v>65628.039999999994</v>
      </c>
      <c r="F46" s="270">
        <f>9452.7+9452.7+23526.72+5190.53+5190.53+5400</f>
        <v>58213.18</v>
      </c>
      <c r="G46" s="270">
        <f>9289.35+9289.35+23120.16+580.61+580.61+5580</f>
        <v>48440.08</v>
      </c>
      <c r="H46" s="270">
        <f>8588.25+8588.25+21375.2+2612.81+2612.81+5400</f>
        <v>49177.32</v>
      </c>
      <c r="I46" s="270">
        <f>8840.93+8840.93+22004.08+5465.7+5465.7+5580</f>
        <v>56197.34</v>
      </c>
      <c r="J46" s="270">
        <f>8690.4+8690.4+21629.44+2890.01+2890.01+5580</f>
        <v>50370.26</v>
      </c>
      <c r="K46" s="270">
        <f>8671.84+8671.84+21583.24+2890.01+2890.01+5400</f>
        <v>50106.94</v>
      </c>
      <c r="L46" s="270"/>
      <c r="M46" s="270"/>
      <c r="N46" s="270"/>
    </row>
    <row r="47" spans="1:14">
      <c r="A47" s="1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</row>
    <row r="48" spans="1:14">
      <c r="A48" s="1"/>
      <c r="B48" s="239" t="s">
        <v>28</v>
      </c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</row>
    <row r="49" spans="1:14">
      <c r="A49" s="1">
        <f>'WA Monthly'!A65</f>
        <v>29</v>
      </c>
      <c r="B49" s="71" t="s">
        <v>21</v>
      </c>
      <c r="C49" s="22">
        <v>53359</v>
      </c>
      <c r="D49" s="22">
        <v>48502</v>
      </c>
      <c r="E49" s="22">
        <v>58811</v>
      </c>
      <c r="F49" s="22">
        <v>52478</v>
      </c>
      <c r="G49" s="22">
        <v>0</v>
      </c>
      <c r="H49" s="22">
        <v>16710</v>
      </c>
      <c r="I49" s="22">
        <v>56362</v>
      </c>
      <c r="J49" s="22">
        <v>58199</v>
      </c>
      <c r="K49" s="22">
        <v>57315</v>
      </c>
      <c r="L49" s="22"/>
      <c r="M49" s="22"/>
      <c r="N49" s="22"/>
    </row>
    <row r="50" spans="1:14">
      <c r="A50" s="1">
        <f>'WA Monthly'!A66</f>
        <v>30</v>
      </c>
      <c r="B50" s="71" t="s">
        <v>30</v>
      </c>
      <c r="C50" s="22">
        <v>99606</v>
      </c>
      <c r="D50" s="22">
        <v>73063</v>
      </c>
      <c r="E50" s="22">
        <v>96702</v>
      </c>
      <c r="F50" s="22">
        <v>72391</v>
      </c>
      <c r="G50" s="22">
        <v>52614</v>
      </c>
      <c r="H50" s="22">
        <v>61022</v>
      </c>
      <c r="I50" s="22">
        <v>23288</v>
      </c>
      <c r="J50" s="22">
        <v>49111</v>
      </c>
      <c r="K50" s="22">
        <v>82493</v>
      </c>
      <c r="L50" s="22"/>
      <c r="M50" s="22"/>
      <c r="N50" s="22"/>
    </row>
    <row r="51" spans="1:14">
      <c r="C51" s="270"/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270"/>
    </row>
    <row r="52" spans="1:14">
      <c r="A52" s="2" t="s">
        <v>377</v>
      </c>
      <c r="C52" s="270"/>
      <c r="D52" s="270"/>
      <c r="E52" s="270"/>
      <c r="F52" s="270"/>
      <c r="G52" s="270"/>
      <c r="H52" s="270"/>
      <c r="I52" s="270"/>
      <c r="J52" s="270"/>
      <c r="K52" s="270"/>
      <c r="L52" s="270"/>
      <c r="M52" s="270"/>
      <c r="N52" s="270"/>
    </row>
    <row r="53" spans="1:14">
      <c r="A53" s="1">
        <v>8</v>
      </c>
      <c r="B53" s="7" t="s">
        <v>373</v>
      </c>
      <c r="C53" s="22">
        <f>574459679/1000</f>
        <v>574460</v>
      </c>
      <c r="D53" s="22">
        <f>485123313/1000</f>
        <v>485123</v>
      </c>
      <c r="E53" s="22">
        <f>466253415/1000</f>
        <v>466253</v>
      </c>
      <c r="F53" s="22">
        <f>456156773/1000</f>
        <v>456157</v>
      </c>
      <c r="G53" s="22">
        <f>380975932/1000</f>
        <v>380976</v>
      </c>
      <c r="H53" s="22">
        <f>422918343/1000</f>
        <v>422918</v>
      </c>
      <c r="I53" s="22">
        <f>442081662/1000</f>
        <v>442082</v>
      </c>
      <c r="J53" s="22">
        <f>510132476/1000</f>
        <v>510132</v>
      </c>
      <c r="K53" s="22">
        <f>452187273/1000</f>
        <v>452187</v>
      </c>
      <c r="L53" s="22"/>
      <c r="M53" s="22"/>
      <c r="N53" s="22"/>
    </row>
    <row r="54" spans="1:14">
      <c r="A54" s="1">
        <v>10</v>
      </c>
      <c r="B54" s="7" t="s">
        <v>374</v>
      </c>
      <c r="C54" s="22">
        <f>232280424/1000</f>
        <v>232280</v>
      </c>
      <c r="D54" s="22">
        <f>228150617/1000</f>
        <v>228151</v>
      </c>
      <c r="E54" s="22">
        <f>250554267/1000</f>
        <v>250554</v>
      </c>
      <c r="F54" s="22">
        <f>228167045/1000</f>
        <v>228167</v>
      </c>
      <c r="G54" s="22">
        <f>264392948/1000</f>
        <v>264393</v>
      </c>
      <c r="H54" s="22">
        <f>261603337/1000</f>
        <v>261603</v>
      </c>
      <c r="I54" s="22">
        <f>303870716/1000</f>
        <v>303871</v>
      </c>
      <c r="J54" s="22">
        <f>290569560/1000</f>
        <v>290570</v>
      </c>
      <c r="K54" s="22">
        <f>237418718/1000</f>
        <v>237419</v>
      </c>
      <c r="L54" s="22"/>
      <c r="M54" s="22"/>
      <c r="N54" s="22"/>
    </row>
    <row r="55" spans="1:14">
      <c r="A55" s="1">
        <v>12</v>
      </c>
      <c r="B55" s="7" t="s">
        <v>328</v>
      </c>
      <c r="C55" s="289">
        <v>555937</v>
      </c>
      <c r="D55" s="289">
        <v>498647</v>
      </c>
      <c r="E55" s="289">
        <v>492113</v>
      </c>
      <c r="F55" s="289">
        <v>431145</v>
      </c>
      <c r="G55" s="296">
        <v>432473</v>
      </c>
      <c r="H55" s="296">
        <v>424693</v>
      </c>
      <c r="I55" s="296">
        <v>490670</v>
      </c>
      <c r="J55" s="296">
        <v>464617</v>
      </c>
      <c r="K55" s="296">
        <v>435934</v>
      </c>
      <c r="L55" s="296">
        <v>436959</v>
      </c>
      <c r="M55" s="296">
        <v>468856</v>
      </c>
      <c r="N55" s="296">
        <v>553150</v>
      </c>
    </row>
    <row r="56" spans="1:14">
      <c r="A56" s="1">
        <v>14</v>
      </c>
      <c r="B56" s="7" t="s">
        <v>329</v>
      </c>
      <c r="C56" s="290">
        <v>15.66</v>
      </c>
      <c r="D56" s="290">
        <v>15.66</v>
      </c>
      <c r="E56" s="290">
        <v>15.66</v>
      </c>
      <c r="F56" s="290">
        <v>15.66</v>
      </c>
      <c r="G56" s="297">
        <v>18.11</v>
      </c>
      <c r="H56" s="297">
        <v>18.11</v>
      </c>
      <c r="I56" s="297">
        <v>18.11</v>
      </c>
      <c r="J56" s="297">
        <v>18.11</v>
      </c>
      <c r="K56" s="297">
        <v>18.11</v>
      </c>
      <c r="L56" s="297">
        <v>18.11</v>
      </c>
      <c r="M56" s="297">
        <v>18.11</v>
      </c>
      <c r="N56" s="297">
        <v>18.11</v>
      </c>
    </row>
    <row r="57" spans="1:14">
      <c r="A57" s="1"/>
      <c r="B57" s="7"/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</row>
    <row r="58" spans="1:14">
      <c r="A58" s="1">
        <v>21</v>
      </c>
      <c r="B58" s="7" t="s">
        <v>324</v>
      </c>
      <c r="C58" s="275">
        <v>-37943.33</v>
      </c>
      <c r="D58" s="275">
        <v>339003.31</v>
      </c>
      <c r="E58" s="275">
        <v>187670.73</v>
      </c>
      <c r="F58" s="275">
        <v>-84609.600000000006</v>
      </c>
      <c r="G58" s="275">
        <v>107839.18</v>
      </c>
      <c r="H58" s="275">
        <v>-120586.87</v>
      </c>
      <c r="I58" s="275">
        <v>-749950.95</v>
      </c>
      <c r="J58" s="275">
        <v>-189109.75</v>
      </c>
      <c r="K58" s="275">
        <v>-118698.29</v>
      </c>
      <c r="L58" s="275">
        <v>-79221.710000000006</v>
      </c>
      <c r="M58" s="275">
        <v>-448598.03</v>
      </c>
      <c r="N58" s="275">
        <v>-402928.44</v>
      </c>
    </row>
    <row r="59" spans="1:14">
      <c r="A59" s="1"/>
      <c r="B59" s="7"/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</row>
    <row r="60" spans="1:14">
      <c r="C60" s="270"/>
      <c r="D60" s="270"/>
      <c r="E60" s="270"/>
      <c r="F60" s="270"/>
      <c r="G60" s="270"/>
      <c r="H60" s="270"/>
      <c r="I60" s="270"/>
      <c r="J60" s="270"/>
      <c r="K60" s="270"/>
      <c r="L60" s="270"/>
      <c r="M60" s="270"/>
      <c r="N60" s="270"/>
    </row>
    <row r="61" spans="1:14">
      <c r="A61" s="2" t="s">
        <v>363</v>
      </c>
      <c r="C61" s="270"/>
      <c r="D61" s="270"/>
      <c r="E61" s="270"/>
      <c r="F61" s="270"/>
      <c r="G61" s="270"/>
      <c r="H61" s="270"/>
      <c r="I61" s="270"/>
      <c r="J61" s="270"/>
      <c r="K61" s="270"/>
      <c r="L61" s="270"/>
      <c r="M61" s="270"/>
      <c r="N61" s="270"/>
    </row>
    <row r="62" spans="1:14">
      <c r="B62" s="4" t="s">
        <v>12</v>
      </c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0"/>
      <c r="N62" s="270"/>
    </row>
    <row r="63" spans="1:14">
      <c r="A63" s="1" t="e">
        <f>#REF!</f>
        <v>#REF!</v>
      </c>
      <c r="B63" s="71" t="s">
        <v>3</v>
      </c>
      <c r="C63" s="275">
        <v>9702833.2899999991</v>
      </c>
      <c r="D63" s="275">
        <v>10328500.119999999</v>
      </c>
      <c r="E63" s="275">
        <v>8924403.1600000001</v>
      </c>
      <c r="F63" s="275">
        <v>7339923.5499999998</v>
      </c>
      <c r="G63" s="275">
        <v>5493489.1799999997</v>
      </c>
      <c r="H63" s="275">
        <v>5495060.4100000001</v>
      </c>
      <c r="I63" s="275">
        <v>6450837.8700000001</v>
      </c>
      <c r="J63" s="275">
        <v>7374829.1500000004</v>
      </c>
      <c r="K63" s="275">
        <v>6454509.96</v>
      </c>
      <c r="L63" s="275">
        <v>6678057.5800000001</v>
      </c>
      <c r="M63" s="275">
        <v>9322262.8599999994</v>
      </c>
      <c r="N63" s="275">
        <v>9533433.6400000006</v>
      </c>
    </row>
    <row r="64" spans="1:14">
      <c r="A64" s="1" t="e">
        <f>#REF!</f>
        <v>#REF!</v>
      </c>
      <c r="B64" s="71" t="s">
        <v>6</v>
      </c>
      <c r="C64" s="275">
        <v>-3781357.36</v>
      </c>
      <c r="D64" s="275">
        <v>-1822086.49</v>
      </c>
      <c r="E64" s="275">
        <v>-2040710.31</v>
      </c>
      <c r="F64" s="275">
        <v>-2860479.36</v>
      </c>
      <c r="G64" s="275">
        <v>-2523087.88</v>
      </c>
      <c r="H64" s="275">
        <v>-2502706</v>
      </c>
      <c r="I64" s="275">
        <v>-4670615.3</v>
      </c>
      <c r="J64" s="275">
        <v>-2827345.05</v>
      </c>
      <c r="K64" s="275">
        <v>-2878367.34</v>
      </c>
      <c r="L64" s="275">
        <v>-2286264.87</v>
      </c>
      <c r="M64" s="275">
        <v>-3502619.01</v>
      </c>
      <c r="N64" s="275">
        <v>-5561523.5599999996</v>
      </c>
    </row>
    <row r="65" spans="1:14">
      <c r="A65" s="1" t="e">
        <f>#REF!</f>
        <v>#REF!</v>
      </c>
      <c r="B65" s="71" t="s">
        <v>4</v>
      </c>
      <c r="C65" s="275">
        <v>2710747.74</v>
      </c>
      <c r="D65" s="275">
        <v>2436292.5499999998</v>
      </c>
      <c r="E65" s="275">
        <v>2495478.85</v>
      </c>
      <c r="F65" s="275">
        <v>1999248.03</v>
      </c>
      <c r="G65" s="275">
        <v>1543139.19</v>
      </c>
      <c r="H65" s="275">
        <v>1346032.7</v>
      </c>
      <c r="I65" s="275">
        <v>2191772.3199999998</v>
      </c>
      <c r="J65" s="275">
        <v>2428910.81</v>
      </c>
      <c r="K65" s="275">
        <v>2491210.04</v>
      </c>
      <c r="L65" s="275">
        <v>2486833.9700000002</v>
      </c>
      <c r="M65" s="275">
        <v>2527218.2799999998</v>
      </c>
      <c r="N65" s="275">
        <v>2686721.65</v>
      </c>
    </row>
    <row r="66" spans="1:14">
      <c r="A66" s="1" t="e">
        <f>#REF!</f>
        <v>#REF!</v>
      </c>
      <c r="B66" s="71" t="s">
        <v>5</v>
      </c>
      <c r="C66" s="275">
        <v>8280148.4299999997</v>
      </c>
      <c r="D66" s="275">
        <v>5188309.49</v>
      </c>
      <c r="E66" s="275">
        <v>4595189.95</v>
      </c>
      <c r="F66" s="275">
        <v>2864295.64</v>
      </c>
      <c r="G66" s="275">
        <v>1538979.51</v>
      </c>
      <c r="H66" s="275">
        <v>1733332.64</v>
      </c>
      <c r="I66" s="275">
        <v>5506610.8600000003</v>
      </c>
      <c r="J66" s="275">
        <v>6911917.7199999997</v>
      </c>
      <c r="K66" s="275">
        <v>5890074.7699999996</v>
      </c>
      <c r="L66" s="275">
        <v>5805698.3300000001</v>
      </c>
      <c r="M66" s="275">
        <v>6416983.3099999996</v>
      </c>
      <c r="N66" s="275">
        <v>8327512.7999999998</v>
      </c>
    </row>
    <row r="67" spans="1:14">
      <c r="A67" s="1" t="e">
        <f>#REF!</f>
        <v>#REF!</v>
      </c>
      <c r="B67" s="71" t="s">
        <v>139</v>
      </c>
      <c r="C67" s="275">
        <v>-1062694.25</v>
      </c>
      <c r="D67" s="275">
        <v>-1178480.71</v>
      </c>
      <c r="E67" s="275">
        <v>-1177115.3999999999</v>
      </c>
      <c r="F67" s="275">
        <v>-1141305.3700000001</v>
      </c>
      <c r="G67" s="275">
        <v>-1253487.52</v>
      </c>
      <c r="H67" s="275">
        <v>-1398528.7</v>
      </c>
      <c r="I67" s="275">
        <v>-1450378.42</v>
      </c>
      <c r="J67" s="275">
        <v>-1346818.86</v>
      </c>
      <c r="K67" s="275">
        <v>-1372212.68</v>
      </c>
      <c r="L67" s="275">
        <v>-1319316.33</v>
      </c>
      <c r="M67" s="275">
        <v>-1257650.3400000001</v>
      </c>
      <c r="N67" s="275">
        <v>-1191496.26</v>
      </c>
    </row>
    <row r="68" spans="1:14">
      <c r="A68" s="1" t="e">
        <f>#REF!</f>
        <v>#REF!</v>
      </c>
      <c r="B68" s="71" t="s">
        <v>106</v>
      </c>
      <c r="C68" s="275">
        <v>1367136.34</v>
      </c>
      <c r="D68" s="275">
        <v>1600334.72</v>
      </c>
      <c r="E68" s="275">
        <v>1468739.29</v>
      </c>
      <c r="F68" s="275">
        <v>1449914.73</v>
      </c>
      <c r="G68" s="275">
        <v>1423359.44</v>
      </c>
      <c r="H68" s="275">
        <v>1415702.57</v>
      </c>
      <c r="I68" s="275">
        <v>1470703.45</v>
      </c>
      <c r="J68" s="275">
        <v>1461594.51</v>
      </c>
      <c r="K68" s="275">
        <v>1427129.57</v>
      </c>
      <c r="L68" s="275">
        <v>1424958.44</v>
      </c>
      <c r="M68" s="275">
        <v>1434977.94</v>
      </c>
      <c r="N68" s="275">
        <v>1459895.67</v>
      </c>
    </row>
    <row r="69" spans="1:14">
      <c r="A69" s="1" t="e">
        <f>#REF!</f>
        <v>#REF!</v>
      </c>
      <c r="B69" s="32" t="s">
        <v>379</v>
      </c>
      <c r="C69" s="275">
        <v>-293350</v>
      </c>
      <c r="D69" s="275">
        <v>-264550</v>
      </c>
      <c r="E69" s="275">
        <v>-293350</v>
      </c>
      <c r="F69" s="275">
        <v>-283750</v>
      </c>
      <c r="G69" s="275">
        <v>-293350</v>
      </c>
      <c r="H69" s="275">
        <v>-283750</v>
      </c>
      <c r="I69" s="275">
        <v>-293350</v>
      </c>
      <c r="J69" s="275">
        <v>-293350</v>
      </c>
      <c r="K69" s="275">
        <v>-283750</v>
      </c>
      <c r="L69" s="275">
        <v>-293350</v>
      </c>
      <c r="M69" s="275">
        <v>-283750</v>
      </c>
      <c r="N69" s="275">
        <v>-293350</v>
      </c>
    </row>
    <row r="70" spans="1:14">
      <c r="A70" s="1" t="e">
        <f>#REF!</f>
        <v>#REF!</v>
      </c>
      <c r="B70" s="254"/>
      <c r="C70" s="278"/>
      <c r="D70" s="278"/>
      <c r="E70" s="278"/>
      <c r="F70" s="278"/>
      <c r="G70" s="278"/>
      <c r="H70" s="278"/>
      <c r="I70" s="278"/>
      <c r="J70" s="278"/>
      <c r="K70" s="278"/>
      <c r="L70" s="278"/>
      <c r="M70" s="278"/>
      <c r="N70" s="278"/>
    </row>
    <row r="71" spans="1:14">
      <c r="A71" s="1"/>
      <c r="B71" s="71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  <c r="N71" s="270"/>
    </row>
    <row r="72" spans="1:14">
      <c r="A72" s="1" t="e">
        <f>#REF!</f>
        <v>#REF!</v>
      </c>
      <c r="B72" s="32" t="s">
        <v>234</v>
      </c>
      <c r="C72" s="283">
        <v>0.3427</v>
      </c>
      <c r="D72" s="283">
        <v>0.3427</v>
      </c>
      <c r="E72" s="283">
        <v>0.3427</v>
      </c>
      <c r="F72" s="283">
        <v>0.3427</v>
      </c>
      <c r="G72" s="283">
        <v>0.3427</v>
      </c>
      <c r="H72" s="283">
        <v>0.3427</v>
      </c>
      <c r="I72" s="283">
        <v>0.3427</v>
      </c>
      <c r="J72" s="283">
        <v>0.3427</v>
      </c>
      <c r="K72" s="283">
        <v>0.3427</v>
      </c>
      <c r="L72" s="283">
        <v>0.3427</v>
      </c>
      <c r="M72" s="283">
        <v>0.3427</v>
      </c>
      <c r="N72" s="283">
        <v>0.3427</v>
      </c>
    </row>
    <row r="73" spans="1:14">
      <c r="A73" s="1"/>
      <c r="B73" s="32"/>
      <c r="C73" s="276"/>
      <c r="D73" s="276"/>
      <c r="E73" s="276"/>
      <c r="F73" s="276"/>
      <c r="G73" s="276"/>
      <c r="H73" s="276"/>
      <c r="I73" s="276"/>
      <c r="J73" s="276"/>
      <c r="K73" s="276"/>
      <c r="L73" s="276"/>
      <c r="M73" s="276"/>
      <c r="N73" s="276"/>
    </row>
    <row r="74" spans="1:14">
      <c r="A74" s="179" t="s">
        <v>371</v>
      </c>
      <c r="B74" s="32"/>
      <c r="C74" s="276"/>
      <c r="D74" s="276"/>
      <c r="E74" s="276"/>
      <c r="F74" s="276"/>
      <c r="G74" s="276"/>
      <c r="H74" s="276"/>
      <c r="I74" s="276"/>
      <c r="J74" s="276"/>
      <c r="K74" s="276"/>
      <c r="L74" s="276"/>
      <c r="M74" s="276"/>
      <c r="N74" s="276"/>
    </row>
    <row r="75" spans="1:14">
      <c r="A75" s="1"/>
      <c r="B75" s="32"/>
      <c r="C75" s="276"/>
      <c r="D75" s="276"/>
      <c r="E75" s="276"/>
      <c r="F75" s="276"/>
      <c r="G75" s="276"/>
      <c r="H75" s="276"/>
      <c r="I75" s="276"/>
      <c r="J75" s="276"/>
      <c r="K75" s="276"/>
      <c r="L75" s="276"/>
      <c r="M75" s="276"/>
      <c r="N75" s="276"/>
    </row>
    <row r="76" spans="1:14">
      <c r="A76" s="1"/>
      <c r="B76" s="32"/>
      <c r="C76" s="276"/>
      <c r="D76" s="276"/>
      <c r="E76" s="276"/>
      <c r="F76" s="276"/>
      <c r="G76" s="276"/>
      <c r="H76" s="276"/>
      <c r="I76" s="276"/>
      <c r="J76" s="276"/>
      <c r="K76" s="276"/>
      <c r="L76" s="276"/>
      <c r="M76" s="276"/>
      <c r="N76" s="276"/>
    </row>
    <row r="77" spans="1:14">
      <c r="C77" s="276"/>
      <c r="D77" s="276"/>
      <c r="E77" s="276"/>
      <c r="F77" s="276"/>
      <c r="G77" s="276"/>
      <c r="H77" s="276"/>
      <c r="I77" s="276"/>
      <c r="J77" s="276"/>
      <c r="K77" s="276"/>
      <c r="L77" s="276"/>
      <c r="M77" s="276"/>
      <c r="N77" s="276"/>
    </row>
    <row r="78" spans="1:14">
      <c r="A78" s="2" t="s">
        <v>370</v>
      </c>
      <c r="C78" s="270"/>
      <c r="D78" s="270"/>
      <c r="E78" s="270"/>
      <c r="F78" s="270"/>
      <c r="G78" s="270"/>
      <c r="H78" s="270"/>
      <c r="I78" s="270"/>
      <c r="J78" s="270"/>
      <c r="K78" s="270"/>
      <c r="L78" s="270"/>
      <c r="M78" s="270"/>
      <c r="N78" s="270"/>
    </row>
    <row r="79" spans="1:14">
      <c r="A79" s="1">
        <v>8</v>
      </c>
      <c r="B79" s="267" t="s">
        <v>373</v>
      </c>
      <c r="C79" s="22">
        <f>297624218/1000</f>
        <v>297624</v>
      </c>
      <c r="D79" s="22">
        <f>260888156/1000</f>
        <v>260888</v>
      </c>
      <c r="E79" s="22">
        <f>262754378/1000</f>
        <v>262754</v>
      </c>
      <c r="F79" s="22">
        <f>246270905/1000</f>
        <v>246271</v>
      </c>
      <c r="G79" s="22">
        <f>164134280/1000</f>
        <v>164134</v>
      </c>
      <c r="H79" s="22">
        <f>219544183/1000</f>
        <v>219544</v>
      </c>
      <c r="I79" s="22">
        <f>229425021/1000</f>
        <v>229425</v>
      </c>
      <c r="J79" s="22">
        <f>258244550/1000</f>
        <v>258245</v>
      </c>
      <c r="K79" s="22">
        <f>256666987/1000</f>
        <v>256667</v>
      </c>
      <c r="L79" s="22"/>
      <c r="M79" s="22"/>
      <c r="N79" s="22"/>
    </row>
    <row r="80" spans="1:14">
      <c r="A80" s="1">
        <v>10</v>
      </c>
      <c r="B80" s="267" t="s">
        <v>374</v>
      </c>
      <c r="C80" s="22">
        <f>107600432/1000</f>
        <v>107600</v>
      </c>
      <c r="D80" s="22">
        <f>108134844/1000</f>
        <v>108135</v>
      </c>
      <c r="E80" s="22">
        <f>103775959/1000</f>
        <v>103776</v>
      </c>
      <c r="F80" s="22">
        <f>95924098/1000</f>
        <v>95924</v>
      </c>
      <c r="G80" s="22">
        <f>148864745/1000</f>
        <v>148865</v>
      </c>
      <c r="H80" s="22">
        <f>140298234/1000</f>
        <v>140298</v>
      </c>
      <c r="I80" s="22">
        <f>168994182/1000</f>
        <v>168994</v>
      </c>
      <c r="J80" s="22">
        <f>184575453/1000</f>
        <v>184575</v>
      </c>
      <c r="K80" s="22">
        <f>143322824/1000</f>
        <v>143323</v>
      </c>
      <c r="L80" s="22"/>
      <c r="M80" s="22"/>
      <c r="N80" s="22"/>
    </row>
    <row r="81" spans="1:14">
      <c r="A81" s="1">
        <v>12</v>
      </c>
      <c r="B81" s="268" t="s">
        <v>332</v>
      </c>
      <c r="C81" s="280">
        <v>294914</v>
      </c>
      <c r="D81" s="280">
        <v>261971</v>
      </c>
      <c r="E81" s="280">
        <v>251422</v>
      </c>
      <c r="F81" s="280">
        <v>228917</v>
      </c>
      <c r="G81" s="280">
        <v>211441</v>
      </c>
      <c r="H81" s="280">
        <v>204736</v>
      </c>
      <c r="I81" s="280">
        <v>252026</v>
      </c>
      <c r="J81" s="280">
        <v>245232</v>
      </c>
      <c r="K81" s="280">
        <v>206024</v>
      </c>
      <c r="L81" s="280">
        <v>240501</v>
      </c>
      <c r="M81" s="280">
        <v>257717</v>
      </c>
      <c r="N81" s="280">
        <v>298131</v>
      </c>
    </row>
    <row r="82" spans="1:14">
      <c r="A82" s="1"/>
      <c r="C82" s="270"/>
      <c r="D82" s="270"/>
      <c r="E82" s="270"/>
      <c r="F82" s="270"/>
      <c r="G82" s="270"/>
      <c r="H82" s="270"/>
      <c r="I82" s="270"/>
      <c r="J82" s="270"/>
      <c r="K82" s="270"/>
      <c r="L82" s="270"/>
      <c r="M82" s="270"/>
      <c r="N82" s="270"/>
    </row>
    <row r="83" spans="1:14">
      <c r="A83" s="1">
        <v>14</v>
      </c>
      <c r="B83" s="279" t="s">
        <v>323</v>
      </c>
      <c r="C83" s="281">
        <v>24.73</v>
      </c>
      <c r="D83" s="281">
        <v>24.73</v>
      </c>
      <c r="E83" s="281">
        <v>24.73</v>
      </c>
      <c r="F83" s="281">
        <v>24.73</v>
      </c>
      <c r="G83" s="281">
        <v>24.73</v>
      </c>
      <c r="H83" s="281">
        <v>24.73</v>
      </c>
      <c r="I83" s="281">
        <v>24.73</v>
      </c>
      <c r="J83" s="281">
        <v>24.73</v>
      </c>
      <c r="K83" s="281">
        <v>24.73</v>
      </c>
      <c r="L83" s="281">
        <v>24.73</v>
      </c>
      <c r="M83" s="281">
        <v>24.73</v>
      </c>
      <c r="N83" s="281">
        <v>24.73</v>
      </c>
    </row>
    <row r="84" spans="1:14"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  <c r="N84" s="270"/>
    </row>
    <row r="85" spans="1:14">
      <c r="A85" s="1">
        <v>24</v>
      </c>
      <c r="B85" s="51" t="s">
        <v>324</v>
      </c>
      <c r="C85" s="278">
        <v>-93865.44</v>
      </c>
      <c r="D85" s="278">
        <v>112043.88</v>
      </c>
      <c r="E85" s="278">
        <v>-350999.37</v>
      </c>
      <c r="F85" s="278">
        <v>-238903.87</v>
      </c>
      <c r="G85" s="278">
        <v>-545700.26</v>
      </c>
      <c r="H85" s="278">
        <v>-572639.06999999995</v>
      </c>
      <c r="I85" s="278">
        <v>-289106.92</v>
      </c>
      <c r="J85" s="278">
        <v>-23343.4</v>
      </c>
      <c r="K85" s="278">
        <v>-294999.42</v>
      </c>
      <c r="L85" s="278">
        <v>79670.53</v>
      </c>
      <c r="M85" s="278">
        <v>-180437.08</v>
      </c>
      <c r="N85" s="278">
        <v>-205884.39</v>
      </c>
    </row>
    <row r="86" spans="1:14"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  <c r="N86" s="270"/>
    </row>
    <row r="87" spans="1:14"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  <c r="N87" s="270"/>
    </row>
    <row r="88" spans="1:14">
      <c r="C88" s="270"/>
      <c r="D88" s="270"/>
      <c r="E88" s="270"/>
      <c r="F88" s="270"/>
      <c r="G88" s="270"/>
      <c r="H88" s="270"/>
      <c r="I88" s="270"/>
      <c r="J88" s="270"/>
      <c r="K88" s="270"/>
      <c r="L88" s="270"/>
      <c r="M88" s="270"/>
      <c r="N88" s="270"/>
    </row>
    <row r="89" spans="1:14">
      <c r="C89" s="270"/>
      <c r="D89" s="270"/>
      <c r="E89" s="270"/>
      <c r="F89" s="270"/>
      <c r="G89" s="270"/>
      <c r="H89" s="270"/>
      <c r="I89" s="270"/>
      <c r="J89" s="270"/>
      <c r="K89" s="270"/>
      <c r="L89" s="270"/>
      <c r="M89" s="270"/>
      <c r="N89" s="270"/>
    </row>
    <row r="90" spans="1:14"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  <c r="N90" s="270"/>
    </row>
    <row r="91" spans="1:14"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0"/>
      <c r="N91" s="270"/>
    </row>
    <row r="92" spans="1:14">
      <c r="C92" s="270"/>
      <c r="D92" s="270"/>
      <c r="E92" s="270"/>
      <c r="F92" s="270"/>
      <c r="G92" s="270"/>
      <c r="H92" s="270"/>
      <c r="I92" s="270"/>
      <c r="J92" s="270"/>
      <c r="K92" s="270"/>
      <c r="L92" s="270"/>
      <c r="M92" s="270"/>
      <c r="N92" s="270"/>
    </row>
    <row r="93" spans="1:14">
      <c r="C93" s="270"/>
      <c r="D93" s="270"/>
      <c r="E93" s="270"/>
      <c r="F93" s="270"/>
      <c r="G93" s="270"/>
      <c r="H93" s="270"/>
      <c r="I93" s="270"/>
      <c r="J93" s="270"/>
      <c r="K93" s="270"/>
      <c r="L93" s="270"/>
      <c r="M93" s="270"/>
      <c r="N93" s="270"/>
    </row>
    <row r="94" spans="1:14">
      <c r="C94" s="270"/>
      <c r="D94" s="270"/>
      <c r="E94" s="270"/>
      <c r="F94" s="270"/>
      <c r="G94" s="270"/>
      <c r="H94" s="270"/>
      <c r="I94" s="270"/>
      <c r="J94" s="270"/>
      <c r="K94" s="270"/>
      <c r="L94" s="270"/>
      <c r="M94" s="270"/>
      <c r="N94" s="270"/>
    </row>
    <row r="95" spans="1:14">
      <c r="C95" s="270"/>
      <c r="D95" s="270"/>
      <c r="E95" s="270"/>
      <c r="F95" s="270"/>
      <c r="G95" s="270"/>
      <c r="H95" s="270"/>
      <c r="I95" s="270"/>
      <c r="J95" s="270"/>
      <c r="K95" s="270"/>
      <c r="L95" s="270"/>
      <c r="M95" s="270"/>
      <c r="N95" s="270"/>
    </row>
    <row r="96" spans="1:14">
      <c r="C96" s="270"/>
      <c r="D96" s="270"/>
      <c r="E96" s="270"/>
      <c r="F96" s="270"/>
      <c r="G96" s="270"/>
      <c r="H96" s="270"/>
      <c r="I96" s="270"/>
      <c r="J96" s="270"/>
      <c r="K96" s="270"/>
      <c r="L96" s="270"/>
      <c r="M96" s="270"/>
      <c r="N96" s="270"/>
    </row>
    <row r="97" spans="3:14">
      <c r="C97" s="270"/>
      <c r="D97" s="270"/>
      <c r="E97" s="270"/>
      <c r="F97" s="270"/>
      <c r="G97" s="270"/>
      <c r="H97" s="270"/>
      <c r="I97" s="270"/>
      <c r="J97" s="270"/>
      <c r="K97" s="270"/>
      <c r="L97" s="270"/>
      <c r="M97" s="270"/>
      <c r="N97" s="270"/>
    </row>
    <row r="98" spans="3:14">
      <c r="C98" s="270"/>
      <c r="D98" s="270"/>
      <c r="E98" s="270"/>
      <c r="F98" s="270"/>
      <c r="G98" s="270"/>
      <c r="H98" s="270"/>
      <c r="I98" s="270"/>
      <c r="J98" s="270"/>
      <c r="K98" s="270"/>
      <c r="L98" s="270"/>
      <c r="M98" s="270"/>
      <c r="N98" s="270"/>
    </row>
    <row r="99" spans="3:14">
      <c r="C99" s="270"/>
      <c r="D99" s="270"/>
      <c r="E99" s="270"/>
      <c r="F99" s="270"/>
      <c r="G99" s="270"/>
      <c r="H99" s="270"/>
      <c r="I99" s="270"/>
      <c r="J99" s="270"/>
      <c r="K99" s="270"/>
      <c r="L99" s="270"/>
      <c r="M99" s="270"/>
      <c r="N99" s="270"/>
    </row>
    <row r="100" spans="3:14">
      <c r="C100" s="270"/>
      <c r="D100" s="270"/>
      <c r="E100" s="270"/>
      <c r="F100" s="270"/>
      <c r="G100" s="270"/>
      <c r="H100" s="270"/>
      <c r="I100" s="270"/>
      <c r="J100" s="270"/>
      <c r="K100" s="270"/>
      <c r="L100" s="270"/>
      <c r="M100" s="270"/>
      <c r="N100" s="270"/>
    </row>
    <row r="101" spans="3:14">
      <c r="C101" s="270"/>
      <c r="D101" s="270"/>
      <c r="E101" s="270"/>
      <c r="F101" s="270"/>
      <c r="G101" s="270"/>
      <c r="H101" s="270"/>
      <c r="I101" s="270"/>
      <c r="J101" s="270"/>
      <c r="K101" s="270"/>
      <c r="L101" s="270"/>
      <c r="M101" s="270"/>
      <c r="N101" s="270"/>
    </row>
    <row r="102" spans="3:14">
      <c r="C102" s="270"/>
      <c r="D102" s="270"/>
      <c r="E102" s="270"/>
      <c r="F102" s="270"/>
      <c r="G102" s="270"/>
      <c r="H102" s="270"/>
      <c r="I102" s="270"/>
      <c r="J102" s="270"/>
      <c r="K102" s="270"/>
      <c r="L102" s="270"/>
      <c r="M102" s="270"/>
      <c r="N102" s="270"/>
    </row>
    <row r="103" spans="3:14">
      <c r="C103" s="270"/>
      <c r="D103" s="270"/>
      <c r="E103" s="270"/>
      <c r="F103" s="270"/>
      <c r="G103" s="270"/>
      <c r="H103" s="270"/>
      <c r="I103" s="270"/>
      <c r="J103" s="270"/>
      <c r="K103" s="270"/>
      <c r="L103" s="270"/>
      <c r="M103" s="270"/>
      <c r="N103" s="270"/>
    </row>
    <row r="104" spans="3:14">
      <c r="C104" s="270"/>
      <c r="D104" s="270"/>
      <c r="E104" s="270"/>
      <c r="F104" s="270"/>
      <c r="G104" s="270"/>
      <c r="H104" s="270"/>
      <c r="I104" s="270"/>
      <c r="J104" s="270"/>
      <c r="K104" s="270"/>
      <c r="L104" s="270"/>
      <c r="M104" s="270"/>
      <c r="N104" s="270"/>
    </row>
    <row r="105" spans="3:14">
      <c r="C105" s="270"/>
      <c r="D105" s="270"/>
      <c r="E105" s="270"/>
      <c r="F105" s="270"/>
      <c r="G105" s="270"/>
      <c r="H105" s="270"/>
      <c r="I105" s="270"/>
      <c r="J105" s="270"/>
      <c r="K105" s="270"/>
      <c r="L105" s="270"/>
      <c r="M105" s="270"/>
      <c r="N105" s="270"/>
    </row>
    <row r="106" spans="3:14">
      <c r="C106" s="270"/>
      <c r="D106" s="270"/>
      <c r="E106" s="270"/>
      <c r="F106" s="270"/>
      <c r="G106" s="270"/>
      <c r="H106" s="270"/>
      <c r="I106" s="270"/>
      <c r="J106" s="270"/>
      <c r="K106" s="270"/>
      <c r="L106" s="270"/>
      <c r="M106" s="270"/>
      <c r="N106" s="270"/>
    </row>
    <row r="107" spans="3:14">
      <c r="C107" s="270"/>
      <c r="D107" s="270"/>
      <c r="E107" s="270"/>
      <c r="F107" s="270"/>
      <c r="G107" s="270"/>
      <c r="H107" s="270"/>
      <c r="I107" s="270"/>
      <c r="J107" s="270"/>
      <c r="K107" s="270"/>
      <c r="L107" s="270"/>
      <c r="M107" s="270"/>
      <c r="N107" s="270"/>
    </row>
    <row r="108" spans="3:14">
      <c r="C108" s="270"/>
      <c r="D108" s="270"/>
      <c r="E108" s="270"/>
      <c r="F108" s="270"/>
      <c r="G108" s="270"/>
      <c r="H108" s="270"/>
      <c r="I108" s="270"/>
      <c r="J108" s="270"/>
      <c r="K108" s="270"/>
      <c r="L108" s="270"/>
      <c r="M108" s="270"/>
      <c r="N108" s="270"/>
    </row>
    <row r="109" spans="3:14">
      <c r="C109" s="270"/>
      <c r="D109" s="270"/>
      <c r="E109" s="270"/>
      <c r="F109" s="270"/>
      <c r="G109" s="270"/>
      <c r="H109" s="270"/>
      <c r="I109" s="270"/>
      <c r="J109" s="270"/>
      <c r="K109" s="270"/>
      <c r="L109" s="270"/>
      <c r="M109" s="270"/>
      <c r="N109" s="270"/>
    </row>
    <row r="110" spans="3:14">
      <c r="C110" s="270"/>
      <c r="D110" s="270"/>
      <c r="E110" s="270"/>
      <c r="F110" s="270"/>
      <c r="G110" s="270"/>
      <c r="H110" s="270"/>
      <c r="I110" s="270"/>
      <c r="J110" s="270"/>
      <c r="K110" s="270"/>
      <c r="L110" s="270"/>
      <c r="M110" s="270"/>
      <c r="N110" s="270"/>
    </row>
    <row r="111" spans="3:14">
      <c r="C111" s="270"/>
      <c r="D111" s="270"/>
      <c r="E111" s="270"/>
      <c r="F111" s="270"/>
      <c r="G111" s="270"/>
      <c r="H111" s="270"/>
      <c r="I111" s="270"/>
      <c r="J111" s="270"/>
      <c r="K111" s="270"/>
      <c r="L111" s="270"/>
      <c r="M111" s="270"/>
      <c r="N111" s="270"/>
    </row>
    <row r="112" spans="3:14">
      <c r="C112" s="270"/>
      <c r="D112" s="270"/>
      <c r="E112" s="270"/>
      <c r="F112" s="270"/>
      <c r="G112" s="270"/>
      <c r="H112" s="270"/>
      <c r="I112" s="270"/>
      <c r="J112" s="270"/>
      <c r="K112" s="270"/>
      <c r="L112" s="270"/>
      <c r="M112" s="270"/>
      <c r="N112" s="270"/>
    </row>
    <row r="113" spans="3:14">
      <c r="C113" s="270"/>
      <c r="D113" s="270"/>
      <c r="E113" s="270"/>
      <c r="F113" s="270"/>
      <c r="G113" s="270"/>
      <c r="H113" s="270"/>
      <c r="I113" s="270"/>
      <c r="J113" s="270"/>
      <c r="K113" s="270"/>
      <c r="L113" s="270"/>
      <c r="M113" s="270"/>
      <c r="N113" s="270"/>
    </row>
    <row r="114" spans="3:14">
      <c r="C114" s="270"/>
      <c r="D114" s="270"/>
      <c r="E114" s="270"/>
      <c r="F114" s="270"/>
      <c r="G114" s="270"/>
      <c r="H114" s="270"/>
      <c r="I114" s="270"/>
      <c r="J114" s="270"/>
      <c r="K114" s="270"/>
      <c r="L114" s="270"/>
      <c r="M114" s="270"/>
      <c r="N114" s="270"/>
    </row>
    <row r="115" spans="3:14">
      <c r="C115" s="270"/>
      <c r="D115" s="270"/>
      <c r="E115" s="270"/>
      <c r="F115" s="270"/>
      <c r="G115" s="270"/>
      <c r="H115" s="270"/>
      <c r="I115" s="270"/>
      <c r="J115" s="270"/>
      <c r="K115" s="270"/>
      <c r="L115" s="270"/>
      <c r="M115" s="270"/>
      <c r="N115" s="270"/>
    </row>
    <row r="116" spans="3:14">
      <c r="C116" s="270"/>
      <c r="D116" s="270"/>
      <c r="E116" s="270"/>
      <c r="F116" s="270"/>
      <c r="G116" s="270"/>
      <c r="H116" s="270"/>
      <c r="I116" s="270"/>
      <c r="J116" s="270"/>
      <c r="K116" s="270"/>
      <c r="L116" s="270"/>
      <c r="M116" s="270"/>
      <c r="N116" s="270"/>
    </row>
    <row r="117" spans="3:14">
      <c r="C117" s="270"/>
      <c r="D117" s="270"/>
      <c r="E117" s="270"/>
      <c r="F117" s="270"/>
      <c r="G117" s="270"/>
      <c r="H117" s="270"/>
      <c r="I117" s="270"/>
      <c r="J117" s="270"/>
      <c r="K117" s="270"/>
      <c r="L117" s="270"/>
      <c r="M117" s="270"/>
      <c r="N117" s="270"/>
    </row>
    <row r="118" spans="3:14">
      <c r="C118" s="270"/>
      <c r="D118" s="270"/>
      <c r="E118" s="270"/>
      <c r="F118" s="270"/>
      <c r="G118" s="270"/>
      <c r="H118" s="270"/>
      <c r="I118" s="270"/>
      <c r="J118" s="270"/>
      <c r="K118" s="270"/>
      <c r="L118" s="270"/>
      <c r="M118" s="270"/>
      <c r="N118" s="270"/>
    </row>
    <row r="119" spans="3:14">
      <c r="C119" s="270"/>
      <c r="D119" s="270"/>
      <c r="E119" s="270"/>
      <c r="F119" s="270"/>
      <c r="G119" s="270"/>
      <c r="H119" s="270"/>
      <c r="I119" s="270"/>
      <c r="J119" s="270"/>
      <c r="K119" s="270"/>
      <c r="L119" s="270"/>
      <c r="M119" s="270"/>
      <c r="N119" s="270"/>
    </row>
    <row r="120" spans="3:14">
      <c r="C120" s="270"/>
      <c r="D120" s="270"/>
      <c r="E120" s="270"/>
      <c r="F120" s="270"/>
      <c r="G120" s="270"/>
      <c r="H120" s="270"/>
      <c r="I120" s="270"/>
      <c r="J120" s="270"/>
      <c r="K120" s="270"/>
      <c r="L120" s="270"/>
      <c r="M120" s="270"/>
      <c r="N120" s="270"/>
    </row>
    <row r="121" spans="3:14">
      <c r="C121" s="270"/>
      <c r="D121" s="270"/>
      <c r="E121" s="270"/>
      <c r="F121" s="270"/>
      <c r="G121" s="270"/>
      <c r="H121" s="270"/>
      <c r="I121" s="270"/>
      <c r="J121" s="270"/>
      <c r="K121" s="270"/>
      <c r="L121" s="270"/>
      <c r="M121" s="270"/>
      <c r="N121" s="270"/>
    </row>
    <row r="122" spans="3:14">
      <c r="C122" s="270"/>
      <c r="D122" s="270"/>
      <c r="E122" s="270"/>
      <c r="F122" s="270"/>
      <c r="G122" s="270"/>
      <c r="H122" s="270"/>
      <c r="I122" s="270"/>
      <c r="J122" s="270"/>
      <c r="K122" s="270"/>
      <c r="L122" s="270"/>
      <c r="M122" s="270"/>
      <c r="N122" s="270"/>
    </row>
    <row r="123" spans="3:14">
      <c r="C123" s="270"/>
      <c r="D123" s="270"/>
      <c r="E123" s="270"/>
      <c r="F123" s="270"/>
      <c r="G123" s="270"/>
      <c r="H123" s="270"/>
      <c r="I123" s="270"/>
      <c r="J123" s="270"/>
      <c r="K123" s="270"/>
      <c r="L123" s="270"/>
      <c r="M123" s="270"/>
      <c r="N123" s="270"/>
    </row>
    <row r="124" spans="3:14">
      <c r="C124" s="270"/>
      <c r="D124" s="270"/>
      <c r="E124" s="270"/>
      <c r="F124" s="270"/>
      <c r="G124" s="270"/>
      <c r="H124" s="270"/>
      <c r="I124" s="270"/>
      <c r="J124" s="270"/>
      <c r="K124" s="270"/>
      <c r="L124" s="270"/>
      <c r="M124" s="270"/>
      <c r="N124" s="270"/>
    </row>
    <row r="125" spans="3:14">
      <c r="C125" s="270"/>
      <c r="D125" s="270"/>
      <c r="E125" s="270"/>
      <c r="F125" s="270"/>
      <c r="G125" s="270"/>
      <c r="H125" s="270"/>
      <c r="I125" s="270"/>
      <c r="J125" s="270"/>
      <c r="K125" s="270"/>
      <c r="L125" s="270"/>
      <c r="M125" s="270"/>
      <c r="N125" s="270"/>
    </row>
    <row r="126" spans="3:14">
      <c r="C126" s="270"/>
      <c r="D126" s="270"/>
      <c r="E126" s="270"/>
      <c r="F126" s="270"/>
      <c r="G126" s="270"/>
      <c r="H126" s="270"/>
      <c r="I126" s="270"/>
      <c r="J126" s="270"/>
      <c r="K126" s="270"/>
      <c r="L126" s="270"/>
      <c r="M126" s="270"/>
      <c r="N126" s="270"/>
    </row>
    <row r="127" spans="3:14">
      <c r="C127" s="270"/>
      <c r="D127" s="270"/>
      <c r="E127" s="270"/>
      <c r="F127" s="270"/>
      <c r="G127" s="270"/>
      <c r="H127" s="270"/>
      <c r="I127" s="270"/>
      <c r="J127" s="270"/>
      <c r="K127" s="270"/>
      <c r="L127" s="270"/>
      <c r="M127" s="270"/>
      <c r="N127" s="270"/>
    </row>
    <row r="128" spans="3:14">
      <c r="C128" s="270"/>
      <c r="D128" s="270"/>
      <c r="E128" s="270"/>
      <c r="F128" s="270"/>
      <c r="G128" s="270"/>
      <c r="H128" s="270"/>
      <c r="I128" s="270"/>
      <c r="J128" s="270"/>
      <c r="K128" s="270"/>
      <c r="L128" s="270"/>
      <c r="M128" s="270"/>
      <c r="N128" s="270"/>
    </row>
    <row r="129" spans="3:14">
      <c r="C129" s="270"/>
      <c r="D129" s="270"/>
      <c r="E129" s="270"/>
      <c r="F129" s="270"/>
      <c r="G129" s="270"/>
      <c r="H129" s="270"/>
      <c r="I129" s="270"/>
      <c r="J129" s="270"/>
      <c r="K129" s="270"/>
      <c r="L129" s="270"/>
      <c r="M129" s="270"/>
      <c r="N129" s="270"/>
    </row>
    <row r="130" spans="3:14">
      <c r="C130" s="270"/>
      <c r="D130" s="270"/>
      <c r="E130" s="270"/>
      <c r="F130" s="270"/>
      <c r="G130" s="270"/>
      <c r="H130" s="270"/>
      <c r="I130" s="270"/>
      <c r="J130" s="270"/>
      <c r="K130" s="270"/>
      <c r="L130" s="270"/>
      <c r="M130" s="270"/>
      <c r="N130" s="270"/>
    </row>
    <row r="131" spans="3:14">
      <c r="C131" s="270"/>
      <c r="D131" s="270"/>
      <c r="E131" s="270"/>
      <c r="F131" s="270"/>
      <c r="G131" s="270"/>
      <c r="H131" s="270"/>
      <c r="I131" s="270"/>
      <c r="J131" s="270"/>
      <c r="K131" s="270"/>
      <c r="L131" s="270"/>
      <c r="M131" s="270"/>
      <c r="N131" s="270"/>
    </row>
    <row r="132" spans="3:14">
      <c r="C132" s="270"/>
      <c r="D132" s="270"/>
      <c r="E132" s="270"/>
      <c r="F132" s="270"/>
      <c r="G132" s="270"/>
      <c r="H132" s="270"/>
      <c r="I132" s="270"/>
      <c r="J132" s="270"/>
      <c r="K132" s="270"/>
      <c r="L132" s="270"/>
      <c r="M132" s="270"/>
      <c r="N132" s="270"/>
    </row>
    <row r="133" spans="3:14">
      <c r="C133" s="270"/>
      <c r="D133" s="270"/>
      <c r="E133" s="270"/>
      <c r="F133" s="270"/>
      <c r="G133" s="270"/>
      <c r="H133" s="270"/>
      <c r="I133" s="270"/>
      <c r="J133" s="270"/>
      <c r="K133" s="270"/>
      <c r="L133" s="270"/>
      <c r="M133" s="270"/>
      <c r="N133" s="270"/>
    </row>
    <row r="134" spans="3:14">
      <c r="C134" s="270"/>
      <c r="D134" s="270"/>
      <c r="E134" s="270"/>
      <c r="F134" s="270"/>
      <c r="G134" s="270"/>
      <c r="H134" s="270"/>
      <c r="I134" s="270"/>
      <c r="J134" s="270"/>
      <c r="K134" s="270"/>
      <c r="L134" s="270"/>
      <c r="M134" s="270"/>
      <c r="N134" s="270"/>
    </row>
    <row r="135" spans="3:14">
      <c r="C135" s="270"/>
      <c r="D135" s="270"/>
      <c r="E135" s="270"/>
      <c r="F135" s="270"/>
      <c r="G135" s="270"/>
      <c r="H135" s="270"/>
      <c r="I135" s="270"/>
      <c r="J135" s="270"/>
      <c r="K135" s="270"/>
      <c r="L135" s="270"/>
      <c r="M135" s="270"/>
      <c r="N135" s="270"/>
    </row>
    <row r="136" spans="3:14">
      <c r="C136" s="270"/>
      <c r="D136" s="270"/>
      <c r="E136" s="270"/>
      <c r="F136" s="270"/>
      <c r="G136" s="270"/>
      <c r="H136" s="270"/>
      <c r="I136" s="270"/>
      <c r="J136" s="270"/>
      <c r="K136" s="270"/>
      <c r="L136" s="270"/>
      <c r="M136" s="270"/>
      <c r="N136" s="270"/>
    </row>
    <row r="137" spans="3:14">
      <c r="C137" s="270"/>
      <c r="D137" s="270"/>
      <c r="E137" s="270"/>
      <c r="F137" s="270"/>
      <c r="G137" s="270"/>
      <c r="H137" s="270"/>
      <c r="I137" s="270"/>
      <c r="J137" s="270"/>
      <c r="K137" s="270"/>
      <c r="L137" s="270"/>
      <c r="M137" s="270"/>
      <c r="N137" s="270"/>
    </row>
    <row r="138" spans="3:14">
      <c r="C138" s="270"/>
      <c r="D138" s="270"/>
      <c r="E138" s="270"/>
      <c r="F138" s="270"/>
      <c r="G138" s="270"/>
      <c r="H138" s="270"/>
      <c r="I138" s="270"/>
      <c r="J138" s="270"/>
      <c r="K138" s="270"/>
      <c r="L138" s="270"/>
      <c r="M138" s="270"/>
      <c r="N138" s="270"/>
    </row>
    <row r="139" spans="3:14">
      <c r="C139" s="270"/>
      <c r="D139" s="270"/>
      <c r="E139" s="270"/>
      <c r="F139" s="270"/>
      <c r="G139" s="270"/>
      <c r="H139" s="270"/>
      <c r="I139" s="270"/>
      <c r="J139" s="270"/>
      <c r="K139" s="270"/>
      <c r="L139" s="270"/>
      <c r="M139" s="270"/>
      <c r="N139" s="270"/>
    </row>
    <row r="140" spans="3:14">
      <c r="C140" s="270"/>
      <c r="D140" s="270"/>
      <c r="E140" s="270"/>
      <c r="F140" s="270"/>
      <c r="G140" s="270"/>
      <c r="H140" s="270"/>
      <c r="I140" s="270"/>
      <c r="J140" s="270"/>
      <c r="K140" s="270"/>
      <c r="L140" s="270"/>
      <c r="M140" s="270"/>
      <c r="N140" s="270"/>
    </row>
    <row r="141" spans="3:14">
      <c r="C141" s="270"/>
      <c r="D141" s="270"/>
      <c r="E141" s="270"/>
      <c r="F141" s="270"/>
      <c r="G141" s="270"/>
      <c r="H141" s="270"/>
      <c r="I141" s="270"/>
      <c r="J141" s="270"/>
      <c r="K141" s="270"/>
      <c r="L141" s="270"/>
      <c r="M141" s="270"/>
      <c r="N141" s="270"/>
    </row>
    <row r="142" spans="3:14">
      <c r="C142" s="270"/>
      <c r="D142" s="270"/>
      <c r="E142" s="270"/>
      <c r="F142" s="270"/>
      <c r="G142" s="270"/>
      <c r="H142" s="270"/>
      <c r="I142" s="270"/>
      <c r="J142" s="270"/>
      <c r="K142" s="270"/>
      <c r="L142" s="270"/>
      <c r="M142" s="270"/>
      <c r="N142" s="270"/>
    </row>
    <row r="143" spans="3:14">
      <c r="C143" s="270"/>
      <c r="D143" s="270"/>
      <c r="E143" s="270"/>
      <c r="F143" s="270"/>
      <c r="G143" s="270"/>
      <c r="H143" s="270"/>
      <c r="I143" s="270"/>
      <c r="J143" s="270"/>
      <c r="K143" s="270"/>
      <c r="L143" s="270"/>
      <c r="M143" s="270"/>
      <c r="N143" s="270"/>
    </row>
    <row r="144" spans="3:14">
      <c r="C144" s="270"/>
      <c r="D144" s="270"/>
      <c r="E144" s="270"/>
      <c r="F144" s="270"/>
      <c r="G144" s="270"/>
      <c r="H144" s="270"/>
      <c r="I144" s="270"/>
      <c r="J144" s="270"/>
      <c r="K144" s="270"/>
      <c r="L144" s="270"/>
      <c r="M144" s="270"/>
      <c r="N144" s="270"/>
    </row>
    <row r="145" spans="3:14">
      <c r="C145" s="270"/>
      <c r="D145" s="270"/>
      <c r="E145" s="270"/>
      <c r="F145" s="270"/>
      <c r="G145" s="270"/>
      <c r="H145" s="270"/>
      <c r="I145" s="270"/>
      <c r="J145" s="270"/>
      <c r="K145" s="270"/>
      <c r="L145" s="270"/>
      <c r="M145" s="270"/>
      <c r="N145" s="270"/>
    </row>
    <row r="146" spans="3:14">
      <c r="C146" s="270"/>
      <c r="D146" s="270"/>
      <c r="E146" s="270"/>
      <c r="F146" s="270"/>
      <c r="G146" s="270"/>
      <c r="H146" s="270"/>
      <c r="I146" s="270"/>
      <c r="J146" s="270"/>
      <c r="K146" s="270"/>
      <c r="L146" s="270"/>
      <c r="M146" s="270"/>
      <c r="N146" s="270"/>
    </row>
    <row r="147" spans="3:14">
      <c r="C147" s="270"/>
      <c r="D147" s="270"/>
      <c r="E147" s="270"/>
      <c r="F147" s="270"/>
      <c r="G147" s="270"/>
      <c r="H147" s="270"/>
      <c r="I147" s="270"/>
      <c r="J147" s="270"/>
      <c r="K147" s="270"/>
      <c r="L147" s="270"/>
      <c r="M147" s="270"/>
      <c r="N147" s="270"/>
    </row>
    <row r="148" spans="3:14">
      <c r="C148" s="270"/>
      <c r="D148" s="270"/>
      <c r="E148" s="270"/>
      <c r="F148" s="270"/>
      <c r="G148" s="270"/>
      <c r="H148" s="270"/>
      <c r="I148" s="270"/>
      <c r="J148" s="270"/>
      <c r="K148" s="270"/>
      <c r="L148" s="270"/>
      <c r="M148" s="270"/>
      <c r="N148" s="270"/>
    </row>
    <row r="149" spans="3:14">
      <c r="C149" s="270"/>
      <c r="D149" s="270"/>
      <c r="E149" s="270"/>
      <c r="F149" s="270"/>
      <c r="G149" s="270"/>
      <c r="H149" s="270"/>
      <c r="I149" s="270"/>
      <c r="J149" s="270"/>
      <c r="K149" s="270"/>
      <c r="L149" s="270"/>
      <c r="M149" s="270"/>
      <c r="N149" s="270"/>
    </row>
    <row r="150" spans="3:14">
      <c r="C150" s="270"/>
      <c r="D150" s="270"/>
      <c r="E150" s="270"/>
      <c r="F150" s="270"/>
      <c r="G150" s="270"/>
      <c r="H150" s="270"/>
      <c r="I150" s="270"/>
      <c r="J150" s="270"/>
      <c r="K150" s="270"/>
      <c r="L150" s="270"/>
      <c r="M150" s="270"/>
      <c r="N150" s="270"/>
    </row>
    <row r="151" spans="3:14">
      <c r="C151" s="270"/>
      <c r="D151" s="270"/>
      <c r="E151" s="270"/>
      <c r="F151" s="270"/>
      <c r="G151" s="270"/>
      <c r="H151" s="270"/>
      <c r="I151" s="270"/>
      <c r="J151" s="270"/>
      <c r="K151" s="270"/>
      <c r="L151" s="270"/>
      <c r="M151" s="270"/>
      <c r="N151" s="270"/>
    </row>
    <row r="152" spans="3:14">
      <c r="C152" s="270"/>
      <c r="D152" s="270"/>
      <c r="E152" s="270"/>
      <c r="F152" s="270"/>
      <c r="G152" s="270"/>
      <c r="H152" s="270"/>
      <c r="I152" s="270"/>
      <c r="J152" s="270"/>
      <c r="K152" s="270"/>
      <c r="L152" s="270"/>
      <c r="M152" s="270"/>
      <c r="N152" s="270"/>
    </row>
    <row r="153" spans="3:14">
      <c r="C153" s="270"/>
      <c r="D153" s="270"/>
      <c r="E153" s="270"/>
      <c r="F153" s="270"/>
      <c r="G153" s="270"/>
      <c r="H153" s="270"/>
      <c r="I153" s="270"/>
      <c r="J153" s="270"/>
      <c r="K153" s="270"/>
      <c r="L153" s="270"/>
      <c r="M153" s="270"/>
      <c r="N153" s="270"/>
    </row>
    <row r="154" spans="3:14">
      <c r="C154" s="270"/>
      <c r="D154" s="270"/>
      <c r="E154" s="270"/>
      <c r="F154" s="270"/>
      <c r="G154" s="270"/>
      <c r="H154" s="270"/>
      <c r="I154" s="270"/>
      <c r="J154" s="270"/>
      <c r="K154" s="270"/>
      <c r="L154" s="270"/>
      <c r="M154" s="270"/>
      <c r="N154" s="270"/>
    </row>
    <row r="155" spans="3:14">
      <c r="C155" s="270"/>
      <c r="D155" s="270"/>
      <c r="E155" s="270"/>
      <c r="F155" s="270"/>
      <c r="G155" s="270"/>
      <c r="H155" s="270"/>
      <c r="I155" s="270"/>
      <c r="J155" s="270"/>
      <c r="K155" s="270"/>
      <c r="L155" s="270"/>
      <c r="M155" s="270"/>
      <c r="N155" s="270"/>
    </row>
    <row r="156" spans="3:14">
      <c r="C156" s="270"/>
      <c r="D156" s="270"/>
      <c r="E156" s="270"/>
      <c r="F156" s="270"/>
      <c r="G156" s="270"/>
      <c r="H156" s="270"/>
      <c r="I156" s="270"/>
      <c r="J156" s="270"/>
      <c r="K156" s="270"/>
      <c r="L156" s="270"/>
      <c r="M156" s="270"/>
      <c r="N156" s="270"/>
    </row>
    <row r="157" spans="3:14">
      <c r="C157" s="270"/>
      <c r="D157" s="270"/>
      <c r="E157" s="270"/>
      <c r="F157" s="270"/>
      <c r="G157" s="270"/>
      <c r="H157" s="270"/>
      <c r="I157" s="270"/>
      <c r="J157" s="270"/>
      <c r="K157" s="270"/>
      <c r="L157" s="270"/>
      <c r="M157" s="270"/>
      <c r="N157" s="270"/>
    </row>
    <row r="158" spans="3:14">
      <c r="C158" s="270"/>
      <c r="D158" s="270"/>
      <c r="E158" s="270"/>
      <c r="F158" s="270"/>
      <c r="G158" s="270"/>
      <c r="H158" s="270"/>
      <c r="I158" s="270"/>
      <c r="J158" s="270"/>
      <c r="K158" s="270"/>
      <c r="L158" s="270"/>
      <c r="M158" s="270"/>
      <c r="N158" s="270"/>
    </row>
    <row r="159" spans="3:14">
      <c r="C159" s="270"/>
      <c r="D159" s="270"/>
      <c r="E159" s="270"/>
      <c r="F159" s="270"/>
      <c r="G159" s="270"/>
      <c r="H159" s="270"/>
      <c r="I159" s="270"/>
      <c r="J159" s="270"/>
      <c r="K159" s="270"/>
      <c r="L159" s="270"/>
      <c r="M159" s="270"/>
      <c r="N159" s="270"/>
    </row>
    <row r="160" spans="3:14">
      <c r="C160" s="270"/>
      <c r="D160" s="270"/>
      <c r="E160" s="270"/>
      <c r="F160" s="270"/>
      <c r="G160" s="270"/>
      <c r="H160" s="270"/>
      <c r="I160" s="270"/>
      <c r="J160" s="270"/>
      <c r="K160" s="270"/>
      <c r="L160" s="270"/>
      <c r="M160" s="270"/>
      <c r="N160" s="270"/>
    </row>
    <row r="161" spans="3:14">
      <c r="C161" s="270"/>
      <c r="D161" s="270"/>
      <c r="E161" s="270"/>
      <c r="F161" s="270"/>
      <c r="G161" s="270"/>
      <c r="H161" s="270"/>
      <c r="I161" s="270"/>
      <c r="J161" s="270"/>
      <c r="K161" s="270"/>
      <c r="L161" s="270"/>
      <c r="M161" s="270"/>
      <c r="N161" s="270"/>
    </row>
    <row r="162" spans="3:14">
      <c r="C162" s="270"/>
      <c r="D162" s="270"/>
      <c r="E162" s="270"/>
      <c r="F162" s="270"/>
      <c r="G162" s="270"/>
      <c r="H162" s="270"/>
      <c r="I162" s="270"/>
      <c r="J162" s="270"/>
      <c r="K162" s="270"/>
      <c r="L162" s="270"/>
      <c r="M162" s="270"/>
      <c r="N162" s="270"/>
    </row>
    <row r="163" spans="3:14">
      <c r="C163" s="270"/>
      <c r="D163" s="270"/>
      <c r="E163" s="270"/>
      <c r="F163" s="270"/>
      <c r="G163" s="270"/>
      <c r="H163" s="270"/>
      <c r="I163" s="270"/>
      <c r="J163" s="270"/>
      <c r="K163" s="270"/>
      <c r="L163" s="270"/>
      <c r="M163" s="270"/>
      <c r="N163" s="270"/>
    </row>
    <row r="164" spans="3:14">
      <c r="C164" s="270"/>
      <c r="D164" s="270"/>
      <c r="E164" s="270"/>
      <c r="F164" s="270"/>
      <c r="G164" s="270"/>
      <c r="H164" s="270"/>
      <c r="I164" s="270"/>
      <c r="J164" s="270"/>
      <c r="K164" s="270"/>
      <c r="L164" s="270"/>
      <c r="M164" s="270"/>
      <c r="N164" s="270"/>
    </row>
    <row r="165" spans="3:14">
      <c r="C165" s="270"/>
      <c r="D165" s="270"/>
      <c r="E165" s="270"/>
      <c r="F165" s="270"/>
      <c r="G165" s="270"/>
      <c r="H165" s="270"/>
      <c r="I165" s="270"/>
      <c r="J165" s="270"/>
      <c r="K165" s="270"/>
      <c r="L165" s="270"/>
      <c r="M165" s="270"/>
      <c r="N165" s="270"/>
    </row>
    <row r="166" spans="3:14">
      <c r="C166" s="270"/>
      <c r="D166" s="270"/>
      <c r="E166" s="270"/>
      <c r="F166" s="270"/>
      <c r="G166" s="270"/>
      <c r="H166" s="270"/>
      <c r="I166" s="270"/>
      <c r="J166" s="270"/>
      <c r="K166" s="270"/>
      <c r="L166" s="270"/>
      <c r="M166" s="270"/>
      <c r="N166" s="270"/>
    </row>
    <row r="167" spans="3:14">
      <c r="C167" s="270"/>
      <c r="D167" s="270"/>
      <c r="E167" s="270"/>
      <c r="F167" s="270"/>
      <c r="G167" s="270"/>
      <c r="H167" s="270"/>
      <c r="I167" s="270"/>
      <c r="J167" s="270"/>
      <c r="K167" s="270"/>
      <c r="L167" s="270"/>
      <c r="M167" s="270"/>
      <c r="N167" s="270"/>
    </row>
    <row r="168" spans="3:14">
      <c r="C168" s="270"/>
      <c r="D168" s="270"/>
      <c r="E168" s="270"/>
      <c r="F168" s="270"/>
      <c r="G168" s="270"/>
      <c r="H168" s="270"/>
      <c r="I168" s="270"/>
      <c r="J168" s="270"/>
      <c r="K168" s="270"/>
      <c r="L168" s="270"/>
      <c r="M168" s="270"/>
      <c r="N168" s="270"/>
    </row>
    <row r="169" spans="3:14">
      <c r="C169" s="270"/>
      <c r="D169" s="270"/>
      <c r="E169" s="270"/>
      <c r="F169" s="270"/>
      <c r="G169" s="270"/>
      <c r="H169" s="270"/>
      <c r="I169" s="270"/>
      <c r="J169" s="270"/>
      <c r="K169" s="270"/>
      <c r="L169" s="270"/>
      <c r="M169" s="270"/>
      <c r="N169" s="270"/>
    </row>
    <row r="170" spans="3:14">
      <c r="C170" s="270"/>
      <c r="D170" s="270"/>
      <c r="E170" s="270"/>
      <c r="F170" s="270"/>
      <c r="G170" s="270"/>
      <c r="H170" s="270"/>
      <c r="I170" s="270"/>
      <c r="J170" s="270"/>
      <c r="K170" s="270"/>
      <c r="L170" s="270"/>
      <c r="M170" s="270"/>
      <c r="N170" s="270"/>
    </row>
    <row r="171" spans="3:14">
      <c r="C171" s="270"/>
      <c r="D171" s="270"/>
      <c r="E171" s="270"/>
      <c r="F171" s="270"/>
      <c r="G171" s="270"/>
      <c r="H171" s="270"/>
      <c r="I171" s="270"/>
      <c r="J171" s="270"/>
      <c r="K171" s="270"/>
      <c r="L171" s="270"/>
      <c r="M171" s="270"/>
      <c r="N171" s="270"/>
    </row>
    <row r="172" spans="3:14">
      <c r="C172" s="270"/>
      <c r="D172" s="270"/>
      <c r="E172" s="270"/>
      <c r="F172" s="270"/>
      <c r="G172" s="270"/>
      <c r="H172" s="270"/>
      <c r="I172" s="270"/>
      <c r="J172" s="270"/>
      <c r="K172" s="270"/>
      <c r="L172" s="270"/>
      <c r="M172" s="270"/>
      <c r="N172" s="270"/>
    </row>
    <row r="173" spans="3:14">
      <c r="C173" s="270"/>
      <c r="D173" s="270"/>
      <c r="E173" s="270"/>
      <c r="F173" s="270"/>
      <c r="G173" s="270"/>
      <c r="H173" s="270"/>
      <c r="I173" s="270"/>
      <c r="J173" s="270"/>
      <c r="K173" s="270"/>
      <c r="L173" s="270"/>
      <c r="M173" s="270"/>
      <c r="N173" s="270"/>
    </row>
    <row r="174" spans="3:14">
      <c r="C174" s="270"/>
      <c r="D174" s="270"/>
      <c r="E174" s="270"/>
      <c r="F174" s="270"/>
      <c r="G174" s="270"/>
      <c r="H174" s="270"/>
      <c r="I174" s="270"/>
      <c r="J174" s="270"/>
      <c r="K174" s="270"/>
      <c r="L174" s="270"/>
      <c r="M174" s="270"/>
      <c r="N174" s="270"/>
    </row>
    <row r="175" spans="3:14">
      <c r="C175" s="270"/>
      <c r="D175" s="270"/>
      <c r="E175" s="270"/>
      <c r="F175" s="270"/>
      <c r="G175" s="270"/>
      <c r="H175" s="270"/>
      <c r="I175" s="270"/>
      <c r="J175" s="270"/>
      <c r="K175" s="270"/>
      <c r="L175" s="270"/>
      <c r="M175" s="270"/>
      <c r="N175" s="270"/>
    </row>
    <row r="176" spans="3:14">
      <c r="C176" s="270"/>
      <c r="D176" s="270"/>
      <c r="E176" s="270"/>
      <c r="F176" s="270"/>
      <c r="G176" s="270"/>
      <c r="H176" s="270"/>
      <c r="I176" s="270"/>
      <c r="J176" s="270"/>
      <c r="K176" s="270"/>
      <c r="L176" s="270"/>
      <c r="M176" s="270"/>
      <c r="N176" s="270"/>
    </row>
    <row r="177" spans="3:14">
      <c r="C177" s="270"/>
      <c r="D177" s="270"/>
      <c r="E177" s="270"/>
      <c r="F177" s="270"/>
      <c r="G177" s="270"/>
      <c r="H177" s="270"/>
      <c r="I177" s="270"/>
      <c r="J177" s="270"/>
      <c r="K177" s="270"/>
      <c r="L177" s="270"/>
      <c r="M177" s="270"/>
      <c r="N177" s="270"/>
    </row>
    <row r="178" spans="3:14">
      <c r="C178" s="270"/>
      <c r="D178" s="270"/>
      <c r="E178" s="270"/>
      <c r="F178" s="270"/>
      <c r="G178" s="270"/>
      <c r="H178" s="270"/>
      <c r="I178" s="270"/>
      <c r="J178" s="270"/>
      <c r="K178" s="270"/>
      <c r="L178" s="270"/>
      <c r="M178" s="270"/>
      <c r="N178" s="270"/>
    </row>
    <row r="179" spans="3:14">
      <c r="C179" s="270"/>
      <c r="D179" s="270"/>
      <c r="E179" s="270"/>
      <c r="F179" s="270"/>
      <c r="G179" s="270"/>
      <c r="H179" s="270"/>
      <c r="I179" s="270"/>
      <c r="J179" s="270"/>
      <c r="K179" s="270"/>
      <c r="L179" s="270"/>
      <c r="M179" s="270"/>
      <c r="N179" s="270"/>
    </row>
    <row r="180" spans="3:14">
      <c r="C180" s="270"/>
      <c r="D180" s="270"/>
      <c r="E180" s="270"/>
      <c r="F180" s="270"/>
      <c r="G180" s="270"/>
      <c r="H180" s="270"/>
      <c r="I180" s="270"/>
      <c r="J180" s="270"/>
      <c r="K180" s="270"/>
      <c r="L180" s="270"/>
      <c r="M180" s="270"/>
      <c r="N180" s="270"/>
    </row>
    <row r="181" spans="3:14">
      <c r="C181" s="270"/>
      <c r="D181" s="270"/>
      <c r="E181" s="270"/>
      <c r="F181" s="270"/>
      <c r="G181" s="270"/>
      <c r="H181" s="270"/>
      <c r="I181" s="270"/>
      <c r="J181" s="270"/>
      <c r="K181" s="270"/>
      <c r="L181" s="270"/>
      <c r="M181" s="270"/>
      <c r="N181" s="270"/>
    </row>
    <row r="182" spans="3:14">
      <c r="C182" s="270"/>
      <c r="D182" s="270"/>
      <c r="E182" s="270"/>
      <c r="F182" s="270"/>
      <c r="G182" s="270"/>
      <c r="H182" s="270"/>
      <c r="I182" s="270"/>
      <c r="J182" s="270"/>
      <c r="K182" s="270"/>
      <c r="L182" s="270"/>
      <c r="M182" s="270"/>
      <c r="N182" s="270"/>
    </row>
    <row r="183" spans="3:14">
      <c r="C183" s="270"/>
      <c r="D183" s="270"/>
      <c r="E183" s="270"/>
      <c r="F183" s="270"/>
      <c r="G183" s="270"/>
      <c r="H183" s="270"/>
      <c r="I183" s="270"/>
      <c r="J183" s="270"/>
      <c r="K183" s="270"/>
      <c r="L183" s="270"/>
      <c r="M183" s="270"/>
      <c r="N183" s="270"/>
    </row>
    <row r="184" spans="3:14">
      <c r="C184" s="270"/>
      <c r="D184" s="270"/>
      <c r="E184" s="270"/>
      <c r="F184" s="270"/>
      <c r="G184" s="270"/>
      <c r="H184" s="270"/>
      <c r="I184" s="270"/>
      <c r="J184" s="270"/>
      <c r="K184" s="270"/>
      <c r="L184" s="270"/>
      <c r="M184" s="270"/>
      <c r="N184" s="270"/>
    </row>
    <row r="185" spans="3:14">
      <c r="C185" s="270"/>
      <c r="D185" s="270"/>
      <c r="E185" s="270"/>
      <c r="F185" s="270"/>
      <c r="G185" s="270"/>
      <c r="H185" s="270"/>
      <c r="I185" s="270"/>
      <c r="J185" s="270"/>
      <c r="K185" s="270"/>
      <c r="L185" s="270"/>
      <c r="M185" s="270"/>
      <c r="N185" s="270"/>
    </row>
    <row r="186" spans="3:14">
      <c r="C186" s="270"/>
      <c r="D186" s="270"/>
      <c r="E186" s="270"/>
      <c r="F186" s="270"/>
      <c r="G186" s="270"/>
      <c r="H186" s="270"/>
      <c r="I186" s="270"/>
      <c r="J186" s="270"/>
      <c r="K186" s="270"/>
      <c r="L186" s="270"/>
      <c r="M186" s="270"/>
      <c r="N186" s="270"/>
    </row>
    <row r="187" spans="3:14">
      <c r="C187" s="270"/>
      <c r="D187" s="270"/>
      <c r="E187" s="270"/>
      <c r="F187" s="270"/>
      <c r="G187" s="270"/>
      <c r="H187" s="270"/>
      <c r="I187" s="270"/>
      <c r="J187" s="270"/>
      <c r="K187" s="270"/>
      <c r="L187" s="270"/>
      <c r="M187" s="270"/>
      <c r="N187" s="270"/>
    </row>
    <row r="188" spans="3:14">
      <c r="C188" s="270"/>
      <c r="D188" s="270"/>
      <c r="E188" s="270"/>
      <c r="F188" s="270"/>
      <c r="G188" s="270"/>
      <c r="H188" s="270"/>
      <c r="I188" s="270"/>
      <c r="J188" s="270"/>
      <c r="K188" s="270"/>
      <c r="L188" s="270"/>
      <c r="M188" s="270"/>
      <c r="N188" s="270"/>
    </row>
    <row r="189" spans="3:14">
      <c r="C189" s="270"/>
      <c r="D189" s="270"/>
      <c r="E189" s="270"/>
      <c r="F189" s="270"/>
      <c r="G189" s="270"/>
      <c r="H189" s="270"/>
      <c r="I189" s="270"/>
      <c r="J189" s="270"/>
      <c r="K189" s="270"/>
      <c r="L189" s="270"/>
      <c r="M189" s="270"/>
      <c r="N189" s="270"/>
    </row>
    <row r="190" spans="3:14">
      <c r="C190" s="270"/>
      <c r="D190" s="270"/>
      <c r="E190" s="270"/>
      <c r="F190" s="270"/>
      <c r="G190" s="270"/>
      <c r="H190" s="270"/>
      <c r="I190" s="270"/>
      <c r="J190" s="270"/>
      <c r="K190" s="270"/>
      <c r="L190" s="270"/>
      <c r="M190" s="270"/>
      <c r="N190" s="270"/>
    </row>
    <row r="191" spans="3:14">
      <c r="C191" s="270"/>
      <c r="D191" s="270"/>
      <c r="E191" s="270"/>
      <c r="F191" s="270"/>
      <c r="G191" s="270"/>
      <c r="H191" s="270"/>
      <c r="I191" s="270"/>
      <c r="J191" s="270"/>
      <c r="K191" s="270"/>
      <c r="L191" s="270"/>
      <c r="M191" s="270"/>
      <c r="N191" s="270"/>
    </row>
    <row r="192" spans="3:14">
      <c r="C192" s="270"/>
      <c r="D192" s="270"/>
      <c r="E192" s="270"/>
      <c r="F192" s="270"/>
      <c r="G192" s="270"/>
      <c r="H192" s="270"/>
      <c r="I192" s="270"/>
      <c r="J192" s="270"/>
      <c r="K192" s="270"/>
      <c r="L192" s="270"/>
      <c r="M192" s="270"/>
      <c r="N192" s="270"/>
    </row>
    <row r="193" spans="3:14">
      <c r="C193" s="270"/>
      <c r="D193" s="270"/>
      <c r="E193" s="270"/>
      <c r="F193" s="270"/>
      <c r="G193" s="270"/>
      <c r="H193" s="270"/>
      <c r="I193" s="270"/>
      <c r="J193" s="270"/>
      <c r="K193" s="270"/>
      <c r="L193" s="270"/>
      <c r="M193" s="270"/>
      <c r="N193" s="270"/>
    </row>
    <row r="194" spans="3:14">
      <c r="C194" s="270"/>
      <c r="D194" s="270"/>
      <c r="E194" s="270"/>
      <c r="F194" s="270"/>
      <c r="G194" s="270"/>
      <c r="H194" s="270"/>
      <c r="I194" s="270"/>
      <c r="J194" s="270"/>
      <c r="K194" s="270"/>
      <c r="L194" s="270"/>
      <c r="M194" s="270"/>
      <c r="N194" s="270"/>
    </row>
    <row r="195" spans="3:14">
      <c r="C195" s="270"/>
      <c r="D195" s="270"/>
      <c r="E195" s="270"/>
      <c r="F195" s="270"/>
      <c r="G195" s="270"/>
      <c r="H195" s="270"/>
      <c r="I195" s="270"/>
      <c r="J195" s="270"/>
      <c r="K195" s="270"/>
      <c r="L195" s="270"/>
      <c r="M195" s="270"/>
      <c r="N195" s="270"/>
    </row>
    <row r="196" spans="3:14">
      <c r="C196" s="270"/>
      <c r="D196" s="270"/>
      <c r="E196" s="270"/>
      <c r="F196" s="270"/>
      <c r="G196" s="270"/>
      <c r="H196" s="270"/>
      <c r="I196" s="270"/>
      <c r="J196" s="270"/>
      <c r="K196" s="270"/>
      <c r="L196" s="270"/>
      <c r="M196" s="270"/>
      <c r="N196" s="270"/>
    </row>
    <row r="197" spans="3:14">
      <c r="C197" s="270"/>
      <c r="D197" s="270"/>
      <c r="E197" s="270"/>
      <c r="F197" s="270"/>
      <c r="G197" s="270"/>
      <c r="H197" s="270"/>
      <c r="I197" s="270"/>
      <c r="J197" s="270"/>
      <c r="K197" s="270"/>
      <c r="L197" s="270"/>
      <c r="M197" s="270"/>
      <c r="N197" s="270"/>
    </row>
    <row r="198" spans="3:14">
      <c r="C198" s="270"/>
      <c r="D198" s="270"/>
      <c r="E198" s="270"/>
      <c r="F198" s="270"/>
      <c r="G198" s="270"/>
      <c r="H198" s="270"/>
      <c r="I198" s="270"/>
      <c r="J198" s="270"/>
      <c r="K198" s="270"/>
      <c r="L198" s="270"/>
      <c r="M198" s="270"/>
      <c r="N198" s="270"/>
    </row>
    <row r="199" spans="3:14">
      <c r="C199" s="270"/>
      <c r="D199" s="270"/>
      <c r="E199" s="270"/>
      <c r="F199" s="270"/>
      <c r="G199" s="270"/>
      <c r="H199" s="270"/>
      <c r="I199" s="270"/>
      <c r="J199" s="270"/>
      <c r="K199" s="270"/>
      <c r="L199" s="270"/>
      <c r="M199" s="270"/>
      <c r="N199" s="270"/>
    </row>
    <row r="200" spans="3:14">
      <c r="C200" s="270"/>
      <c r="D200" s="270"/>
      <c r="E200" s="270"/>
      <c r="F200" s="270"/>
      <c r="G200" s="270"/>
      <c r="H200" s="270"/>
      <c r="I200" s="270"/>
      <c r="J200" s="270"/>
      <c r="K200" s="270"/>
      <c r="L200" s="270"/>
      <c r="M200" s="270"/>
      <c r="N200" s="270"/>
    </row>
    <row r="201" spans="3:14">
      <c r="C201" s="270"/>
      <c r="D201" s="270"/>
      <c r="E201" s="270"/>
      <c r="F201" s="270"/>
      <c r="G201" s="270"/>
      <c r="H201" s="270"/>
      <c r="I201" s="270"/>
      <c r="J201" s="270"/>
      <c r="K201" s="270"/>
      <c r="L201" s="270"/>
      <c r="M201" s="270"/>
      <c r="N201" s="270"/>
    </row>
    <row r="202" spans="3:14">
      <c r="C202" s="270"/>
      <c r="D202" s="270"/>
      <c r="E202" s="270"/>
      <c r="F202" s="270"/>
      <c r="G202" s="270"/>
      <c r="H202" s="270"/>
      <c r="I202" s="270"/>
      <c r="J202" s="270"/>
      <c r="K202" s="270"/>
      <c r="L202" s="270"/>
      <c r="M202" s="270"/>
      <c r="N202" s="270"/>
    </row>
    <row r="203" spans="3:14">
      <c r="C203" s="270"/>
      <c r="D203" s="270"/>
      <c r="E203" s="270"/>
      <c r="F203" s="270"/>
      <c r="G203" s="270"/>
      <c r="H203" s="270"/>
      <c r="I203" s="270"/>
      <c r="J203" s="270"/>
      <c r="K203" s="270"/>
      <c r="L203" s="270"/>
      <c r="M203" s="270"/>
      <c r="N203" s="270"/>
    </row>
    <row r="204" spans="3:14">
      <c r="C204" s="270"/>
      <c r="D204" s="270"/>
      <c r="E204" s="270"/>
      <c r="F204" s="270"/>
      <c r="G204" s="270"/>
      <c r="H204" s="270"/>
      <c r="I204" s="270"/>
      <c r="J204" s="270"/>
      <c r="K204" s="270"/>
      <c r="L204" s="270"/>
      <c r="M204" s="270"/>
      <c r="N204" s="270"/>
    </row>
    <row r="205" spans="3:14">
      <c r="C205" s="270"/>
      <c r="D205" s="270"/>
      <c r="E205" s="270"/>
      <c r="F205" s="270"/>
      <c r="G205" s="270"/>
      <c r="H205" s="270"/>
      <c r="I205" s="270"/>
      <c r="J205" s="270"/>
      <c r="K205" s="270"/>
      <c r="L205" s="270"/>
      <c r="M205" s="270"/>
      <c r="N205" s="270"/>
    </row>
    <row r="206" spans="3:14">
      <c r="C206" s="270"/>
      <c r="D206" s="270"/>
      <c r="E206" s="270"/>
      <c r="F206" s="270"/>
      <c r="G206" s="270"/>
      <c r="H206" s="270"/>
      <c r="I206" s="270"/>
      <c r="J206" s="270"/>
      <c r="K206" s="270"/>
      <c r="L206" s="270"/>
      <c r="M206" s="270"/>
      <c r="N206" s="270"/>
    </row>
    <row r="207" spans="3:14">
      <c r="C207" s="270"/>
      <c r="D207" s="270"/>
      <c r="E207" s="270"/>
      <c r="F207" s="270"/>
      <c r="G207" s="270"/>
      <c r="H207" s="270"/>
      <c r="I207" s="270"/>
      <c r="J207" s="270"/>
      <c r="K207" s="270"/>
      <c r="L207" s="270"/>
      <c r="M207" s="270"/>
      <c r="N207" s="270"/>
    </row>
    <row r="208" spans="3:14">
      <c r="C208" s="270"/>
      <c r="D208" s="270"/>
      <c r="E208" s="270"/>
      <c r="F208" s="270"/>
      <c r="G208" s="270"/>
      <c r="H208" s="270"/>
      <c r="I208" s="270"/>
      <c r="J208" s="270"/>
      <c r="K208" s="270"/>
      <c r="L208" s="270"/>
      <c r="M208" s="270"/>
      <c r="N208" s="270"/>
    </row>
    <row r="209" spans="3:14">
      <c r="C209" s="270"/>
      <c r="D209" s="270"/>
      <c r="E209" s="270"/>
      <c r="F209" s="270"/>
      <c r="G209" s="270"/>
      <c r="H209" s="270"/>
      <c r="I209" s="270"/>
      <c r="J209" s="270"/>
      <c r="K209" s="270"/>
      <c r="L209" s="270"/>
      <c r="M209" s="270"/>
      <c r="N209" s="270"/>
    </row>
    <row r="210" spans="3:14">
      <c r="C210" s="270"/>
      <c r="D210" s="270"/>
      <c r="E210" s="270"/>
      <c r="F210" s="270"/>
      <c r="G210" s="270"/>
      <c r="H210" s="270"/>
      <c r="I210" s="270"/>
      <c r="J210" s="270"/>
      <c r="K210" s="270"/>
      <c r="L210" s="270"/>
      <c r="M210" s="270"/>
      <c r="N210" s="270"/>
    </row>
    <row r="211" spans="3:14">
      <c r="C211" s="270"/>
      <c r="D211" s="270"/>
      <c r="E211" s="270"/>
      <c r="F211" s="270"/>
      <c r="G211" s="270"/>
      <c r="H211" s="270"/>
      <c r="I211" s="270"/>
      <c r="J211" s="270"/>
      <c r="K211" s="270"/>
      <c r="L211" s="270"/>
      <c r="M211" s="270"/>
      <c r="N211" s="270"/>
    </row>
    <row r="212" spans="3:14">
      <c r="C212" s="270"/>
      <c r="D212" s="270"/>
      <c r="E212" s="270"/>
      <c r="F212" s="270"/>
      <c r="G212" s="270"/>
      <c r="H212" s="270"/>
      <c r="I212" s="270"/>
      <c r="J212" s="270"/>
      <c r="K212" s="270"/>
      <c r="L212" s="270"/>
      <c r="M212" s="270"/>
      <c r="N212" s="270"/>
    </row>
    <row r="213" spans="3:14">
      <c r="C213" s="270"/>
      <c r="D213" s="270"/>
      <c r="E213" s="270"/>
      <c r="F213" s="270"/>
      <c r="G213" s="270"/>
      <c r="H213" s="270"/>
      <c r="I213" s="270"/>
      <c r="J213" s="270"/>
      <c r="K213" s="270"/>
      <c r="L213" s="270"/>
      <c r="M213" s="270"/>
      <c r="N213" s="270"/>
    </row>
    <row r="214" spans="3:14">
      <c r="C214" s="270"/>
      <c r="D214" s="270"/>
      <c r="E214" s="270"/>
      <c r="F214" s="270"/>
      <c r="G214" s="270"/>
      <c r="H214" s="270"/>
      <c r="I214" s="270"/>
      <c r="J214" s="270"/>
      <c r="K214" s="270"/>
      <c r="L214" s="270"/>
      <c r="M214" s="270"/>
      <c r="N214" s="270"/>
    </row>
    <row r="215" spans="3:14">
      <c r="C215" s="270"/>
      <c r="D215" s="270"/>
      <c r="E215" s="270"/>
      <c r="F215" s="270"/>
      <c r="G215" s="270"/>
      <c r="H215" s="270"/>
      <c r="I215" s="270"/>
      <c r="J215" s="270"/>
      <c r="K215" s="270"/>
      <c r="L215" s="270"/>
      <c r="M215" s="270"/>
      <c r="N215" s="270"/>
    </row>
    <row r="216" spans="3:14">
      <c r="C216" s="270"/>
      <c r="D216" s="270"/>
      <c r="E216" s="270"/>
      <c r="F216" s="270"/>
      <c r="G216" s="270"/>
      <c r="H216" s="270"/>
      <c r="I216" s="270"/>
      <c r="J216" s="270"/>
      <c r="K216" s="270"/>
      <c r="L216" s="270"/>
      <c r="M216" s="270"/>
      <c r="N216" s="270"/>
    </row>
    <row r="217" spans="3:14">
      <c r="C217" s="270"/>
      <c r="D217" s="270"/>
      <c r="E217" s="270"/>
      <c r="F217" s="270"/>
      <c r="G217" s="270"/>
      <c r="H217" s="270"/>
      <c r="I217" s="270"/>
      <c r="J217" s="270"/>
      <c r="K217" s="270"/>
      <c r="L217" s="270"/>
      <c r="M217" s="270"/>
      <c r="N217" s="270"/>
    </row>
    <row r="218" spans="3:14">
      <c r="C218" s="270"/>
      <c r="D218" s="270"/>
      <c r="E218" s="270"/>
      <c r="F218" s="270"/>
      <c r="G218" s="270"/>
      <c r="H218" s="270"/>
      <c r="I218" s="270"/>
      <c r="J218" s="270"/>
      <c r="K218" s="270"/>
      <c r="L218" s="270"/>
      <c r="M218" s="270"/>
      <c r="N218" s="270"/>
    </row>
    <row r="219" spans="3:14">
      <c r="C219" s="270"/>
      <c r="D219" s="270"/>
      <c r="E219" s="270"/>
      <c r="F219" s="270"/>
      <c r="G219" s="270"/>
      <c r="H219" s="270"/>
      <c r="I219" s="270"/>
      <c r="J219" s="270"/>
      <c r="K219" s="270"/>
      <c r="L219" s="270"/>
      <c r="M219" s="270"/>
      <c r="N219" s="270"/>
    </row>
    <row r="220" spans="3:14">
      <c r="C220" s="270"/>
      <c r="D220" s="270"/>
      <c r="E220" s="270"/>
      <c r="F220" s="270"/>
      <c r="G220" s="270"/>
      <c r="H220" s="270"/>
      <c r="I220" s="270"/>
      <c r="J220" s="270"/>
      <c r="K220" s="270"/>
      <c r="L220" s="270"/>
      <c r="M220" s="270"/>
      <c r="N220" s="270"/>
    </row>
    <row r="221" spans="3:14">
      <c r="C221" s="270"/>
      <c r="D221" s="270"/>
      <c r="E221" s="270"/>
      <c r="F221" s="270"/>
      <c r="G221" s="270"/>
      <c r="H221" s="270"/>
      <c r="I221" s="270"/>
      <c r="J221" s="270"/>
      <c r="K221" s="270"/>
      <c r="L221" s="270"/>
      <c r="M221" s="270"/>
      <c r="N221" s="270"/>
    </row>
    <row r="222" spans="3:14">
      <c r="C222" s="270"/>
      <c r="D222" s="270"/>
      <c r="E222" s="270"/>
      <c r="F222" s="270"/>
      <c r="G222" s="270"/>
      <c r="H222" s="270"/>
      <c r="I222" s="270"/>
      <c r="J222" s="270"/>
      <c r="K222" s="270"/>
      <c r="L222" s="270"/>
      <c r="M222" s="270"/>
      <c r="N222" s="270"/>
    </row>
    <row r="223" spans="3:14">
      <c r="C223" s="270"/>
      <c r="D223" s="270"/>
      <c r="E223" s="270"/>
      <c r="F223" s="270"/>
      <c r="G223" s="270"/>
      <c r="H223" s="270"/>
      <c r="I223" s="270"/>
      <c r="J223" s="270"/>
      <c r="K223" s="270"/>
      <c r="L223" s="270"/>
      <c r="M223" s="270"/>
      <c r="N223" s="270"/>
    </row>
    <row r="224" spans="3:14">
      <c r="C224" s="270"/>
      <c r="D224" s="270"/>
      <c r="E224" s="270"/>
      <c r="F224" s="270"/>
      <c r="G224" s="270"/>
      <c r="H224" s="270"/>
      <c r="I224" s="270"/>
      <c r="J224" s="270"/>
      <c r="K224" s="270"/>
      <c r="L224" s="270"/>
      <c r="M224" s="270"/>
      <c r="N224" s="270"/>
    </row>
    <row r="225" spans="3:14">
      <c r="C225" s="270"/>
      <c r="D225" s="270"/>
      <c r="E225" s="270"/>
      <c r="F225" s="270"/>
      <c r="G225" s="270"/>
      <c r="H225" s="270"/>
      <c r="I225" s="270"/>
      <c r="J225" s="270"/>
      <c r="K225" s="270"/>
      <c r="L225" s="270"/>
      <c r="M225" s="270"/>
      <c r="N225" s="270"/>
    </row>
    <row r="226" spans="3:14">
      <c r="C226" s="270"/>
      <c r="D226" s="270"/>
      <c r="E226" s="270"/>
      <c r="F226" s="270"/>
      <c r="G226" s="270"/>
      <c r="H226" s="270"/>
      <c r="I226" s="270"/>
      <c r="J226" s="270"/>
      <c r="K226" s="270"/>
      <c r="L226" s="270"/>
      <c r="M226" s="270"/>
      <c r="N226" s="270"/>
    </row>
    <row r="227" spans="3:14">
      <c r="C227" s="270"/>
      <c r="D227" s="270"/>
      <c r="E227" s="270"/>
      <c r="F227" s="270"/>
      <c r="G227" s="270"/>
      <c r="H227" s="270"/>
      <c r="I227" s="270"/>
      <c r="J227" s="270"/>
      <c r="K227" s="270"/>
      <c r="L227" s="270"/>
      <c r="M227" s="270"/>
      <c r="N227" s="270"/>
    </row>
    <row r="228" spans="3:14">
      <c r="C228" s="270"/>
      <c r="D228" s="270"/>
      <c r="E228" s="270"/>
      <c r="F228" s="270"/>
      <c r="G228" s="270"/>
      <c r="H228" s="270"/>
      <c r="I228" s="270"/>
      <c r="J228" s="270"/>
      <c r="K228" s="270"/>
      <c r="L228" s="270"/>
      <c r="M228" s="270"/>
      <c r="N228" s="270"/>
    </row>
    <row r="229" spans="3:14">
      <c r="C229" s="270"/>
      <c r="D229" s="270"/>
      <c r="E229" s="270"/>
      <c r="F229" s="270"/>
      <c r="G229" s="270"/>
      <c r="H229" s="270"/>
      <c r="I229" s="270"/>
      <c r="J229" s="270"/>
      <c r="K229" s="270"/>
      <c r="L229" s="270"/>
      <c r="M229" s="270"/>
      <c r="N229" s="270"/>
    </row>
    <row r="230" spans="3:14">
      <c r="C230" s="270"/>
      <c r="D230" s="270"/>
      <c r="E230" s="270"/>
      <c r="F230" s="270"/>
      <c r="G230" s="270"/>
      <c r="H230" s="270"/>
      <c r="I230" s="270"/>
      <c r="J230" s="270"/>
      <c r="K230" s="270"/>
      <c r="L230" s="270"/>
      <c r="M230" s="270"/>
      <c r="N230" s="270"/>
    </row>
    <row r="231" spans="3:14">
      <c r="C231" s="270"/>
      <c r="D231" s="270"/>
      <c r="E231" s="270"/>
      <c r="F231" s="270"/>
      <c r="G231" s="270"/>
      <c r="H231" s="270"/>
      <c r="I231" s="270"/>
      <c r="J231" s="270"/>
      <c r="K231" s="270"/>
      <c r="L231" s="270"/>
      <c r="M231" s="270"/>
      <c r="N231" s="270"/>
    </row>
    <row r="232" spans="3:14">
      <c r="C232" s="270"/>
      <c r="D232" s="270"/>
      <c r="E232" s="270"/>
      <c r="F232" s="270"/>
      <c r="G232" s="270"/>
      <c r="H232" s="270"/>
      <c r="I232" s="270"/>
      <c r="J232" s="270"/>
      <c r="K232" s="270"/>
      <c r="L232" s="270"/>
      <c r="M232" s="270"/>
      <c r="N232" s="270"/>
    </row>
    <row r="233" spans="3:14">
      <c r="C233" s="270"/>
      <c r="D233" s="270"/>
      <c r="E233" s="270"/>
      <c r="F233" s="270"/>
      <c r="G233" s="270"/>
      <c r="H233" s="270"/>
      <c r="I233" s="270"/>
      <c r="J233" s="270"/>
      <c r="K233" s="270"/>
      <c r="L233" s="270"/>
      <c r="M233" s="270"/>
      <c r="N233" s="270"/>
    </row>
    <row r="234" spans="3:14">
      <c r="C234" s="270"/>
      <c r="D234" s="270"/>
      <c r="E234" s="270"/>
      <c r="F234" s="270"/>
      <c r="G234" s="270"/>
      <c r="H234" s="270"/>
      <c r="I234" s="270"/>
      <c r="J234" s="270"/>
      <c r="K234" s="270"/>
      <c r="L234" s="270"/>
      <c r="M234" s="270"/>
      <c r="N234" s="270"/>
    </row>
    <row r="235" spans="3:14">
      <c r="C235" s="270"/>
      <c r="D235" s="270"/>
      <c r="E235" s="270"/>
      <c r="F235" s="270"/>
      <c r="G235" s="270"/>
      <c r="H235" s="270"/>
      <c r="I235" s="270"/>
      <c r="J235" s="270"/>
      <c r="K235" s="270"/>
      <c r="L235" s="270"/>
      <c r="M235" s="270"/>
      <c r="N235" s="270"/>
    </row>
    <row r="236" spans="3:14">
      <c r="C236" s="270"/>
      <c r="D236" s="270"/>
      <c r="E236" s="270"/>
      <c r="F236" s="270"/>
      <c r="G236" s="270"/>
      <c r="H236" s="270"/>
      <c r="I236" s="270"/>
      <c r="J236" s="270"/>
      <c r="K236" s="270"/>
      <c r="L236" s="270"/>
      <c r="M236" s="270"/>
      <c r="N236" s="270"/>
    </row>
    <row r="237" spans="3:14">
      <c r="C237" s="270"/>
      <c r="D237" s="270"/>
      <c r="E237" s="270"/>
      <c r="F237" s="270"/>
      <c r="G237" s="270"/>
      <c r="H237" s="270"/>
      <c r="I237" s="270"/>
      <c r="J237" s="270"/>
      <c r="K237" s="270"/>
      <c r="L237" s="270"/>
      <c r="M237" s="270"/>
      <c r="N237" s="270"/>
    </row>
    <row r="238" spans="3:14">
      <c r="C238" s="270"/>
      <c r="D238" s="270"/>
      <c r="E238" s="270"/>
      <c r="F238" s="270"/>
      <c r="G238" s="270"/>
      <c r="H238" s="270"/>
      <c r="I238" s="270"/>
      <c r="J238" s="270"/>
      <c r="K238" s="270"/>
      <c r="L238" s="270"/>
      <c r="M238" s="270"/>
      <c r="N238" s="270"/>
    </row>
    <row r="239" spans="3:14">
      <c r="C239" s="270"/>
      <c r="D239" s="270"/>
      <c r="E239" s="270"/>
      <c r="F239" s="270"/>
      <c r="G239" s="270"/>
      <c r="H239" s="270"/>
      <c r="I239" s="270"/>
      <c r="J239" s="270"/>
      <c r="K239" s="270"/>
      <c r="L239" s="270"/>
      <c r="M239" s="270"/>
      <c r="N239" s="270"/>
    </row>
    <row r="240" spans="3:14">
      <c r="C240" s="270"/>
      <c r="D240" s="270"/>
      <c r="E240" s="270"/>
      <c r="F240" s="270"/>
      <c r="G240" s="270"/>
      <c r="H240" s="270"/>
      <c r="I240" s="270"/>
      <c r="J240" s="270"/>
      <c r="K240" s="270"/>
      <c r="L240" s="270"/>
      <c r="M240" s="270"/>
      <c r="N240" s="270"/>
    </row>
    <row r="241" spans="3:14">
      <c r="C241" s="270"/>
      <c r="D241" s="270"/>
      <c r="E241" s="270"/>
      <c r="F241" s="270"/>
      <c r="G241" s="270"/>
      <c r="H241" s="270"/>
      <c r="I241" s="270"/>
      <c r="J241" s="270"/>
      <c r="K241" s="270"/>
      <c r="L241" s="270"/>
      <c r="M241" s="270"/>
      <c r="N241" s="270"/>
    </row>
    <row r="242" spans="3:14">
      <c r="C242" s="270"/>
      <c r="D242" s="270"/>
      <c r="E242" s="270"/>
      <c r="F242" s="270"/>
      <c r="G242" s="270"/>
      <c r="H242" s="270"/>
      <c r="I242" s="270"/>
      <c r="J242" s="270"/>
      <c r="K242" s="270"/>
      <c r="L242" s="270"/>
      <c r="M242" s="270"/>
      <c r="N242" s="270"/>
    </row>
    <row r="243" spans="3:14">
      <c r="C243" s="270"/>
      <c r="D243" s="270"/>
      <c r="E243" s="270"/>
      <c r="F243" s="270"/>
      <c r="G243" s="270"/>
      <c r="H243" s="270"/>
      <c r="I243" s="270"/>
      <c r="J243" s="270"/>
      <c r="K243" s="270"/>
      <c r="L243" s="270"/>
      <c r="M243" s="270"/>
      <c r="N243" s="270"/>
    </row>
    <row r="244" spans="3:14">
      <c r="C244" s="270"/>
      <c r="D244" s="270"/>
      <c r="E244" s="270"/>
      <c r="F244" s="270"/>
      <c r="G244" s="270"/>
      <c r="H244" s="270"/>
      <c r="I244" s="270"/>
      <c r="J244" s="270"/>
      <c r="K244" s="270"/>
      <c r="L244" s="270"/>
      <c r="M244" s="270"/>
      <c r="N244" s="270"/>
    </row>
    <row r="245" spans="3:14">
      <c r="C245" s="270"/>
      <c r="D245" s="270"/>
      <c r="E245" s="270"/>
      <c r="F245" s="270"/>
      <c r="G245" s="270"/>
      <c r="H245" s="270"/>
      <c r="I245" s="270"/>
      <c r="J245" s="270"/>
      <c r="K245" s="270"/>
      <c r="L245" s="270"/>
      <c r="M245" s="270"/>
      <c r="N245" s="270"/>
    </row>
    <row r="246" spans="3:14">
      <c r="C246" s="270"/>
      <c r="D246" s="270"/>
      <c r="E246" s="270"/>
      <c r="F246" s="270"/>
      <c r="G246" s="270"/>
      <c r="H246" s="270"/>
      <c r="I246" s="270"/>
      <c r="J246" s="270"/>
      <c r="K246" s="270"/>
      <c r="L246" s="270"/>
      <c r="M246" s="270"/>
      <c r="N246" s="270"/>
    </row>
    <row r="247" spans="3:14">
      <c r="C247" s="270"/>
      <c r="D247" s="270"/>
      <c r="E247" s="270"/>
      <c r="F247" s="270"/>
      <c r="G247" s="270"/>
      <c r="H247" s="270"/>
      <c r="I247" s="270"/>
      <c r="J247" s="270"/>
      <c r="K247" s="270"/>
      <c r="L247" s="270"/>
      <c r="M247" s="270"/>
      <c r="N247" s="270"/>
    </row>
    <row r="248" spans="3:14">
      <c r="C248" s="270"/>
      <c r="D248" s="270"/>
      <c r="E248" s="270"/>
      <c r="F248" s="270"/>
      <c r="G248" s="270"/>
      <c r="H248" s="270"/>
      <c r="I248" s="270"/>
      <c r="J248" s="270"/>
      <c r="K248" s="270"/>
      <c r="L248" s="270"/>
      <c r="M248" s="270"/>
      <c r="N248" s="270"/>
    </row>
    <row r="249" spans="3:14">
      <c r="C249" s="270"/>
      <c r="D249" s="270"/>
      <c r="E249" s="270"/>
      <c r="F249" s="270"/>
      <c r="G249" s="270"/>
      <c r="H249" s="270"/>
      <c r="I249" s="270"/>
      <c r="J249" s="270"/>
      <c r="K249" s="270"/>
      <c r="L249" s="270"/>
      <c r="M249" s="270"/>
      <c r="N249" s="270"/>
    </row>
    <row r="250" spans="3:14">
      <c r="C250" s="270"/>
      <c r="D250" s="270"/>
      <c r="E250" s="270"/>
      <c r="F250" s="270"/>
      <c r="G250" s="270"/>
      <c r="H250" s="270"/>
      <c r="I250" s="270"/>
      <c r="J250" s="270"/>
      <c r="K250" s="270"/>
      <c r="L250" s="270"/>
      <c r="M250" s="270"/>
      <c r="N250" s="270"/>
    </row>
    <row r="251" spans="3:14">
      <c r="C251" s="270"/>
      <c r="D251" s="270"/>
      <c r="E251" s="270"/>
      <c r="F251" s="270"/>
      <c r="G251" s="270"/>
      <c r="H251" s="270"/>
      <c r="I251" s="270"/>
      <c r="J251" s="270"/>
      <c r="K251" s="270"/>
      <c r="L251" s="270"/>
      <c r="M251" s="270"/>
      <c r="N251" s="270"/>
    </row>
    <row r="252" spans="3:14">
      <c r="C252" s="270"/>
      <c r="D252" s="270"/>
      <c r="E252" s="270"/>
      <c r="F252" s="270"/>
      <c r="G252" s="270"/>
      <c r="H252" s="270"/>
      <c r="I252" s="270"/>
      <c r="J252" s="270"/>
      <c r="K252" s="270"/>
      <c r="L252" s="270"/>
      <c r="M252" s="270"/>
      <c r="N252" s="270"/>
    </row>
    <row r="253" spans="3:14">
      <c r="C253" s="270"/>
      <c r="D253" s="270"/>
      <c r="E253" s="270"/>
      <c r="F253" s="270"/>
      <c r="G253" s="270"/>
      <c r="H253" s="270"/>
      <c r="I253" s="270"/>
      <c r="J253" s="270"/>
      <c r="K253" s="270"/>
      <c r="L253" s="270"/>
      <c r="M253" s="270"/>
      <c r="N253" s="270"/>
    </row>
    <row r="254" spans="3:14">
      <c r="C254" s="270"/>
      <c r="D254" s="270"/>
      <c r="E254" s="270"/>
      <c r="F254" s="270"/>
      <c r="G254" s="270"/>
      <c r="H254" s="270"/>
      <c r="I254" s="270"/>
      <c r="J254" s="270"/>
      <c r="K254" s="270"/>
      <c r="L254" s="270"/>
      <c r="M254" s="270"/>
      <c r="N254" s="270"/>
    </row>
    <row r="255" spans="3:14">
      <c r="C255" s="270"/>
      <c r="D255" s="270"/>
      <c r="E255" s="270"/>
      <c r="F255" s="270"/>
      <c r="G255" s="270"/>
      <c r="H255" s="270"/>
      <c r="I255" s="270"/>
      <c r="J255" s="270"/>
      <c r="K255" s="270"/>
      <c r="L255" s="270"/>
      <c r="M255" s="270"/>
      <c r="N255" s="270"/>
    </row>
    <row r="256" spans="3:14">
      <c r="C256" s="270"/>
      <c r="D256" s="270"/>
      <c r="E256" s="270"/>
      <c r="F256" s="270"/>
      <c r="G256" s="270"/>
      <c r="H256" s="270"/>
      <c r="I256" s="270"/>
      <c r="J256" s="270"/>
      <c r="K256" s="270"/>
      <c r="L256" s="270"/>
      <c r="M256" s="270"/>
      <c r="N256" s="270"/>
    </row>
    <row r="257" spans="3:14">
      <c r="C257" s="270"/>
      <c r="D257" s="270"/>
      <c r="E257" s="270"/>
      <c r="F257" s="270"/>
      <c r="G257" s="270"/>
      <c r="H257" s="270"/>
      <c r="I257" s="270"/>
      <c r="J257" s="270"/>
      <c r="K257" s="270"/>
      <c r="L257" s="270"/>
      <c r="M257" s="270"/>
      <c r="N257" s="270"/>
    </row>
    <row r="258" spans="3:14">
      <c r="C258" s="270"/>
      <c r="D258" s="270"/>
      <c r="E258" s="270"/>
      <c r="F258" s="270"/>
      <c r="G258" s="270"/>
      <c r="H258" s="270"/>
      <c r="I258" s="270"/>
      <c r="J258" s="270"/>
      <c r="K258" s="270"/>
      <c r="L258" s="270"/>
      <c r="M258" s="270"/>
      <c r="N258" s="270"/>
    </row>
    <row r="259" spans="3:14">
      <c r="C259" s="270"/>
      <c r="D259" s="270"/>
      <c r="E259" s="270"/>
      <c r="F259" s="270"/>
      <c r="G259" s="270"/>
      <c r="H259" s="270"/>
      <c r="I259" s="270"/>
      <c r="J259" s="270"/>
      <c r="K259" s="270"/>
      <c r="L259" s="270"/>
      <c r="M259" s="270"/>
      <c r="N259" s="270"/>
    </row>
    <row r="260" spans="3:14">
      <c r="C260" s="270"/>
      <c r="D260" s="270"/>
      <c r="E260" s="270"/>
      <c r="F260" s="270"/>
      <c r="G260" s="270"/>
      <c r="H260" s="270"/>
      <c r="I260" s="270"/>
      <c r="J260" s="270"/>
      <c r="K260" s="270"/>
      <c r="L260" s="270"/>
      <c r="M260" s="270"/>
      <c r="N260" s="270"/>
    </row>
    <row r="261" spans="3:14">
      <c r="C261" s="270"/>
      <c r="D261" s="270"/>
      <c r="E261" s="270"/>
      <c r="F261" s="270"/>
      <c r="G261" s="270"/>
      <c r="H261" s="270"/>
      <c r="I261" s="270"/>
      <c r="J261" s="270"/>
      <c r="K261" s="270"/>
      <c r="L261" s="270"/>
      <c r="M261" s="270"/>
      <c r="N261" s="270"/>
    </row>
    <row r="262" spans="3:14">
      <c r="C262" s="270"/>
      <c r="D262" s="270"/>
      <c r="E262" s="270"/>
      <c r="F262" s="270"/>
      <c r="G262" s="270"/>
      <c r="H262" s="270"/>
      <c r="I262" s="270"/>
      <c r="J262" s="270"/>
      <c r="K262" s="270"/>
      <c r="L262" s="270"/>
      <c r="M262" s="270"/>
      <c r="N262" s="270"/>
    </row>
    <row r="263" spans="3:14">
      <c r="C263" s="270"/>
      <c r="D263" s="270"/>
      <c r="E263" s="270"/>
      <c r="F263" s="270"/>
      <c r="G263" s="270"/>
      <c r="H263" s="270"/>
      <c r="I263" s="270"/>
      <c r="J263" s="270"/>
      <c r="K263" s="270"/>
      <c r="L263" s="270"/>
      <c r="M263" s="270"/>
      <c r="N263" s="270"/>
    </row>
    <row r="264" spans="3:14">
      <c r="C264" s="270"/>
      <c r="D264" s="270"/>
      <c r="E264" s="270"/>
      <c r="F264" s="270"/>
      <c r="G264" s="270"/>
      <c r="H264" s="270"/>
      <c r="I264" s="270"/>
      <c r="J264" s="270"/>
      <c r="K264" s="270"/>
      <c r="L264" s="270"/>
      <c r="M264" s="270"/>
      <c r="N264" s="270"/>
    </row>
    <row r="265" spans="3:14">
      <c r="C265" s="270"/>
      <c r="D265" s="270"/>
      <c r="E265" s="270"/>
      <c r="F265" s="270"/>
      <c r="G265" s="270"/>
      <c r="H265" s="270"/>
      <c r="I265" s="270"/>
      <c r="J265" s="270"/>
      <c r="K265" s="270"/>
      <c r="L265" s="270"/>
      <c r="M265" s="270"/>
      <c r="N265" s="270"/>
    </row>
    <row r="266" spans="3:14">
      <c r="C266" s="270"/>
      <c r="D266" s="270"/>
      <c r="E266" s="270"/>
      <c r="F266" s="270"/>
      <c r="G266" s="270"/>
      <c r="H266" s="270"/>
      <c r="I266" s="270"/>
      <c r="J266" s="270"/>
      <c r="K266" s="270"/>
      <c r="L266" s="270"/>
      <c r="M266" s="270"/>
      <c r="N266" s="270"/>
    </row>
    <row r="267" spans="3:14">
      <c r="C267" s="270"/>
      <c r="D267" s="270"/>
      <c r="E267" s="270"/>
      <c r="F267" s="270"/>
      <c r="G267" s="270"/>
      <c r="H267" s="270"/>
      <c r="I267" s="270"/>
      <c r="J267" s="270"/>
      <c r="K267" s="270"/>
      <c r="L267" s="270"/>
      <c r="M267" s="270"/>
      <c r="N267" s="270"/>
    </row>
    <row r="268" spans="3:14">
      <c r="C268" s="270"/>
      <c r="D268" s="270"/>
      <c r="E268" s="270"/>
      <c r="F268" s="270"/>
      <c r="G268" s="270"/>
      <c r="H268" s="270"/>
      <c r="I268" s="270"/>
      <c r="J268" s="270"/>
      <c r="K268" s="270"/>
      <c r="L268" s="270"/>
      <c r="M268" s="270"/>
      <c r="N268" s="270"/>
    </row>
    <row r="269" spans="3:14">
      <c r="C269" s="270"/>
      <c r="D269" s="270"/>
      <c r="E269" s="270"/>
      <c r="F269" s="270"/>
      <c r="G269" s="270"/>
      <c r="H269" s="270"/>
      <c r="I269" s="270"/>
      <c r="J269" s="270"/>
      <c r="K269" s="270"/>
      <c r="L269" s="270"/>
      <c r="M269" s="270"/>
      <c r="N269" s="270"/>
    </row>
    <row r="270" spans="3:14">
      <c r="C270" s="270"/>
      <c r="D270" s="270"/>
      <c r="E270" s="270"/>
      <c r="F270" s="270"/>
      <c r="G270" s="270"/>
      <c r="H270" s="270"/>
      <c r="I270" s="270"/>
      <c r="J270" s="270"/>
      <c r="K270" s="270"/>
      <c r="L270" s="270"/>
      <c r="M270" s="270"/>
      <c r="N270" s="270"/>
    </row>
    <row r="271" spans="3:14">
      <c r="C271" s="270"/>
      <c r="D271" s="270"/>
      <c r="E271" s="270"/>
      <c r="F271" s="270"/>
      <c r="G271" s="270"/>
      <c r="H271" s="270"/>
      <c r="I271" s="270"/>
      <c r="J271" s="270"/>
      <c r="K271" s="270"/>
      <c r="L271" s="270"/>
      <c r="M271" s="270"/>
      <c r="N271" s="270"/>
    </row>
    <row r="272" spans="3:14">
      <c r="C272" s="270"/>
      <c r="D272" s="270"/>
      <c r="E272" s="270"/>
      <c r="F272" s="270"/>
      <c r="G272" s="270"/>
      <c r="H272" s="270"/>
      <c r="I272" s="270"/>
      <c r="J272" s="270"/>
      <c r="K272" s="270"/>
      <c r="L272" s="270"/>
      <c r="M272" s="270"/>
      <c r="N272" s="270"/>
    </row>
    <row r="273" spans="3:14">
      <c r="C273" s="270"/>
      <c r="D273" s="270"/>
      <c r="E273" s="270"/>
      <c r="F273" s="270"/>
      <c r="G273" s="270"/>
      <c r="H273" s="270"/>
      <c r="I273" s="270"/>
      <c r="J273" s="270"/>
      <c r="K273" s="270"/>
      <c r="L273" s="270"/>
      <c r="M273" s="270"/>
      <c r="N273" s="270"/>
    </row>
    <row r="274" spans="3:14">
      <c r="C274" s="270"/>
      <c r="D274" s="270"/>
      <c r="E274" s="270"/>
      <c r="F274" s="270"/>
      <c r="G274" s="270"/>
      <c r="H274" s="270"/>
      <c r="I274" s="270"/>
      <c r="J274" s="270"/>
      <c r="K274" s="270"/>
      <c r="L274" s="270"/>
      <c r="M274" s="270"/>
      <c r="N274" s="270"/>
    </row>
    <row r="275" spans="3:14">
      <c r="C275" s="270"/>
      <c r="D275" s="270"/>
      <c r="E275" s="270"/>
      <c r="F275" s="270"/>
      <c r="G275" s="270"/>
      <c r="H275" s="270"/>
      <c r="I275" s="270"/>
      <c r="J275" s="270"/>
      <c r="K275" s="270"/>
      <c r="L275" s="270"/>
      <c r="M275" s="270"/>
      <c r="N275" s="270"/>
    </row>
    <row r="276" spans="3:14">
      <c r="C276" s="270"/>
      <c r="D276" s="270"/>
      <c r="E276" s="270"/>
      <c r="F276" s="270"/>
      <c r="G276" s="270"/>
      <c r="H276" s="270"/>
      <c r="I276" s="270"/>
      <c r="J276" s="270"/>
      <c r="K276" s="270"/>
      <c r="L276" s="270"/>
      <c r="M276" s="270"/>
      <c r="N276" s="270"/>
    </row>
    <row r="277" spans="3:14">
      <c r="C277" s="270"/>
      <c r="D277" s="270"/>
      <c r="E277" s="270"/>
      <c r="F277" s="270"/>
      <c r="G277" s="270"/>
      <c r="H277" s="270"/>
      <c r="I277" s="270"/>
      <c r="J277" s="270"/>
      <c r="K277" s="270"/>
      <c r="L277" s="270"/>
      <c r="M277" s="270"/>
      <c r="N277" s="270"/>
    </row>
    <row r="278" spans="3:14">
      <c r="C278" s="270"/>
      <c r="D278" s="270"/>
      <c r="E278" s="270"/>
      <c r="F278" s="270"/>
      <c r="G278" s="270"/>
      <c r="H278" s="270"/>
      <c r="I278" s="270"/>
      <c r="J278" s="270"/>
      <c r="K278" s="270"/>
      <c r="L278" s="270"/>
      <c r="M278" s="270"/>
      <c r="N278" s="270"/>
    </row>
    <row r="279" spans="3:14">
      <c r="C279" s="270"/>
      <c r="D279" s="270"/>
      <c r="E279" s="270"/>
      <c r="F279" s="270"/>
      <c r="G279" s="270"/>
      <c r="H279" s="270"/>
      <c r="I279" s="270"/>
      <c r="J279" s="270"/>
      <c r="K279" s="270"/>
      <c r="L279" s="270"/>
      <c r="M279" s="270"/>
      <c r="N279" s="270"/>
    </row>
    <row r="280" spans="3:14">
      <c r="C280" s="270"/>
      <c r="D280" s="270"/>
      <c r="E280" s="270"/>
      <c r="F280" s="270"/>
      <c r="G280" s="270"/>
      <c r="H280" s="270"/>
      <c r="I280" s="270"/>
      <c r="J280" s="270"/>
      <c r="K280" s="270"/>
      <c r="L280" s="270"/>
      <c r="M280" s="270"/>
      <c r="N280" s="270"/>
    </row>
    <row r="281" spans="3:14">
      <c r="C281" s="270"/>
      <c r="D281" s="270"/>
      <c r="E281" s="270"/>
      <c r="F281" s="270"/>
      <c r="G281" s="270"/>
      <c r="H281" s="270"/>
      <c r="I281" s="270"/>
      <c r="J281" s="270"/>
      <c r="K281" s="270"/>
      <c r="L281" s="270"/>
      <c r="M281" s="270"/>
      <c r="N281" s="270"/>
    </row>
    <row r="282" spans="3:14">
      <c r="C282" s="270"/>
      <c r="D282" s="270"/>
      <c r="E282" s="270"/>
      <c r="F282" s="270"/>
      <c r="G282" s="270"/>
      <c r="H282" s="270"/>
      <c r="I282" s="270"/>
      <c r="J282" s="270"/>
      <c r="K282" s="270"/>
      <c r="L282" s="270"/>
      <c r="M282" s="270"/>
      <c r="N282" s="270"/>
    </row>
    <row r="283" spans="3:14">
      <c r="C283" s="270"/>
      <c r="D283" s="270"/>
      <c r="E283" s="270"/>
      <c r="F283" s="270"/>
      <c r="G283" s="270"/>
      <c r="H283" s="270"/>
      <c r="I283" s="270"/>
      <c r="J283" s="270"/>
      <c r="K283" s="270"/>
      <c r="L283" s="270"/>
      <c r="M283" s="270"/>
      <c r="N283" s="270"/>
    </row>
    <row r="284" spans="3:14">
      <c r="C284" s="270"/>
      <c r="D284" s="270"/>
      <c r="E284" s="270"/>
      <c r="F284" s="270"/>
      <c r="G284" s="270"/>
      <c r="H284" s="270"/>
      <c r="I284" s="270"/>
      <c r="J284" s="270"/>
      <c r="K284" s="270"/>
      <c r="L284" s="270"/>
      <c r="M284" s="270"/>
      <c r="N284" s="270"/>
    </row>
    <row r="285" spans="3:14">
      <c r="C285" s="270"/>
      <c r="D285" s="270"/>
      <c r="E285" s="270"/>
      <c r="F285" s="270"/>
      <c r="G285" s="270"/>
      <c r="H285" s="270"/>
      <c r="I285" s="270"/>
      <c r="J285" s="270"/>
      <c r="K285" s="270"/>
      <c r="L285" s="270"/>
      <c r="M285" s="270"/>
      <c r="N285" s="270"/>
    </row>
    <row r="286" spans="3:14">
      <c r="C286" s="270"/>
      <c r="D286" s="270"/>
      <c r="E286" s="270"/>
      <c r="F286" s="270"/>
      <c r="G286" s="270"/>
      <c r="H286" s="270"/>
      <c r="I286" s="270"/>
      <c r="J286" s="270"/>
      <c r="K286" s="270"/>
      <c r="L286" s="270"/>
      <c r="M286" s="270"/>
      <c r="N286" s="270"/>
    </row>
    <row r="287" spans="3:14">
      <c r="C287" s="270"/>
      <c r="D287" s="270"/>
      <c r="E287" s="270"/>
      <c r="F287" s="270"/>
      <c r="G287" s="270"/>
      <c r="H287" s="270"/>
      <c r="I287" s="270"/>
      <c r="J287" s="270"/>
      <c r="K287" s="270"/>
      <c r="L287" s="270"/>
      <c r="M287" s="270"/>
      <c r="N287" s="270"/>
    </row>
    <row r="288" spans="3:14">
      <c r="C288" s="270"/>
      <c r="D288" s="270"/>
      <c r="E288" s="270"/>
      <c r="F288" s="270"/>
      <c r="G288" s="270"/>
      <c r="H288" s="270"/>
      <c r="I288" s="270"/>
      <c r="J288" s="270"/>
      <c r="K288" s="270"/>
      <c r="L288" s="270"/>
      <c r="M288" s="270"/>
      <c r="N288" s="270"/>
    </row>
    <row r="289" spans="3:14">
      <c r="C289" s="270"/>
      <c r="D289" s="270"/>
      <c r="E289" s="270"/>
      <c r="F289" s="270"/>
      <c r="G289" s="270"/>
      <c r="H289" s="270"/>
      <c r="I289" s="270"/>
      <c r="J289" s="270"/>
      <c r="K289" s="270"/>
      <c r="L289" s="270"/>
      <c r="M289" s="270"/>
      <c r="N289" s="270"/>
    </row>
    <row r="290" spans="3:14">
      <c r="C290" s="270"/>
      <c r="D290" s="270"/>
      <c r="E290" s="270"/>
      <c r="F290" s="270"/>
      <c r="G290" s="270"/>
      <c r="H290" s="270"/>
      <c r="I290" s="270"/>
      <c r="J290" s="270"/>
      <c r="K290" s="270"/>
      <c r="L290" s="270"/>
      <c r="M290" s="270"/>
      <c r="N290" s="270"/>
    </row>
    <row r="291" spans="3:14">
      <c r="C291" s="270"/>
      <c r="D291" s="270"/>
      <c r="E291" s="270"/>
      <c r="F291" s="270"/>
      <c r="G291" s="270"/>
      <c r="H291" s="270"/>
      <c r="I291" s="270"/>
      <c r="J291" s="270"/>
      <c r="K291" s="270"/>
      <c r="L291" s="270"/>
      <c r="M291" s="270"/>
      <c r="N291" s="270"/>
    </row>
    <row r="292" spans="3:14">
      <c r="C292" s="270"/>
      <c r="D292" s="270"/>
      <c r="E292" s="270"/>
      <c r="F292" s="270"/>
      <c r="G292" s="270"/>
      <c r="H292" s="270"/>
      <c r="I292" s="270"/>
      <c r="J292" s="270"/>
      <c r="K292" s="270"/>
      <c r="L292" s="270"/>
      <c r="M292" s="270"/>
      <c r="N292" s="270"/>
    </row>
    <row r="293" spans="3:14">
      <c r="C293" s="270"/>
      <c r="D293" s="270"/>
      <c r="E293" s="270"/>
      <c r="F293" s="270"/>
      <c r="G293" s="270"/>
      <c r="H293" s="270"/>
      <c r="I293" s="270"/>
      <c r="J293" s="270"/>
      <c r="K293" s="270"/>
      <c r="L293" s="270"/>
      <c r="M293" s="270"/>
      <c r="N293" s="270"/>
    </row>
    <row r="294" spans="3:14">
      <c r="C294" s="270"/>
      <c r="D294" s="270"/>
      <c r="E294" s="270"/>
      <c r="F294" s="270"/>
      <c r="G294" s="270"/>
      <c r="H294" s="270"/>
      <c r="I294" s="270"/>
      <c r="J294" s="270"/>
      <c r="K294" s="270"/>
      <c r="L294" s="270"/>
      <c r="M294" s="270"/>
      <c r="N294" s="270"/>
    </row>
    <row r="295" spans="3:14">
      <c r="C295" s="270"/>
      <c r="D295" s="270"/>
      <c r="E295" s="270"/>
      <c r="F295" s="270"/>
      <c r="G295" s="270"/>
      <c r="H295" s="270"/>
      <c r="I295" s="270"/>
      <c r="J295" s="270"/>
      <c r="K295" s="270"/>
      <c r="L295" s="270"/>
      <c r="M295" s="270"/>
      <c r="N295" s="270"/>
    </row>
    <row r="296" spans="3:14">
      <c r="C296" s="270"/>
      <c r="D296" s="270"/>
      <c r="E296" s="270"/>
      <c r="F296" s="270"/>
      <c r="G296" s="270"/>
      <c r="H296" s="270"/>
      <c r="I296" s="270"/>
      <c r="J296" s="270"/>
      <c r="K296" s="270"/>
      <c r="L296" s="270"/>
      <c r="M296" s="270"/>
      <c r="N296" s="270"/>
    </row>
    <row r="297" spans="3:14">
      <c r="C297" s="270"/>
      <c r="D297" s="270"/>
      <c r="E297" s="270"/>
      <c r="F297" s="270"/>
      <c r="G297" s="270"/>
      <c r="H297" s="270"/>
      <c r="I297" s="270"/>
      <c r="J297" s="270"/>
      <c r="K297" s="270"/>
      <c r="L297" s="270"/>
      <c r="M297" s="270"/>
      <c r="N297" s="270"/>
    </row>
    <row r="298" spans="3:14">
      <c r="C298" s="270"/>
      <c r="D298" s="270"/>
      <c r="E298" s="270"/>
      <c r="F298" s="270"/>
      <c r="G298" s="270"/>
      <c r="H298" s="270"/>
      <c r="I298" s="270"/>
      <c r="J298" s="270"/>
      <c r="K298" s="270"/>
      <c r="L298" s="270"/>
      <c r="M298" s="270"/>
      <c r="N298" s="270"/>
    </row>
    <row r="299" spans="3:14">
      <c r="C299" s="270"/>
      <c r="D299" s="270"/>
      <c r="E299" s="270"/>
      <c r="F299" s="270"/>
      <c r="G299" s="270"/>
      <c r="H299" s="270"/>
      <c r="I299" s="270"/>
      <c r="J299" s="270"/>
      <c r="K299" s="270"/>
      <c r="L299" s="270"/>
      <c r="M299" s="270"/>
      <c r="N299" s="270"/>
    </row>
    <row r="300" spans="3:14">
      <c r="C300" s="270"/>
      <c r="D300" s="270"/>
      <c r="E300" s="270"/>
      <c r="F300" s="270"/>
      <c r="G300" s="270"/>
      <c r="H300" s="270"/>
      <c r="I300" s="270"/>
      <c r="J300" s="270"/>
      <c r="K300" s="270"/>
      <c r="L300" s="270"/>
      <c r="M300" s="270"/>
      <c r="N300" s="270"/>
    </row>
    <row r="301" spans="3:14">
      <c r="C301" s="270"/>
      <c r="D301" s="270"/>
      <c r="E301" s="270"/>
      <c r="F301" s="270"/>
      <c r="G301" s="270"/>
      <c r="H301" s="270"/>
      <c r="I301" s="270"/>
      <c r="J301" s="270"/>
      <c r="K301" s="270"/>
      <c r="L301" s="270"/>
      <c r="M301" s="270"/>
      <c r="N301" s="270"/>
    </row>
    <row r="302" spans="3:14">
      <c r="C302" s="270"/>
      <c r="D302" s="270"/>
      <c r="E302" s="270"/>
      <c r="F302" s="270"/>
      <c r="G302" s="270"/>
      <c r="H302" s="270"/>
      <c r="I302" s="270"/>
      <c r="J302" s="270"/>
      <c r="K302" s="270"/>
      <c r="L302" s="270"/>
      <c r="M302" s="270"/>
      <c r="N302" s="270"/>
    </row>
    <row r="303" spans="3:14">
      <c r="C303" s="270"/>
      <c r="D303" s="270"/>
      <c r="E303" s="270"/>
      <c r="F303" s="270"/>
      <c r="G303" s="270"/>
      <c r="H303" s="270"/>
      <c r="I303" s="270"/>
      <c r="J303" s="270"/>
      <c r="K303" s="270"/>
      <c r="L303" s="270"/>
      <c r="M303" s="270"/>
      <c r="N303" s="270"/>
    </row>
    <row r="304" spans="3:14">
      <c r="C304" s="270"/>
      <c r="D304" s="270"/>
      <c r="E304" s="270"/>
      <c r="F304" s="270"/>
      <c r="G304" s="270"/>
      <c r="H304" s="270"/>
      <c r="I304" s="270"/>
      <c r="J304" s="270"/>
      <c r="K304" s="270"/>
      <c r="L304" s="270"/>
      <c r="M304" s="270"/>
      <c r="N304" s="270"/>
    </row>
    <row r="305" spans="3:14">
      <c r="C305" s="270"/>
      <c r="D305" s="270"/>
      <c r="E305" s="270"/>
      <c r="F305" s="270"/>
      <c r="G305" s="270"/>
      <c r="H305" s="270"/>
      <c r="I305" s="270"/>
      <c r="J305" s="270"/>
      <c r="K305" s="270"/>
      <c r="L305" s="270"/>
      <c r="M305" s="270"/>
      <c r="N305" s="270"/>
    </row>
    <row r="306" spans="3:14">
      <c r="C306" s="270"/>
      <c r="D306" s="270"/>
      <c r="E306" s="270"/>
      <c r="F306" s="270"/>
      <c r="G306" s="270"/>
      <c r="H306" s="270"/>
      <c r="I306" s="270"/>
      <c r="J306" s="270"/>
      <c r="K306" s="270"/>
      <c r="L306" s="270"/>
      <c r="M306" s="270"/>
      <c r="N306" s="270"/>
    </row>
    <row r="307" spans="3:14">
      <c r="C307" s="270"/>
      <c r="D307" s="270"/>
      <c r="E307" s="270"/>
      <c r="F307" s="270"/>
      <c r="G307" s="270"/>
      <c r="H307" s="270"/>
      <c r="I307" s="270"/>
      <c r="J307" s="270"/>
      <c r="K307" s="270"/>
      <c r="L307" s="270"/>
      <c r="M307" s="270"/>
      <c r="N307" s="270"/>
    </row>
    <row r="308" spans="3:14">
      <c r="C308" s="270"/>
      <c r="D308" s="270"/>
      <c r="E308" s="270"/>
      <c r="F308" s="270"/>
      <c r="G308" s="270"/>
      <c r="H308" s="270"/>
      <c r="I308" s="270"/>
      <c r="J308" s="270"/>
      <c r="K308" s="270"/>
      <c r="L308" s="270"/>
      <c r="M308" s="270"/>
      <c r="N308" s="270"/>
    </row>
    <row r="309" spans="3:14">
      <c r="C309" s="270"/>
      <c r="D309" s="270"/>
      <c r="E309" s="270"/>
      <c r="F309" s="270"/>
      <c r="G309" s="270"/>
      <c r="H309" s="270"/>
      <c r="I309" s="270"/>
      <c r="J309" s="270"/>
      <c r="K309" s="270"/>
      <c r="L309" s="270"/>
      <c r="M309" s="270"/>
      <c r="N309" s="270"/>
    </row>
    <row r="310" spans="3:14">
      <c r="C310" s="270"/>
      <c r="D310" s="270"/>
      <c r="E310" s="270"/>
      <c r="F310" s="270"/>
      <c r="G310" s="270"/>
      <c r="H310" s="270"/>
      <c r="I310" s="270"/>
      <c r="J310" s="270"/>
      <c r="K310" s="270"/>
      <c r="L310" s="270"/>
      <c r="M310" s="270"/>
      <c r="N310" s="270"/>
    </row>
    <row r="311" spans="3:14">
      <c r="C311" s="270"/>
      <c r="D311" s="270"/>
      <c r="E311" s="270"/>
      <c r="F311" s="270"/>
      <c r="G311" s="270"/>
      <c r="H311" s="270"/>
      <c r="I311" s="270"/>
      <c r="J311" s="270"/>
      <c r="K311" s="270"/>
      <c r="L311" s="270"/>
      <c r="M311" s="270"/>
      <c r="N311" s="270"/>
    </row>
    <row r="312" spans="3:14">
      <c r="C312" s="270"/>
      <c r="D312" s="270"/>
      <c r="E312" s="270"/>
      <c r="F312" s="270"/>
      <c r="G312" s="270"/>
      <c r="H312" s="270"/>
      <c r="I312" s="270"/>
      <c r="J312" s="270"/>
      <c r="K312" s="270"/>
      <c r="L312" s="270"/>
      <c r="M312" s="270"/>
      <c r="N312" s="270"/>
    </row>
    <row r="313" spans="3:14">
      <c r="C313" s="270"/>
      <c r="D313" s="270"/>
      <c r="E313" s="270"/>
      <c r="F313" s="270"/>
      <c r="G313" s="270"/>
      <c r="H313" s="270"/>
      <c r="I313" s="270"/>
      <c r="J313" s="270"/>
      <c r="K313" s="270"/>
      <c r="L313" s="270"/>
      <c r="M313" s="270"/>
      <c r="N313" s="270"/>
    </row>
    <row r="314" spans="3:14">
      <c r="C314" s="270"/>
      <c r="D314" s="270"/>
      <c r="E314" s="270"/>
      <c r="F314" s="270"/>
      <c r="G314" s="270"/>
      <c r="H314" s="270"/>
      <c r="I314" s="270"/>
      <c r="J314" s="270"/>
      <c r="K314" s="270"/>
      <c r="L314" s="270"/>
      <c r="M314" s="270"/>
      <c r="N314" s="270"/>
    </row>
    <row r="315" spans="3:14">
      <c r="C315" s="270"/>
      <c r="D315" s="270"/>
      <c r="E315" s="270"/>
      <c r="F315" s="270"/>
      <c r="G315" s="270"/>
      <c r="H315" s="270"/>
      <c r="I315" s="270"/>
      <c r="J315" s="270"/>
      <c r="K315" s="270"/>
      <c r="L315" s="270"/>
      <c r="M315" s="270"/>
      <c r="N315" s="270"/>
    </row>
    <row r="316" spans="3:14">
      <c r="C316" s="270"/>
      <c r="D316" s="270"/>
      <c r="E316" s="270"/>
      <c r="F316" s="270"/>
      <c r="G316" s="270"/>
      <c r="H316" s="270"/>
      <c r="I316" s="270"/>
      <c r="J316" s="270"/>
      <c r="K316" s="270"/>
      <c r="L316" s="270"/>
      <c r="M316" s="270"/>
      <c r="N316" s="270"/>
    </row>
    <row r="317" spans="3:14">
      <c r="C317" s="270"/>
      <c r="D317" s="270"/>
      <c r="E317" s="270"/>
      <c r="F317" s="270"/>
      <c r="G317" s="270"/>
      <c r="H317" s="270"/>
      <c r="I317" s="270"/>
      <c r="J317" s="270"/>
      <c r="K317" s="270"/>
      <c r="L317" s="270"/>
      <c r="M317" s="270"/>
      <c r="N317" s="270"/>
    </row>
    <row r="318" spans="3:14">
      <c r="C318" s="270"/>
      <c r="D318" s="270"/>
      <c r="E318" s="270"/>
      <c r="F318" s="270"/>
      <c r="G318" s="270"/>
      <c r="H318" s="270"/>
      <c r="I318" s="270"/>
      <c r="J318" s="270"/>
      <c r="K318" s="270"/>
      <c r="L318" s="270"/>
      <c r="M318" s="270"/>
      <c r="N318" s="270"/>
    </row>
    <row r="319" spans="3:14">
      <c r="C319" s="270"/>
      <c r="D319" s="270"/>
      <c r="E319" s="270"/>
      <c r="F319" s="270"/>
      <c r="G319" s="270"/>
      <c r="H319" s="270"/>
      <c r="I319" s="270"/>
      <c r="J319" s="270"/>
      <c r="K319" s="270"/>
      <c r="L319" s="270"/>
      <c r="M319" s="270"/>
      <c r="N319" s="270"/>
    </row>
    <row r="320" spans="3:14">
      <c r="C320" s="270"/>
      <c r="D320" s="270"/>
      <c r="E320" s="270"/>
      <c r="F320" s="270"/>
      <c r="G320" s="270"/>
      <c r="H320" s="270"/>
      <c r="I320" s="270"/>
      <c r="J320" s="270"/>
      <c r="K320" s="270"/>
      <c r="L320" s="270"/>
      <c r="M320" s="270"/>
      <c r="N320" s="270"/>
    </row>
    <row r="321" spans="3:14">
      <c r="C321" s="270"/>
      <c r="D321" s="270"/>
      <c r="E321" s="270"/>
      <c r="F321" s="270"/>
      <c r="G321" s="270"/>
      <c r="H321" s="270"/>
      <c r="I321" s="270"/>
      <c r="J321" s="270"/>
      <c r="K321" s="270"/>
      <c r="L321" s="270"/>
      <c r="M321" s="270"/>
      <c r="N321" s="270"/>
    </row>
    <row r="322" spans="3:14">
      <c r="C322" s="270"/>
      <c r="D322" s="270"/>
      <c r="E322" s="270"/>
      <c r="F322" s="270"/>
      <c r="G322" s="270"/>
      <c r="H322" s="270"/>
      <c r="I322" s="270"/>
      <c r="J322" s="270"/>
      <c r="K322" s="270"/>
      <c r="L322" s="270"/>
      <c r="M322" s="270"/>
      <c r="N322" s="270"/>
    </row>
    <row r="323" spans="3:14">
      <c r="C323" s="270"/>
      <c r="D323" s="270"/>
      <c r="E323" s="270"/>
      <c r="F323" s="270"/>
      <c r="G323" s="270"/>
      <c r="H323" s="270"/>
      <c r="I323" s="270"/>
      <c r="J323" s="270"/>
      <c r="K323" s="270"/>
      <c r="L323" s="270"/>
      <c r="M323" s="270"/>
      <c r="N323" s="270"/>
    </row>
    <row r="324" spans="3:14">
      <c r="C324" s="270"/>
      <c r="D324" s="270"/>
      <c r="E324" s="270"/>
      <c r="F324" s="270"/>
      <c r="G324" s="270"/>
      <c r="H324" s="270"/>
      <c r="I324" s="270"/>
      <c r="J324" s="270"/>
      <c r="K324" s="270"/>
      <c r="L324" s="270"/>
      <c r="M324" s="270"/>
      <c r="N324" s="270"/>
    </row>
    <row r="325" spans="3:14">
      <c r="C325" s="270"/>
      <c r="D325" s="270"/>
      <c r="E325" s="270"/>
      <c r="F325" s="270"/>
      <c r="G325" s="270"/>
      <c r="H325" s="270"/>
      <c r="I325" s="270"/>
      <c r="J325" s="270"/>
      <c r="K325" s="270"/>
      <c r="L325" s="270"/>
      <c r="M325" s="270"/>
      <c r="N325" s="270"/>
    </row>
    <row r="326" spans="3:14">
      <c r="C326" s="270"/>
      <c r="D326" s="270"/>
      <c r="E326" s="270"/>
      <c r="F326" s="270"/>
      <c r="G326" s="270"/>
      <c r="H326" s="270"/>
      <c r="I326" s="270"/>
      <c r="J326" s="270"/>
      <c r="K326" s="270"/>
      <c r="L326" s="270"/>
      <c r="M326" s="270"/>
      <c r="N326" s="270"/>
    </row>
    <row r="327" spans="3:14">
      <c r="C327" s="270"/>
      <c r="D327" s="270"/>
      <c r="E327" s="270"/>
      <c r="F327" s="270"/>
      <c r="G327" s="270"/>
      <c r="H327" s="270"/>
      <c r="I327" s="270"/>
      <c r="J327" s="270"/>
      <c r="K327" s="270"/>
      <c r="L327" s="270"/>
      <c r="M327" s="270"/>
      <c r="N327" s="270"/>
    </row>
    <row r="328" spans="3:14">
      <c r="C328" s="270"/>
      <c r="D328" s="270"/>
      <c r="E328" s="270"/>
      <c r="F328" s="270"/>
      <c r="G328" s="270"/>
      <c r="H328" s="270"/>
      <c r="I328" s="270"/>
      <c r="J328" s="270"/>
      <c r="K328" s="270"/>
      <c r="L328" s="270"/>
      <c r="M328" s="270"/>
      <c r="N328" s="270"/>
    </row>
    <row r="329" spans="3:14">
      <c r="C329" s="270"/>
      <c r="D329" s="270"/>
      <c r="E329" s="270"/>
      <c r="F329" s="270"/>
      <c r="G329" s="270"/>
      <c r="H329" s="270"/>
      <c r="I329" s="270"/>
      <c r="J329" s="270"/>
      <c r="K329" s="270"/>
      <c r="L329" s="270"/>
      <c r="M329" s="270"/>
      <c r="N329" s="270"/>
    </row>
    <row r="330" spans="3:14">
      <c r="C330" s="270"/>
      <c r="D330" s="270"/>
      <c r="E330" s="270"/>
      <c r="F330" s="270"/>
      <c r="G330" s="270"/>
      <c r="H330" s="270"/>
      <c r="I330" s="270"/>
      <c r="J330" s="270"/>
      <c r="K330" s="270"/>
      <c r="L330" s="270"/>
      <c r="M330" s="270"/>
      <c r="N330" s="270"/>
    </row>
    <row r="331" spans="3:14">
      <c r="C331" s="270"/>
      <c r="D331" s="270"/>
      <c r="E331" s="270"/>
      <c r="F331" s="270"/>
      <c r="G331" s="270"/>
      <c r="H331" s="270"/>
      <c r="I331" s="270"/>
      <c r="J331" s="270"/>
      <c r="K331" s="270"/>
      <c r="L331" s="270"/>
      <c r="M331" s="270"/>
      <c r="N331" s="270"/>
    </row>
    <row r="332" spans="3:14">
      <c r="C332" s="270"/>
      <c r="D332" s="270"/>
      <c r="E332" s="270"/>
      <c r="F332" s="270"/>
      <c r="G332" s="270"/>
      <c r="H332" s="270"/>
      <c r="I332" s="270"/>
      <c r="J332" s="270"/>
      <c r="K332" s="270"/>
      <c r="L332" s="270"/>
      <c r="M332" s="270"/>
      <c r="N332" s="270"/>
    </row>
    <row r="333" spans="3:14">
      <c r="C333" s="270"/>
      <c r="D333" s="270"/>
      <c r="E333" s="270"/>
      <c r="F333" s="270"/>
      <c r="G333" s="270"/>
      <c r="H333" s="270"/>
      <c r="I333" s="270"/>
      <c r="J333" s="270"/>
      <c r="K333" s="270"/>
      <c r="L333" s="270"/>
      <c r="M333" s="270"/>
      <c r="N333" s="270"/>
    </row>
    <row r="334" spans="3:14">
      <c r="C334" s="270"/>
      <c r="D334" s="270"/>
      <c r="E334" s="270"/>
      <c r="F334" s="270"/>
      <c r="G334" s="270"/>
      <c r="H334" s="270"/>
      <c r="I334" s="270"/>
      <c r="J334" s="270"/>
      <c r="K334" s="270"/>
      <c r="L334" s="270"/>
      <c r="M334" s="270"/>
      <c r="N334" s="270"/>
    </row>
    <row r="335" spans="3:14">
      <c r="C335" s="270"/>
      <c r="D335" s="270"/>
      <c r="E335" s="270"/>
      <c r="F335" s="270"/>
      <c r="G335" s="270"/>
      <c r="H335" s="270"/>
      <c r="I335" s="270"/>
      <c r="J335" s="270"/>
      <c r="K335" s="270"/>
      <c r="L335" s="270"/>
      <c r="M335" s="270"/>
      <c r="N335" s="270"/>
    </row>
    <row r="336" spans="3:14">
      <c r="C336" s="270"/>
      <c r="D336" s="270"/>
      <c r="E336" s="270"/>
      <c r="F336" s="270"/>
      <c r="G336" s="270"/>
      <c r="H336" s="270"/>
      <c r="I336" s="270"/>
      <c r="J336" s="270"/>
      <c r="K336" s="270"/>
      <c r="L336" s="270"/>
      <c r="M336" s="270"/>
      <c r="N336" s="270"/>
    </row>
    <row r="337" spans="3:14">
      <c r="C337" s="270"/>
      <c r="D337" s="270"/>
      <c r="E337" s="270"/>
      <c r="F337" s="270"/>
      <c r="G337" s="270"/>
      <c r="H337" s="270"/>
      <c r="I337" s="270"/>
      <c r="J337" s="270"/>
      <c r="K337" s="270"/>
      <c r="L337" s="270"/>
      <c r="M337" s="270"/>
      <c r="N337" s="270"/>
    </row>
    <row r="338" spans="3:14">
      <c r="C338" s="270"/>
      <c r="D338" s="270"/>
      <c r="E338" s="270"/>
      <c r="F338" s="270"/>
      <c r="G338" s="270"/>
      <c r="H338" s="270"/>
      <c r="I338" s="270"/>
      <c r="J338" s="270"/>
      <c r="K338" s="270"/>
      <c r="L338" s="270"/>
      <c r="M338" s="270"/>
      <c r="N338" s="270"/>
    </row>
    <row r="339" spans="3:14">
      <c r="C339" s="270"/>
      <c r="D339" s="270"/>
      <c r="E339" s="270"/>
      <c r="F339" s="270"/>
      <c r="G339" s="270"/>
      <c r="H339" s="270"/>
      <c r="I339" s="270"/>
      <c r="J339" s="270"/>
      <c r="K339" s="270"/>
      <c r="L339" s="270"/>
      <c r="M339" s="270"/>
      <c r="N339" s="270"/>
    </row>
    <row r="340" spans="3:14">
      <c r="C340" s="270"/>
      <c r="D340" s="270"/>
      <c r="E340" s="270"/>
      <c r="F340" s="270"/>
      <c r="G340" s="270"/>
      <c r="H340" s="270"/>
      <c r="I340" s="270"/>
      <c r="J340" s="270"/>
      <c r="K340" s="270"/>
      <c r="L340" s="270"/>
      <c r="M340" s="270"/>
      <c r="N340" s="270"/>
    </row>
    <row r="341" spans="3:14">
      <c r="C341" s="270"/>
      <c r="D341" s="270"/>
      <c r="E341" s="270"/>
      <c r="F341" s="270"/>
      <c r="G341" s="270"/>
      <c r="H341" s="270"/>
      <c r="I341" s="270"/>
      <c r="J341" s="270"/>
      <c r="K341" s="270"/>
      <c r="L341" s="270"/>
      <c r="M341" s="270"/>
      <c r="N341" s="270"/>
    </row>
    <row r="342" spans="3:14">
      <c r="C342" s="270"/>
      <c r="D342" s="270"/>
      <c r="E342" s="270"/>
      <c r="F342" s="270"/>
      <c r="G342" s="270"/>
      <c r="H342" s="270"/>
      <c r="I342" s="270"/>
      <c r="J342" s="270"/>
      <c r="K342" s="270"/>
      <c r="L342" s="270"/>
      <c r="M342" s="270"/>
      <c r="N342" s="270"/>
    </row>
    <row r="343" spans="3:14">
      <c r="C343" s="270"/>
      <c r="D343" s="270"/>
      <c r="E343" s="270"/>
      <c r="F343" s="270"/>
      <c r="G343" s="270"/>
      <c r="H343" s="270"/>
      <c r="I343" s="270"/>
      <c r="J343" s="270"/>
      <c r="K343" s="270"/>
      <c r="L343" s="270"/>
      <c r="M343" s="270"/>
      <c r="N343" s="270"/>
    </row>
    <row r="344" spans="3:14">
      <c r="C344" s="270"/>
      <c r="D344" s="270"/>
      <c r="E344" s="270"/>
      <c r="F344" s="270"/>
      <c r="G344" s="270"/>
      <c r="H344" s="270"/>
      <c r="I344" s="270"/>
      <c r="J344" s="270"/>
      <c r="K344" s="270"/>
      <c r="L344" s="270"/>
      <c r="M344" s="270"/>
      <c r="N344" s="270"/>
    </row>
    <row r="345" spans="3:14">
      <c r="C345" s="270"/>
      <c r="D345" s="270"/>
      <c r="E345" s="270"/>
      <c r="F345" s="270"/>
      <c r="G345" s="270"/>
      <c r="H345" s="270"/>
      <c r="I345" s="270"/>
      <c r="J345" s="270"/>
      <c r="K345" s="270"/>
      <c r="L345" s="270"/>
      <c r="M345" s="270"/>
      <c r="N345" s="270"/>
    </row>
    <row r="346" spans="3:14">
      <c r="C346" s="270"/>
      <c r="D346" s="270"/>
      <c r="E346" s="270"/>
      <c r="F346" s="270"/>
      <c r="G346" s="270"/>
      <c r="H346" s="270"/>
      <c r="I346" s="270"/>
      <c r="J346" s="270"/>
      <c r="K346" s="270"/>
      <c r="L346" s="270"/>
      <c r="M346" s="270"/>
      <c r="N346" s="270"/>
    </row>
    <row r="347" spans="3:14">
      <c r="C347" s="270"/>
      <c r="D347" s="270"/>
      <c r="E347" s="270"/>
      <c r="F347" s="270"/>
      <c r="G347" s="270"/>
      <c r="H347" s="270"/>
      <c r="I347" s="270"/>
      <c r="J347" s="270"/>
      <c r="K347" s="270"/>
      <c r="L347" s="270"/>
      <c r="M347" s="270"/>
      <c r="N347" s="270"/>
    </row>
    <row r="348" spans="3:14">
      <c r="C348" s="270"/>
      <c r="D348" s="270"/>
      <c r="E348" s="270"/>
      <c r="F348" s="270"/>
      <c r="G348" s="270"/>
      <c r="H348" s="270"/>
      <c r="I348" s="270"/>
      <c r="J348" s="270"/>
      <c r="K348" s="270"/>
      <c r="L348" s="270"/>
      <c r="M348" s="270"/>
      <c r="N348" s="270"/>
    </row>
    <row r="349" spans="3:14">
      <c r="C349" s="270"/>
      <c r="D349" s="270"/>
      <c r="E349" s="270"/>
      <c r="F349" s="270"/>
      <c r="G349" s="270"/>
      <c r="H349" s="270"/>
      <c r="I349" s="270"/>
      <c r="J349" s="270"/>
      <c r="K349" s="270"/>
      <c r="L349" s="270"/>
      <c r="M349" s="270"/>
      <c r="N349" s="270"/>
    </row>
    <row r="350" spans="3:14">
      <c r="C350" s="270"/>
      <c r="D350" s="270"/>
      <c r="E350" s="270"/>
      <c r="F350" s="270"/>
      <c r="G350" s="270"/>
      <c r="H350" s="270"/>
      <c r="I350" s="270"/>
      <c r="J350" s="270"/>
      <c r="K350" s="270"/>
      <c r="L350" s="270"/>
      <c r="M350" s="270"/>
      <c r="N350" s="270"/>
    </row>
    <row r="351" spans="3:14">
      <c r="C351" s="270"/>
      <c r="D351" s="270"/>
      <c r="E351" s="270"/>
      <c r="F351" s="270"/>
      <c r="G351" s="270"/>
      <c r="H351" s="270"/>
      <c r="I351" s="270"/>
      <c r="J351" s="270"/>
      <c r="K351" s="270"/>
      <c r="L351" s="270"/>
      <c r="M351" s="270"/>
      <c r="N351" s="270"/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zoomScaleNormal="100" workbookViewId="0">
      <pane xSplit="3" ySplit="5" topLeftCell="D6" activePane="bottomRight" state="frozen"/>
      <selection activeCell="D28" sqref="D28:E28"/>
      <selection pane="topRight" activeCell="D28" sqref="D28:E28"/>
      <selection pane="bottomLeft" activeCell="D28" sqref="D28:E28"/>
      <selection pane="bottomRight" activeCell="C14" sqref="C14"/>
    </sheetView>
  </sheetViews>
  <sheetFormatPr defaultRowHeight="12.75" outlineLevelRow="1" outlineLevelCol="1"/>
  <cols>
    <col min="1" max="1" width="4.85546875" style="146" customWidth="1"/>
    <col min="2" max="2" width="10.7109375" style="51" customWidth="1"/>
    <col min="3" max="3" width="24.28515625" style="51" customWidth="1"/>
    <col min="4" max="4" width="9" style="51" customWidth="1" outlineLevel="1"/>
    <col min="5" max="5" width="5.28515625" style="51" customWidth="1" outlineLevel="1"/>
    <col min="6" max="6" width="14.5703125" style="51" bestFit="1" customWidth="1"/>
    <col min="7" max="10" width="15.7109375" style="51" bestFit="1" customWidth="1"/>
    <col min="11" max="11" width="12.7109375" style="51" customWidth="1"/>
    <col min="12" max="17" width="15.7109375" style="51" bestFit="1" customWidth="1"/>
    <col min="18" max="18" width="13.140625" style="51" customWidth="1"/>
    <col min="19" max="19" width="13.85546875" style="51" customWidth="1"/>
    <col min="20" max="20" width="13.140625" style="51" customWidth="1"/>
    <col min="21" max="16384" width="9.140625" style="51"/>
  </cols>
  <sheetData>
    <row r="1" spans="1:19">
      <c r="A1" s="411" t="s">
        <v>220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</row>
    <row r="2" spans="1:19" ht="15.75">
      <c r="A2" s="412" t="s">
        <v>36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</row>
    <row r="3" spans="1:19">
      <c r="A3" s="249" t="s">
        <v>0</v>
      </c>
    </row>
    <row r="4" spans="1:19">
      <c r="A4" s="146" t="s">
        <v>1</v>
      </c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</row>
    <row r="5" spans="1:19">
      <c r="B5" s="266" t="s">
        <v>221</v>
      </c>
      <c r="C5" s="248"/>
      <c r="D5" s="414" t="s">
        <v>10</v>
      </c>
      <c r="E5" s="414"/>
      <c r="F5" s="301">
        <v>43131</v>
      </c>
      <c r="G5" s="301">
        <f>EOMONTH(F5,1)</f>
        <v>43159</v>
      </c>
      <c r="H5" s="301">
        <f t="shared" ref="H5:Q5" si="0">EOMONTH(G5,1)</f>
        <v>43190</v>
      </c>
      <c r="I5" s="301">
        <f t="shared" si="0"/>
        <v>43220</v>
      </c>
      <c r="J5" s="301">
        <f t="shared" si="0"/>
        <v>43251</v>
      </c>
      <c r="K5" s="301">
        <f t="shared" si="0"/>
        <v>43281</v>
      </c>
      <c r="L5" s="301">
        <f t="shared" si="0"/>
        <v>43312</v>
      </c>
      <c r="M5" s="301">
        <f t="shared" si="0"/>
        <v>43343</v>
      </c>
      <c r="N5" s="301">
        <f t="shared" si="0"/>
        <v>43373</v>
      </c>
      <c r="O5" s="301">
        <f t="shared" si="0"/>
        <v>43404</v>
      </c>
      <c r="P5" s="301">
        <f t="shared" si="0"/>
        <v>43434</v>
      </c>
      <c r="Q5" s="301">
        <f t="shared" si="0"/>
        <v>43465</v>
      </c>
    </row>
    <row r="6" spans="1:19" ht="15.95" customHeight="1">
      <c r="A6" s="146">
        <v>1</v>
      </c>
      <c r="B6" s="51" t="s">
        <v>3</v>
      </c>
      <c r="D6" s="415">
        <f>SUM(F6:Q6)</f>
        <v>103993001</v>
      </c>
      <c r="E6" s="415"/>
      <c r="F6" s="160">
        <f>'WA Monthly'!E23</f>
        <v>16833261</v>
      </c>
      <c r="G6" s="160">
        <f>'WA Monthly'!F23</f>
        <v>15418244</v>
      </c>
      <c r="H6" s="160">
        <f>'WA Monthly'!G23</f>
        <v>12301548</v>
      </c>
      <c r="I6" s="160">
        <f>'WA Monthly'!H23</f>
        <v>11248597</v>
      </c>
      <c r="J6" s="160">
        <f>'WA Monthly'!I23</f>
        <v>7857289</v>
      </c>
      <c r="K6" s="160">
        <f>'WA Monthly'!J23</f>
        <v>8387960</v>
      </c>
      <c r="L6" s="160">
        <f>'WA Monthly'!K23</f>
        <v>6606233</v>
      </c>
      <c r="M6" s="160">
        <f>'WA Monthly'!L23</f>
        <v>15747984</v>
      </c>
      <c r="N6" s="160">
        <f>'WA Monthly'!M23</f>
        <v>9527787</v>
      </c>
      <c r="O6" s="160">
        <f>'WA Monthly'!N23</f>
        <v>0</v>
      </c>
      <c r="P6" s="160">
        <f>'WA Monthly'!O23</f>
        <v>31525</v>
      </c>
      <c r="Q6" s="160">
        <f>'WA Monthly'!P23</f>
        <v>32573</v>
      </c>
    </row>
    <row r="7" spans="1:19" ht="15.95" customHeight="1">
      <c r="A7" s="146">
        <f t="shared" ref="A7:A13" si="1">A6+1</f>
        <v>2</v>
      </c>
      <c r="B7" s="51" t="s">
        <v>6</v>
      </c>
      <c r="D7" s="416">
        <f t="shared" ref="D7:D13" si="2">SUM(F7:Q7)</f>
        <v>-75999293</v>
      </c>
      <c r="E7" s="416"/>
      <c r="F7" s="160">
        <f>'WA Monthly'!E45</f>
        <v>-14027524</v>
      </c>
      <c r="G7" s="160">
        <f>'WA Monthly'!F45</f>
        <v>-9676671</v>
      </c>
      <c r="H7" s="160">
        <f>'WA Monthly'!G45</f>
        <v>-11198097</v>
      </c>
      <c r="I7" s="160">
        <f>'WA Monthly'!H45</f>
        <v>-11240332</v>
      </c>
      <c r="J7" s="160">
        <f>'WA Monthly'!I45</f>
        <v>-6705953</v>
      </c>
      <c r="K7" s="160">
        <f>'WA Monthly'!J45</f>
        <v>-7688520</v>
      </c>
      <c r="L7" s="160">
        <f>'WA Monthly'!K45</f>
        <v>-2002952</v>
      </c>
      <c r="M7" s="160">
        <f>'WA Monthly'!L45</f>
        <v>-8712018</v>
      </c>
      <c r="N7" s="160">
        <f>'WA Monthly'!M45</f>
        <v>-4747226</v>
      </c>
      <c r="O7" s="160">
        <f>'WA Monthly'!N45</f>
        <v>0</v>
      </c>
      <c r="P7" s="160">
        <f>'WA Monthly'!O45</f>
        <v>0</v>
      </c>
      <c r="Q7" s="160">
        <f>'WA Monthly'!P45</f>
        <v>0</v>
      </c>
    </row>
    <row r="8" spans="1:19" ht="15.95" customHeight="1">
      <c r="A8" s="146">
        <f t="shared" si="1"/>
        <v>3</v>
      </c>
      <c r="B8" s="51" t="s">
        <v>4</v>
      </c>
      <c r="D8" s="413">
        <f t="shared" si="2"/>
        <v>17759523</v>
      </c>
      <c r="E8" s="413"/>
      <c r="F8" s="160">
        <f>'WA Monthly'!E62</f>
        <v>2809889</v>
      </c>
      <c r="G8" s="160">
        <f>'WA Monthly'!F62</f>
        <v>1451692</v>
      </c>
      <c r="H8" s="160">
        <f>'WA Monthly'!G62</f>
        <v>2809269</v>
      </c>
      <c r="I8" s="160">
        <f>'WA Monthly'!H62</f>
        <v>2116433</v>
      </c>
      <c r="J8" s="160">
        <f>'WA Monthly'!I62</f>
        <v>593184</v>
      </c>
      <c r="K8" s="160">
        <f>'WA Monthly'!J62</f>
        <v>1706688</v>
      </c>
      <c r="L8" s="160">
        <f>'WA Monthly'!K62</f>
        <v>1521108</v>
      </c>
      <c r="M8" s="160">
        <f>'WA Monthly'!L62</f>
        <v>2093856</v>
      </c>
      <c r="N8" s="160">
        <f>'WA Monthly'!M62</f>
        <v>2657404</v>
      </c>
      <c r="O8" s="160">
        <f>'WA Monthly'!N62</f>
        <v>0</v>
      </c>
      <c r="P8" s="160">
        <f>'WA Monthly'!O62</f>
        <v>0</v>
      </c>
      <c r="Q8" s="160">
        <f>'WA Monthly'!P62</f>
        <v>0</v>
      </c>
    </row>
    <row r="9" spans="1:19" ht="15.95" customHeight="1">
      <c r="A9" s="146">
        <f t="shared" si="1"/>
        <v>4</v>
      </c>
      <c r="B9" s="51" t="s">
        <v>5</v>
      </c>
      <c r="D9" s="413">
        <f t="shared" si="2"/>
        <v>47108370</v>
      </c>
      <c r="E9" s="413"/>
      <c r="F9" s="160">
        <f>'WA Monthly'!E79</f>
        <v>6964296</v>
      </c>
      <c r="G9" s="160">
        <f>'WA Monthly'!F79</f>
        <v>4564678</v>
      </c>
      <c r="H9" s="160">
        <f>'WA Monthly'!G79</f>
        <v>6313406</v>
      </c>
      <c r="I9" s="160">
        <f>'WA Monthly'!H79</f>
        <v>4231002</v>
      </c>
      <c r="J9" s="160">
        <f>'WA Monthly'!I79</f>
        <v>1876822</v>
      </c>
      <c r="K9" s="160">
        <f>'WA Monthly'!J79</f>
        <v>2234952</v>
      </c>
      <c r="L9" s="160">
        <f>'WA Monthly'!K79</f>
        <v>7376855</v>
      </c>
      <c r="M9" s="160">
        <f>'WA Monthly'!L79</f>
        <v>7709363</v>
      </c>
      <c r="N9" s="160">
        <f>'WA Monthly'!M79</f>
        <v>5836996</v>
      </c>
      <c r="O9" s="160">
        <f>'WA Monthly'!N79</f>
        <v>0</v>
      </c>
      <c r="P9" s="160">
        <f>'WA Monthly'!O79</f>
        <v>0</v>
      </c>
      <c r="Q9" s="160">
        <f>'WA Monthly'!P79</f>
        <v>0</v>
      </c>
    </row>
    <row r="10" spans="1:19" ht="15.95" customHeight="1">
      <c r="A10" s="146">
        <f t="shared" si="1"/>
        <v>5</v>
      </c>
      <c r="B10" s="51" t="s">
        <v>139</v>
      </c>
      <c r="C10" s="41"/>
      <c r="D10" s="416">
        <f t="shared" si="2"/>
        <v>-13035641</v>
      </c>
      <c r="E10" s="416"/>
      <c r="F10" s="160">
        <f>'WA Monthly'!E92</f>
        <v>-1346464</v>
      </c>
      <c r="G10" s="160">
        <f>'WA Monthly'!F92</f>
        <v>-1432165</v>
      </c>
      <c r="H10" s="160">
        <f>'WA Monthly'!G92</f>
        <v>-1085780</v>
      </c>
      <c r="I10" s="160">
        <f>'WA Monthly'!H92</f>
        <v>-1084499</v>
      </c>
      <c r="J10" s="160">
        <f>'WA Monthly'!I92</f>
        <v>-1558363</v>
      </c>
      <c r="K10" s="160">
        <f>'WA Monthly'!J92</f>
        <v>-1680324</v>
      </c>
      <c r="L10" s="160">
        <f>'WA Monthly'!K92</f>
        <v>-1890542</v>
      </c>
      <c r="M10" s="160">
        <f>'WA Monthly'!L92</f>
        <v>-1741991</v>
      </c>
      <c r="N10" s="160">
        <f>'WA Monthly'!M92</f>
        <v>-1215513</v>
      </c>
      <c r="O10" s="160">
        <f>'WA Monthly'!N92</f>
        <v>0</v>
      </c>
      <c r="P10" s="160">
        <f>'WA Monthly'!O92</f>
        <v>0</v>
      </c>
      <c r="Q10" s="160">
        <f>'WA Monthly'!P92</f>
        <v>0</v>
      </c>
    </row>
    <row r="11" spans="1:19" ht="15.95" customHeight="1">
      <c r="A11" s="146">
        <f t="shared" si="1"/>
        <v>6</v>
      </c>
      <c r="B11" s="51" t="s">
        <v>106</v>
      </c>
      <c r="C11" s="41"/>
      <c r="D11" s="413">
        <f t="shared" si="2"/>
        <v>13236702</v>
      </c>
      <c r="E11" s="413"/>
      <c r="F11" s="160">
        <f>'WA Monthly'!E98</f>
        <v>1537140</v>
      </c>
      <c r="G11" s="160">
        <f>'WA Monthly'!F98</f>
        <v>1480382</v>
      </c>
      <c r="H11" s="160">
        <f>'WA Monthly'!G98</f>
        <v>1516859</v>
      </c>
      <c r="I11" s="160">
        <f>'WA Monthly'!H98</f>
        <v>1455249</v>
      </c>
      <c r="J11" s="160">
        <f>'WA Monthly'!I98</f>
        <v>1428486</v>
      </c>
      <c r="K11" s="160">
        <f>'WA Monthly'!J98</f>
        <v>1408481</v>
      </c>
      <c r="L11" s="160">
        <f>'WA Monthly'!K98</f>
        <v>1431372</v>
      </c>
      <c r="M11" s="160">
        <f>'WA Monthly'!L98</f>
        <v>1471267</v>
      </c>
      <c r="N11" s="160">
        <f>'WA Monthly'!M98</f>
        <v>1507466</v>
      </c>
      <c r="O11" s="160">
        <f>'WA Monthly'!N98</f>
        <v>0</v>
      </c>
      <c r="P11" s="160">
        <f>'WA Monthly'!O98</f>
        <v>0</v>
      </c>
      <c r="Q11" s="160">
        <f>'WA Monthly'!P98</f>
        <v>0</v>
      </c>
    </row>
    <row r="12" spans="1:19" ht="15.95" customHeight="1">
      <c r="A12" s="146">
        <f t="shared" si="1"/>
        <v>7</v>
      </c>
      <c r="B12" s="51" t="s">
        <v>107</v>
      </c>
      <c r="C12" s="41"/>
      <c r="D12" s="413">
        <f t="shared" si="2"/>
        <v>490776</v>
      </c>
      <c r="E12" s="413"/>
      <c r="F12" s="160">
        <f>'WA Monthly'!E105</f>
        <v>64248</v>
      </c>
      <c r="G12" s="160">
        <f>'WA Monthly'!F105</f>
        <v>38145</v>
      </c>
      <c r="H12" s="160">
        <f>'WA Monthly'!G105</f>
        <v>56451</v>
      </c>
      <c r="I12" s="160">
        <f>'WA Monthly'!H105</f>
        <v>55776</v>
      </c>
      <c r="J12" s="160">
        <f>'WA Monthly'!I105</f>
        <v>56900</v>
      </c>
      <c r="K12" s="160">
        <f>'WA Monthly'!J105</f>
        <v>54711</v>
      </c>
      <c r="L12" s="160">
        <f>'WA Monthly'!K105</f>
        <v>42517</v>
      </c>
      <c r="M12" s="160">
        <f>'WA Monthly'!L105</f>
        <v>54638</v>
      </c>
      <c r="N12" s="160">
        <f>'WA Monthly'!M105</f>
        <v>67390</v>
      </c>
      <c r="O12" s="160">
        <f>'WA Monthly'!N105</f>
        <v>0</v>
      </c>
      <c r="P12" s="160">
        <f>'WA Monthly'!O105</f>
        <v>0</v>
      </c>
      <c r="Q12" s="160">
        <f>'WA Monthly'!P105</f>
        <v>0</v>
      </c>
    </row>
    <row r="13" spans="1:19" ht="15.95" customHeight="1">
      <c r="A13" s="146">
        <f t="shared" si="1"/>
        <v>8</v>
      </c>
      <c r="B13" s="302" t="s">
        <v>11</v>
      </c>
      <c r="C13" s="302"/>
      <c r="D13" s="417">
        <f t="shared" si="2"/>
        <v>93553438</v>
      </c>
      <c r="E13" s="417"/>
      <c r="F13" s="303">
        <f t="shared" ref="F13:Q13" si="3">SUM(F6:F12)</f>
        <v>12834846</v>
      </c>
      <c r="G13" s="303">
        <f t="shared" si="3"/>
        <v>11844305</v>
      </c>
      <c r="H13" s="303">
        <f t="shared" si="3"/>
        <v>10713656</v>
      </c>
      <c r="I13" s="303">
        <f t="shared" si="3"/>
        <v>6782226</v>
      </c>
      <c r="J13" s="303">
        <f t="shared" si="3"/>
        <v>3548365</v>
      </c>
      <c r="K13" s="303">
        <f t="shared" si="3"/>
        <v>4423948</v>
      </c>
      <c r="L13" s="303">
        <f t="shared" si="3"/>
        <v>13084591</v>
      </c>
      <c r="M13" s="303">
        <f t="shared" si="3"/>
        <v>16623099</v>
      </c>
      <c r="N13" s="303">
        <f t="shared" si="3"/>
        <v>13634304</v>
      </c>
      <c r="O13" s="303">
        <f t="shared" si="3"/>
        <v>0</v>
      </c>
      <c r="P13" s="303">
        <f t="shared" si="3"/>
        <v>31525</v>
      </c>
      <c r="Q13" s="303">
        <f t="shared" si="3"/>
        <v>32573</v>
      </c>
    </row>
    <row r="14" spans="1:19" ht="37.5" customHeight="1">
      <c r="B14" s="266" t="s">
        <v>13</v>
      </c>
      <c r="C14" s="248"/>
      <c r="D14" s="419" t="s">
        <v>398</v>
      </c>
      <c r="E14" s="420"/>
      <c r="F14" s="304">
        <f>F5</f>
        <v>43131</v>
      </c>
      <c r="G14" s="304">
        <f>G5</f>
        <v>43159</v>
      </c>
      <c r="H14" s="304">
        <f t="shared" ref="H14:Q14" si="4">H5</f>
        <v>43190</v>
      </c>
      <c r="I14" s="304">
        <f t="shared" si="4"/>
        <v>43220</v>
      </c>
      <c r="J14" s="304">
        <f t="shared" si="4"/>
        <v>43251</v>
      </c>
      <c r="K14" s="304">
        <f t="shared" si="4"/>
        <v>43281</v>
      </c>
      <c r="L14" s="304">
        <f t="shared" si="4"/>
        <v>43312</v>
      </c>
      <c r="M14" s="304">
        <f t="shared" si="4"/>
        <v>43343</v>
      </c>
      <c r="N14" s="304">
        <f t="shared" si="4"/>
        <v>43373</v>
      </c>
      <c r="O14" s="304">
        <f t="shared" si="4"/>
        <v>43404</v>
      </c>
      <c r="P14" s="304">
        <f t="shared" si="4"/>
        <v>43434</v>
      </c>
      <c r="Q14" s="304">
        <f t="shared" si="4"/>
        <v>43465</v>
      </c>
    </row>
    <row r="15" spans="1:19" ht="15.95" customHeight="1">
      <c r="A15" s="146">
        <f>A13+1</f>
        <v>9</v>
      </c>
      <c r="B15" s="51" t="s">
        <v>3</v>
      </c>
      <c r="C15" s="41"/>
      <c r="D15" s="418">
        <f t="shared" ref="D15:D22" si="5">SUM(F15:N15)</f>
        <v>81329147</v>
      </c>
      <c r="E15" s="418"/>
      <c r="F15" s="231">
        <f>'Input Tab'!C5</f>
        <v>12127251</v>
      </c>
      <c r="G15" s="231">
        <f>'Input Tab'!D5</f>
        <v>11591985</v>
      </c>
      <c r="H15" s="231">
        <f>'Input Tab'!E5</f>
        <v>10660401</v>
      </c>
      <c r="I15" s="231">
        <f>'Input Tab'!F5</f>
        <v>10031882</v>
      </c>
      <c r="J15" s="231">
        <f>'Input Tab'!G5</f>
        <v>7204007</v>
      </c>
      <c r="K15" s="231">
        <f>'Input Tab'!H5</f>
        <v>6832768</v>
      </c>
      <c r="L15" s="231">
        <f>'Input Tab'!I5</f>
        <v>7367141</v>
      </c>
      <c r="M15" s="231">
        <f>'Input Tab'!J5</f>
        <v>8064916</v>
      </c>
      <c r="N15" s="231">
        <f>'Input Tab'!K5</f>
        <v>7448796</v>
      </c>
      <c r="O15" s="231">
        <f>'Input Tab'!L5</f>
        <v>7999787</v>
      </c>
      <c r="P15" s="231">
        <f>'Input Tab'!M5</f>
        <v>11642227</v>
      </c>
      <c r="Q15" s="231">
        <f>'Input Tab'!N5</f>
        <v>12112599</v>
      </c>
      <c r="R15" s="219"/>
      <c r="S15" s="97"/>
    </row>
    <row r="16" spans="1:19" ht="15.95" customHeight="1">
      <c r="A16" s="146">
        <f t="shared" ref="A16:A33" si="6">A15+1</f>
        <v>10</v>
      </c>
      <c r="B16" s="51" t="s">
        <v>6</v>
      </c>
      <c r="C16" s="41"/>
      <c r="D16" s="418">
        <f t="shared" si="5"/>
        <v>-50643553</v>
      </c>
      <c r="E16" s="418"/>
      <c r="F16" s="305">
        <f>'Input Tab'!C6</f>
        <v>-7154528</v>
      </c>
      <c r="G16" s="305">
        <f>'Input Tab'!D6</f>
        <v>-6331583</v>
      </c>
      <c r="H16" s="305">
        <f>'Input Tab'!E6</f>
        <v>-7373144</v>
      </c>
      <c r="I16" s="305">
        <f>'Input Tab'!F6</f>
        <v>-9451450</v>
      </c>
      <c r="J16" s="305">
        <f>'Input Tab'!G6</f>
        <v>-3992970</v>
      </c>
      <c r="K16" s="305">
        <f>'Input Tab'!H6</f>
        <v>-3782256</v>
      </c>
      <c r="L16" s="305">
        <f>'Input Tab'!I6</f>
        <v>-5325599</v>
      </c>
      <c r="M16" s="305">
        <f>'Input Tab'!J6</f>
        <v>-3215251</v>
      </c>
      <c r="N16" s="305">
        <f>'Input Tab'!K6</f>
        <v>-4016772</v>
      </c>
      <c r="O16" s="305">
        <f>'Input Tab'!L6</f>
        <v>-3304259</v>
      </c>
      <c r="P16" s="305">
        <f>'Input Tab'!M6</f>
        <v>-4468025</v>
      </c>
      <c r="Q16" s="305">
        <f>'Input Tab'!N6</f>
        <v>-6320023</v>
      </c>
      <c r="R16" s="219"/>
      <c r="S16" s="97"/>
    </row>
    <row r="17" spans="1:19" ht="15.95" customHeight="1">
      <c r="A17" s="146">
        <f>A16+1</f>
        <v>11</v>
      </c>
      <c r="B17" s="51" t="s">
        <v>4</v>
      </c>
      <c r="C17" s="41"/>
      <c r="D17" s="418">
        <f t="shared" si="5"/>
        <v>20030089</v>
      </c>
      <c r="E17" s="418"/>
      <c r="F17" s="231">
        <f>'Input Tab'!C7</f>
        <v>2667343</v>
      </c>
      <c r="G17" s="231">
        <f>'Input Tab'!D7</f>
        <v>2503517</v>
      </c>
      <c r="H17" s="231">
        <f>'Input Tab'!E7</f>
        <v>2494287</v>
      </c>
      <c r="I17" s="231">
        <f>'Input Tab'!F7</f>
        <v>2179004</v>
      </c>
      <c r="J17" s="231">
        <f>'Input Tab'!G7</f>
        <v>1551263</v>
      </c>
      <c r="K17" s="231">
        <f>'Input Tab'!H7</f>
        <v>1358751</v>
      </c>
      <c r="L17" s="231">
        <f>'Input Tab'!I7</f>
        <v>2219592</v>
      </c>
      <c r="M17" s="231">
        <f>'Input Tab'!J7</f>
        <v>2478125</v>
      </c>
      <c r="N17" s="231">
        <f>'Input Tab'!K7</f>
        <v>2578207</v>
      </c>
      <c r="O17" s="231">
        <f>'Input Tab'!L7</f>
        <v>2592987</v>
      </c>
      <c r="P17" s="231">
        <f>'Input Tab'!M7</f>
        <v>2566833</v>
      </c>
      <c r="Q17" s="231">
        <f>'Input Tab'!N7</f>
        <v>2703884</v>
      </c>
      <c r="R17" s="219"/>
      <c r="S17" s="97"/>
    </row>
    <row r="18" spans="1:19" ht="15.95" customHeight="1">
      <c r="A18" s="146">
        <f t="shared" si="6"/>
        <v>12</v>
      </c>
      <c r="B18" s="51" t="s">
        <v>5</v>
      </c>
      <c r="C18" s="41"/>
      <c r="D18" s="418">
        <f t="shared" si="5"/>
        <v>51351467</v>
      </c>
      <c r="E18" s="418"/>
      <c r="F18" s="231">
        <f>'Input Tab'!C8</f>
        <v>8481668</v>
      </c>
      <c r="G18" s="231">
        <f>'Input Tab'!D8</f>
        <v>7698692</v>
      </c>
      <c r="H18" s="231">
        <f>'Input Tab'!E8</f>
        <v>7292619</v>
      </c>
      <c r="I18" s="231">
        <f>'Input Tab'!F8</f>
        <v>5265751</v>
      </c>
      <c r="J18" s="231">
        <f>'Input Tab'!G8</f>
        <v>1426182</v>
      </c>
      <c r="K18" s="231">
        <f>'Input Tab'!H8</f>
        <v>1698327</v>
      </c>
      <c r="L18" s="231">
        <f>'Input Tab'!I8</f>
        <v>5653252</v>
      </c>
      <c r="M18" s="231">
        <f>'Input Tab'!J8</f>
        <v>7341418</v>
      </c>
      <c r="N18" s="231">
        <f>'Input Tab'!K8</f>
        <v>6493558</v>
      </c>
      <c r="O18" s="231">
        <f>'Input Tab'!L8</f>
        <v>6103470</v>
      </c>
      <c r="P18" s="231">
        <f>'Input Tab'!M8</f>
        <v>6561954</v>
      </c>
      <c r="Q18" s="231">
        <f>'Input Tab'!N8</f>
        <v>8397561</v>
      </c>
      <c r="R18" s="219"/>
    </row>
    <row r="19" spans="1:19" ht="15.95" customHeight="1">
      <c r="A19" s="146">
        <f t="shared" si="6"/>
        <v>13</v>
      </c>
      <c r="B19" s="51" t="s">
        <v>139</v>
      </c>
      <c r="C19" s="41"/>
      <c r="D19" s="418">
        <f t="shared" si="5"/>
        <v>-11494282</v>
      </c>
      <c r="E19" s="418"/>
      <c r="F19" s="305">
        <f>'Input Tab'!C9</f>
        <v>-1306342</v>
      </c>
      <c r="G19" s="305">
        <f>'Input Tab'!D9</f>
        <v>-1061936</v>
      </c>
      <c r="H19" s="305">
        <f>'Input Tab'!E9</f>
        <v>-1137644</v>
      </c>
      <c r="I19" s="305">
        <f>'Input Tab'!F9</f>
        <v>-1166933</v>
      </c>
      <c r="J19" s="305">
        <f>'Input Tab'!G9</f>
        <v>-1253488</v>
      </c>
      <c r="K19" s="305">
        <f>'Input Tab'!H9</f>
        <v>-1398529</v>
      </c>
      <c r="L19" s="305">
        <f>'Input Tab'!I9</f>
        <v>-1450378</v>
      </c>
      <c r="M19" s="305">
        <f>'Input Tab'!J9</f>
        <v>-1346819</v>
      </c>
      <c r="N19" s="305">
        <f>'Input Tab'!K9</f>
        <v>-1372213</v>
      </c>
      <c r="O19" s="305">
        <f>'Input Tab'!L9</f>
        <v>-1319316</v>
      </c>
      <c r="P19" s="305">
        <f>'Input Tab'!M9</f>
        <v>-1257650</v>
      </c>
      <c r="Q19" s="305">
        <f>'Input Tab'!N9</f>
        <v>-1191496</v>
      </c>
      <c r="R19" s="219"/>
    </row>
    <row r="20" spans="1:19" ht="15.95" customHeight="1">
      <c r="A20" s="146">
        <f t="shared" si="6"/>
        <v>14</v>
      </c>
      <c r="B20" s="51" t="s">
        <v>106</v>
      </c>
      <c r="C20" s="41"/>
      <c r="D20" s="418">
        <f t="shared" si="5"/>
        <v>13075098</v>
      </c>
      <c r="E20" s="418"/>
      <c r="F20" s="306">
        <f>'Input Tab'!C10</f>
        <v>1503379</v>
      </c>
      <c r="G20" s="306">
        <f>'Input Tab'!D10</f>
        <v>1417562</v>
      </c>
      <c r="H20" s="306">
        <f>'Input Tab'!E10</f>
        <v>1557827</v>
      </c>
      <c r="I20" s="306">
        <f>'Input Tab'!F10</f>
        <v>1347286</v>
      </c>
      <c r="J20" s="306">
        <f>'Input Tab'!G10</f>
        <v>1394142</v>
      </c>
      <c r="K20" s="306">
        <f>'Input Tab'!H10</f>
        <v>1391308</v>
      </c>
      <c r="L20" s="306">
        <f>'Input Tab'!I10</f>
        <v>1452951</v>
      </c>
      <c r="M20" s="306">
        <f>'Input Tab'!J10</f>
        <v>1443202</v>
      </c>
      <c r="N20" s="306">
        <f>'Input Tab'!K10</f>
        <v>1567441</v>
      </c>
      <c r="O20" s="306">
        <f>'Input Tab'!L10</f>
        <v>1406861</v>
      </c>
      <c r="P20" s="306">
        <f>'Input Tab'!M10</f>
        <v>1416449</v>
      </c>
      <c r="Q20" s="306">
        <f>'Input Tab'!N10</f>
        <v>1446134</v>
      </c>
      <c r="R20" s="219"/>
    </row>
    <row r="21" spans="1:19" ht="15.95" customHeight="1">
      <c r="A21" s="146">
        <f t="shared" si="6"/>
        <v>15</v>
      </c>
      <c r="B21" s="51" t="s">
        <v>107</v>
      </c>
      <c r="D21" s="418">
        <f t="shared" si="5"/>
        <v>401250</v>
      </c>
      <c r="E21" s="418"/>
      <c r="F21" s="231">
        <f>'Input Tab'!C11</f>
        <v>57500</v>
      </c>
      <c r="G21" s="231">
        <f>'Input Tab'!D11</f>
        <v>57500</v>
      </c>
      <c r="H21" s="231">
        <f>'Input Tab'!E11</f>
        <v>57500</v>
      </c>
      <c r="I21" s="231">
        <f>'Input Tab'!F11</f>
        <v>57500</v>
      </c>
      <c r="J21" s="231">
        <f>'Input Tab'!G11</f>
        <v>34250</v>
      </c>
      <c r="K21" s="231">
        <f>'Input Tab'!H11</f>
        <v>34250</v>
      </c>
      <c r="L21" s="231">
        <f>'Input Tab'!I11</f>
        <v>34250</v>
      </c>
      <c r="M21" s="231">
        <f>'Input Tab'!J11</f>
        <v>34250</v>
      </c>
      <c r="N21" s="231">
        <f>'Input Tab'!K11</f>
        <v>34250</v>
      </c>
      <c r="O21" s="231">
        <f>'Input Tab'!L11</f>
        <v>34250</v>
      </c>
      <c r="P21" s="231">
        <f>'Input Tab'!M11</f>
        <v>34250</v>
      </c>
      <c r="Q21" s="231">
        <f>'Input Tab'!N11</f>
        <v>34250</v>
      </c>
      <c r="R21" s="219"/>
    </row>
    <row r="22" spans="1:19" ht="15.95" customHeight="1">
      <c r="A22" s="146">
        <f>A21+1</f>
        <v>16</v>
      </c>
      <c r="B22" s="51" t="s">
        <v>380</v>
      </c>
      <c r="D22" s="418">
        <f t="shared" si="5"/>
        <v>-2032250</v>
      </c>
      <c r="E22" s="418"/>
      <c r="F22" s="231">
        <f>('Input Tab'!C12)/'Input Tab'!C13</f>
        <v>-193170</v>
      </c>
      <c r="G22" s="231">
        <f>('Input Tab'!D12)/'Input Tab'!D13</f>
        <v>-193170</v>
      </c>
      <c r="H22" s="231">
        <f>('Input Tab'!E12)/'Input Tab'!E13</f>
        <v>-193170</v>
      </c>
      <c r="I22" s="231">
        <f>('Input Tab'!F12)/'Input Tab'!F13</f>
        <v>-193170</v>
      </c>
      <c r="J22" s="231">
        <f>('Input Tab'!G12)/'Input Tab'!G13</f>
        <v>-251914</v>
      </c>
      <c r="K22" s="231">
        <f>('Input Tab'!H12)/'Input Tab'!H13</f>
        <v>-251914</v>
      </c>
      <c r="L22" s="231">
        <f>('Input Tab'!I12)/'Input Tab'!I13</f>
        <v>-251914</v>
      </c>
      <c r="M22" s="231">
        <f>('Input Tab'!J12)/'Input Tab'!J13</f>
        <v>-251914</v>
      </c>
      <c r="N22" s="231">
        <f>('Input Tab'!K12)/'Input Tab'!K13</f>
        <v>-251914</v>
      </c>
      <c r="O22" s="231">
        <f>('Input Tab'!L12)/'Input Tab'!L13</f>
        <v>-251914</v>
      </c>
      <c r="P22" s="231">
        <f>('Input Tab'!M12)/'Input Tab'!M13</f>
        <v>-251914</v>
      </c>
      <c r="Q22" s="231">
        <f>('Input Tab'!N12)/'Input Tab'!N13</f>
        <v>-251914</v>
      </c>
      <c r="R22" s="219"/>
    </row>
    <row r="23" spans="1:19" ht="20.25" customHeight="1">
      <c r="A23" s="146">
        <f>A22+1</f>
        <v>17</v>
      </c>
      <c r="B23" s="302" t="s">
        <v>7</v>
      </c>
      <c r="C23" s="302"/>
      <c r="D23" s="417">
        <f>SUM(D15:E22)</f>
        <v>102016966</v>
      </c>
      <c r="E23" s="417"/>
      <c r="F23" s="307">
        <f>SUM(F15:F22)</f>
        <v>16183101</v>
      </c>
      <c r="G23" s="307">
        <f t="shared" ref="G23:Q23" si="7">SUM(G15:G22)</f>
        <v>15682567</v>
      </c>
      <c r="H23" s="307">
        <f t="shared" si="7"/>
        <v>13358676</v>
      </c>
      <c r="I23" s="307">
        <f t="shared" si="7"/>
        <v>8069870</v>
      </c>
      <c r="J23" s="307">
        <f t="shared" si="7"/>
        <v>6111472</v>
      </c>
      <c r="K23" s="307">
        <f t="shared" si="7"/>
        <v>5882705</v>
      </c>
      <c r="L23" s="307">
        <f t="shared" si="7"/>
        <v>9699295</v>
      </c>
      <c r="M23" s="307">
        <f t="shared" si="7"/>
        <v>14547927</v>
      </c>
      <c r="N23" s="307">
        <f t="shared" si="7"/>
        <v>12481353</v>
      </c>
      <c r="O23" s="307">
        <f t="shared" si="7"/>
        <v>13261866</v>
      </c>
      <c r="P23" s="307">
        <f t="shared" si="7"/>
        <v>16244124</v>
      </c>
      <c r="Q23" s="307">
        <f t="shared" si="7"/>
        <v>16930995</v>
      </c>
      <c r="R23" s="219"/>
    </row>
    <row r="24" spans="1:19" ht="28.5" customHeight="1">
      <c r="A24" s="146">
        <f t="shared" si="6"/>
        <v>18</v>
      </c>
      <c r="B24" s="302" t="s">
        <v>8</v>
      </c>
      <c r="C24" s="302"/>
      <c r="D24" s="429">
        <f>SUM(F24:N24)</f>
        <v>-8527626</v>
      </c>
      <c r="E24" s="429" t="str">
        <f t="shared" ref="E24:Q24" si="8">IF(E13=0," ",E13-E23)</f>
        <v xml:space="preserve"> </v>
      </c>
      <c r="F24" s="307">
        <f t="shared" si="8"/>
        <v>-3348255</v>
      </c>
      <c r="G24" s="307">
        <f t="shared" si="8"/>
        <v>-3838262</v>
      </c>
      <c r="H24" s="307">
        <f t="shared" si="8"/>
        <v>-2645020</v>
      </c>
      <c r="I24" s="307">
        <f t="shared" si="8"/>
        <v>-1287644</v>
      </c>
      <c r="J24" s="307">
        <f t="shared" si="8"/>
        <v>-2563107</v>
      </c>
      <c r="K24" s="307">
        <f t="shared" si="8"/>
        <v>-1458757</v>
      </c>
      <c r="L24" s="307">
        <f t="shared" si="8"/>
        <v>3385296</v>
      </c>
      <c r="M24" s="307">
        <f t="shared" si="8"/>
        <v>2075172</v>
      </c>
      <c r="N24" s="307">
        <f t="shared" si="8"/>
        <v>1152951</v>
      </c>
      <c r="O24" s="307" t="str">
        <f t="shared" si="8"/>
        <v xml:space="preserve"> </v>
      </c>
      <c r="P24" s="307">
        <f t="shared" si="8"/>
        <v>-16212599</v>
      </c>
      <c r="Q24" s="307">
        <f t="shared" si="8"/>
        <v>-16898422</v>
      </c>
    </row>
    <row r="25" spans="1:19" ht="26.25" customHeight="1">
      <c r="A25" s="146">
        <f t="shared" si="6"/>
        <v>19</v>
      </c>
      <c r="B25" s="187" t="s">
        <v>292</v>
      </c>
      <c r="C25" s="187"/>
      <c r="D25" s="425">
        <f>SUM(F25:Q25)</f>
        <v>-10307174</v>
      </c>
      <c r="E25" s="425"/>
      <c r="F25" s="188">
        <f>'WA Monthly'!E135</f>
        <v>-641912</v>
      </c>
      <c r="G25" s="188">
        <f>'WA Monthly'!F135</f>
        <v>-1114849</v>
      </c>
      <c r="H25" s="188">
        <f>'WA Monthly'!G135</f>
        <v>-797723</v>
      </c>
      <c r="I25" s="188">
        <f>'WA Monthly'!H135</f>
        <v>-1239602</v>
      </c>
      <c r="J25" s="188">
        <f>'WA Monthly'!I135</f>
        <v>-1465561</v>
      </c>
      <c r="K25" s="188">
        <f>'WA Monthly'!J135</f>
        <v>-1476561</v>
      </c>
      <c r="L25" s="188">
        <f>'WA Monthly'!K135</f>
        <v>-1394230</v>
      </c>
      <c r="M25" s="188">
        <f>'WA Monthly'!L135</f>
        <v>-912263</v>
      </c>
      <c r="N25" s="188">
        <f>'WA Monthly'!M135</f>
        <v>-1264473</v>
      </c>
      <c r="O25" s="188" t="str">
        <f>'WA Monthly'!N135</f>
        <v xml:space="preserve"> </v>
      </c>
      <c r="P25" s="188">
        <f>'WA Monthly'!O135</f>
        <v>0</v>
      </c>
      <c r="Q25" s="188">
        <f>'WA Monthly'!P135</f>
        <v>0</v>
      </c>
      <c r="S25" s="148"/>
    </row>
    <row r="26" spans="1:19" ht="19.5" customHeight="1">
      <c r="A26" s="146">
        <f>A25+1</f>
        <v>20</v>
      </c>
      <c r="B26" s="187" t="s">
        <v>116</v>
      </c>
      <c r="C26" s="187"/>
      <c r="D26" s="425">
        <f>SUM(F26:Q26)</f>
        <v>-51945821</v>
      </c>
      <c r="E26" s="425"/>
      <c r="F26" s="188">
        <f>+F24+F25</f>
        <v>-3990167</v>
      </c>
      <c r="G26" s="188">
        <f t="shared" ref="G26:Q26" si="9">IF(G13=0,0,+G24+G25)</f>
        <v>-4953111</v>
      </c>
      <c r="H26" s="188">
        <f t="shared" si="9"/>
        <v>-3442743</v>
      </c>
      <c r="I26" s="188">
        <f t="shared" si="9"/>
        <v>-2527246</v>
      </c>
      <c r="J26" s="188">
        <f t="shared" si="9"/>
        <v>-4028668</v>
      </c>
      <c r="K26" s="188">
        <f t="shared" si="9"/>
        <v>-2935318</v>
      </c>
      <c r="L26" s="188">
        <f t="shared" si="9"/>
        <v>1991066</v>
      </c>
      <c r="M26" s="188">
        <f t="shared" si="9"/>
        <v>1162909</v>
      </c>
      <c r="N26" s="188">
        <f t="shared" si="9"/>
        <v>-111522</v>
      </c>
      <c r="O26" s="188">
        <f t="shared" si="9"/>
        <v>0</v>
      </c>
      <c r="P26" s="188">
        <f t="shared" si="9"/>
        <v>-16212599</v>
      </c>
      <c r="Q26" s="188">
        <f t="shared" si="9"/>
        <v>-16898422</v>
      </c>
    </row>
    <row r="27" spans="1:19" ht="18.75" customHeight="1">
      <c r="A27" s="146">
        <f t="shared" si="6"/>
        <v>21</v>
      </c>
      <c r="B27" s="51" t="s">
        <v>218</v>
      </c>
      <c r="D27" s="157"/>
      <c r="E27" s="157"/>
      <c r="F27" s="308">
        <f>'Input Tab'!C13</f>
        <v>0.64710000000000001</v>
      </c>
      <c r="G27" s="308">
        <f>'Input Tab'!D13</f>
        <v>0.64710000000000001</v>
      </c>
      <c r="H27" s="308">
        <f>'Input Tab'!E13</f>
        <v>0.64710000000000001</v>
      </c>
      <c r="I27" s="308">
        <f>'Input Tab'!F13</f>
        <v>0.64710000000000001</v>
      </c>
      <c r="J27" s="308">
        <f>'Input Tab'!G13</f>
        <v>0.6573</v>
      </c>
      <c r="K27" s="308">
        <f>'Input Tab'!H13</f>
        <v>0.6573</v>
      </c>
      <c r="L27" s="308">
        <f>'Input Tab'!I13</f>
        <v>0.6573</v>
      </c>
      <c r="M27" s="308">
        <f>'Input Tab'!J13</f>
        <v>0.6573</v>
      </c>
      <c r="N27" s="308">
        <f>'Input Tab'!K13</f>
        <v>0.6573</v>
      </c>
      <c r="O27" s="308">
        <f>'Input Tab'!L13</f>
        <v>0.6573</v>
      </c>
      <c r="P27" s="308">
        <f>'Input Tab'!M13</f>
        <v>0.6573</v>
      </c>
      <c r="Q27" s="308">
        <f>'Input Tab'!N13</f>
        <v>0.6573</v>
      </c>
    </row>
    <row r="28" spans="1:19" ht="20.25" customHeight="1">
      <c r="A28" s="146">
        <f t="shared" si="6"/>
        <v>22</v>
      </c>
      <c r="B28" s="51" t="s">
        <v>219</v>
      </c>
      <c r="D28" s="421">
        <f>SUM(F28:N28)</f>
        <v>-12227998</v>
      </c>
      <c r="E28" s="421"/>
      <c r="F28" s="309">
        <f>+F26*F27</f>
        <v>-2582037</v>
      </c>
      <c r="G28" s="309">
        <f>+G26*G27</f>
        <v>-3205158</v>
      </c>
      <c r="H28" s="309">
        <f>+H26*H27</f>
        <v>-2227799</v>
      </c>
      <c r="I28" s="309">
        <f t="shared" ref="I28:Q28" si="10">+I26*I27</f>
        <v>-1635381</v>
      </c>
      <c r="J28" s="309">
        <f t="shared" si="10"/>
        <v>-2648043</v>
      </c>
      <c r="K28" s="309">
        <f t="shared" si="10"/>
        <v>-1929385</v>
      </c>
      <c r="L28" s="309">
        <f t="shared" si="10"/>
        <v>1308728</v>
      </c>
      <c r="M28" s="309">
        <f t="shared" si="10"/>
        <v>764380</v>
      </c>
      <c r="N28" s="309">
        <f t="shared" si="10"/>
        <v>-73303</v>
      </c>
      <c r="O28" s="309">
        <f t="shared" si="10"/>
        <v>0</v>
      </c>
      <c r="P28" s="309">
        <f t="shared" si="10"/>
        <v>-10656541</v>
      </c>
      <c r="Q28" s="309">
        <f t="shared" si="10"/>
        <v>-11107333</v>
      </c>
    </row>
    <row r="29" spans="1:19" ht="20.25" customHeight="1">
      <c r="A29" s="146">
        <f>A28+1</f>
        <v>23</v>
      </c>
      <c r="B29" s="51" t="s">
        <v>357</v>
      </c>
      <c r="D29" s="421">
        <f>SUM(F29:N29)</f>
        <v>0</v>
      </c>
      <c r="E29" s="421"/>
      <c r="F29" s="309">
        <f>'WA Monthly'!E133</f>
        <v>0</v>
      </c>
      <c r="G29" s="309">
        <f>'WA Monthly'!F133</f>
        <v>0</v>
      </c>
      <c r="H29" s="309">
        <f>'WA Monthly'!G133</f>
        <v>0</v>
      </c>
      <c r="I29" s="309">
        <f>'WA Monthly'!H133</f>
        <v>0</v>
      </c>
      <c r="J29" s="309">
        <f>'WA Monthly'!I133</f>
        <v>0</v>
      </c>
      <c r="K29" s="309">
        <f>'WA Monthly'!J133</f>
        <v>0</v>
      </c>
      <c r="L29" s="309">
        <f>'WA Monthly'!K133</f>
        <v>0</v>
      </c>
      <c r="M29" s="309">
        <f>'WA Monthly'!L133</f>
        <v>0</v>
      </c>
      <c r="N29" s="309">
        <f>'WA Monthly'!M133</f>
        <v>0</v>
      </c>
      <c r="O29" s="309">
        <f>'WA Monthly'!N133</f>
        <v>0</v>
      </c>
      <c r="P29" s="309">
        <f>'WA Monthly'!O133</f>
        <v>0</v>
      </c>
      <c r="Q29" s="309">
        <f>'WA Monthly'!P133</f>
        <v>0</v>
      </c>
    </row>
    <row r="30" spans="1:19" ht="29.25" customHeight="1">
      <c r="A30" s="146">
        <f t="shared" si="6"/>
        <v>24</v>
      </c>
      <c r="B30" s="423" t="s">
        <v>248</v>
      </c>
      <c r="C30" s="423"/>
      <c r="D30" s="427">
        <f>SUM(F30:Q30)</f>
        <v>1014813</v>
      </c>
      <c r="E30" s="427"/>
      <c r="F30" s="310">
        <f>'WA RRC'!B19</f>
        <v>166826</v>
      </c>
      <c r="G30" s="310">
        <f>'WA RRC'!C19</f>
        <v>276446</v>
      </c>
      <c r="H30" s="310">
        <f>'WA RRC'!D19</f>
        <v>54137</v>
      </c>
      <c r="I30" s="310">
        <f>'WA RRC'!E19</f>
        <v>-41108</v>
      </c>
      <c r="J30" s="310">
        <f>'WA RRC'!F19</f>
        <v>276558</v>
      </c>
      <c r="K30" s="310">
        <f>'WA RRC'!G19</f>
        <v>82672</v>
      </c>
      <c r="L30" s="310">
        <f>'WA RRC'!H19</f>
        <v>114455</v>
      </c>
      <c r="M30" s="310">
        <f>'WA RRC'!I19</f>
        <v>-583396</v>
      </c>
      <c r="N30" s="310">
        <f>'WA RRC'!J19</f>
        <v>668223</v>
      </c>
      <c r="O30" s="310" t="str">
        <f>'WA RRC'!K19</f>
        <v xml:space="preserve"> </v>
      </c>
      <c r="P30" s="310" t="str">
        <f>'WA RRC'!L19</f>
        <v xml:space="preserve"> </v>
      </c>
      <c r="Q30" s="310" t="str">
        <f>'WA RRC'!M19</f>
        <v xml:space="preserve"> </v>
      </c>
    </row>
    <row r="31" spans="1:19" ht="27" customHeight="1">
      <c r="A31" s="146">
        <f t="shared" si="6"/>
        <v>25</v>
      </c>
      <c r="B31" s="426" t="s">
        <v>193</v>
      </c>
      <c r="C31" s="426"/>
      <c r="D31" s="428">
        <f>SUM(F31:N31)</f>
        <v>-11213185</v>
      </c>
      <c r="E31" s="428"/>
      <c r="F31" s="185">
        <f>IF(F13=0," ",F28+F30+F29)</f>
        <v>-2415211</v>
      </c>
      <c r="G31" s="185">
        <f t="shared" ref="G31:Q31" si="11">IF(G13=0," ",G28+G30+G29)</f>
        <v>-2928712</v>
      </c>
      <c r="H31" s="185">
        <f t="shared" si="11"/>
        <v>-2173662</v>
      </c>
      <c r="I31" s="185">
        <f t="shared" si="11"/>
        <v>-1676489</v>
      </c>
      <c r="J31" s="185">
        <f t="shared" si="11"/>
        <v>-2371485</v>
      </c>
      <c r="K31" s="185">
        <f t="shared" si="11"/>
        <v>-1846713</v>
      </c>
      <c r="L31" s="185">
        <f t="shared" si="11"/>
        <v>1423183</v>
      </c>
      <c r="M31" s="185">
        <f t="shared" si="11"/>
        <v>180984</v>
      </c>
      <c r="N31" s="185">
        <f t="shared" si="11"/>
        <v>594920</v>
      </c>
      <c r="O31" s="185" t="str">
        <f t="shared" si="11"/>
        <v xml:space="preserve"> </v>
      </c>
      <c r="P31" s="185" t="e">
        <f t="shared" si="11"/>
        <v>#VALUE!</v>
      </c>
      <c r="Q31" s="185" t="e">
        <f t="shared" si="11"/>
        <v>#VALUE!</v>
      </c>
    </row>
    <row r="32" spans="1:19" ht="21" hidden="1" customHeight="1">
      <c r="A32" s="146">
        <f t="shared" si="6"/>
        <v>26</v>
      </c>
      <c r="B32" s="424" t="s">
        <v>291</v>
      </c>
      <c r="C32" s="424"/>
      <c r="D32" s="300"/>
      <c r="E32" s="300"/>
      <c r="F32" s="185"/>
      <c r="G32" s="185"/>
      <c r="H32" s="185"/>
      <c r="I32" s="185"/>
      <c r="J32" s="185"/>
      <c r="K32" s="185"/>
      <c r="L32" s="311">
        <v>0</v>
      </c>
      <c r="M32" s="185"/>
      <c r="N32" s="185"/>
      <c r="O32" s="185"/>
      <c r="P32" s="185"/>
      <c r="Q32" s="185"/>
    </row>
    <row r="33" spans="1:19" ht="28.5" customHeight="1">
      <c r="A33" s="146">
        <f t="shared" si="6"/>
        <v>27</v>
      </c>
      <c r="B33" s="302" t="s">
        <v>282</v>
      </c>
      <c r="C33" s="302"/>
      <c r="D33" s="257"/>
      <c r="E33" s="257"/>
      <c r="F33" s="156">
        <f>IF(F13=0," ",F31)</f>
        <v>-2415211</v>
      </c>
      <c r="G33" s="156">
        <f t="shared" ref="G33:Q33" si="12">IF(G13=0," ",+F33+G31)</f>
        <v>-5343923</v>
      </c>
      <c r="H33" s="156">
        <f t="shared" si="12"/>
        <v>-7517585</v>
      </c>
      <c r="I33" s="156">
        <f t="shared" si="12"/>
        <v>-9194074</v>
      </c>
      <c r="J33" s="156">
        <f t="shared" si="12"/>
        <v>-11565559</v>
      </c>
      <c r="K33" s="156">
        <f t="shared" si="12"/>
        <v>-13412272</v>
      </c>
      <c r="L33" s="156">
        <f t="shared" si="12"/>
        <v>-11989089</v>
      </c>
      <c r="M33" s="156">
        <f t="shared" si="12"/>
        <v>-11808105</v>
      </c>
      <c r="N33" s="156">
        <f t="shared" si="12"/>
        <v>-11213185</v>
      </c>
      <c r="O33" s="156" t="str">
        <f t="shared" si="12"/>
        <v xml:space="preserve"> </v>
      </c>
      <c r="P33" s="156" t="e">
        <f t="shared" si="12"/>
        <v>#VALUE!</v>
      </c>
      <c r="Q33" s="156" t="e">
        <f t="shared" si="12"/>
        <v>#VALUE!</v>
      </c>
      <c r="R33" s="148"/>
    </row>
    <row r="34" spans="1:19" ht="30.75" hidden="1" customHeight="1" outlineLevel="1">
      <c r="A34" s="51" t="s">
        <v>102</v>
      </c>
      <c r="B34" s="312">
        <v>10000000</v>
      </c>
      <c r="C34" s="313" t="s">
        <v>103</v>
      </c>
      <c r="D34" s="258">
        <v>0.9</v>
      </c>
      <c r="E34" s="258">
        <v>0.9</v>
      </c>
      <c r="F34" s="157">
        <f t="shared" ref="F34:Q34" si="13">IF(F13=0," ",IF(ABS(F$33)&lt;$B34,0,(ABS(F$33)-$B34)*SIGN(F$33)))</f>
        <v>0</v>
      </c>
      <c r="G34" s="157">
        <f t="shared" si="13"/>
        <v>0</v>
      </c>
      <c r="H34" s="157">
        <f t="shared" si="13"/>
        <v>0</v>
      </c>
      <c r="I34" s="157">
        <f t="shared" si="13"/>
        <v>0</v>
      </c>
      <c r="J34" s="157">
        <f t="shared" si="13"/>
        <v>-1565559</v>
      </c>
      <c r="K34" s="157">
        <f t="shared" si="13"/>
        <v>-3412272</v>
      </c>
      <c r="L34" s="157">
        <f t="shared" si="13"/>
        <v>-1989089</v>
      </c>
      <c r="M34" s="157">
        <f t="shared" si="13"/>
        <v>-1808105</v>
      </c>
      <c r="N34" s="157">
        <f t="shared" si="13"/>
        <v>-1213185</v>
      </c>
      <c r="O34" s="157" t="str">
        <f t="shared" si="13"/>
        <v xml:space="preserve"> </v>
      </c>
      <c r="P34" s="157" t="e">
        <f t="shared" si="13"/>
        <v>#VALUE!</v>
      </c>
      <c r="Q34" s="157" t="e">
        <f t="shared" si="13"/>
        <v>#VALUE!</v>
      </c>
      <c r="R34" s="149"/>
      <c r="S34" s="314"/>
    </row>
    <row r="35" spans="1:19" ht="19.5" hidden="1" customHeight="1" outlineLevel="1">
      <c r="A35" s="51" t="s">
        <v>102</v>
      </c>
      <c r="B35" s="312">
        <v>4000000</v>
      </c>
      <c r="C35" s="313" t="str">
        <f>"to "&amp;TEXT(B34,"$#,##0,,")&amp;"M"</f>
        <v>to $10M</v>
      </c>
      <c r="D35" s="258">
        <v>0.5</v>
      </c>
      <c r="E35" s="258">
        <v>0.75</v>
      </c>
      <c r="F35" s="157">
        <f t="shared" ref="F35:Q35" si="14">IF(F13=0," ",IF(ABS(F$33)&lt;$B35,0,MIN($B$34-$B$35,ABS(F$33)-$B35)*SIGN(F$33)))</f>
        <v>0</v>
      </c>
      <c r="G35" s="157">
        <f t="shared" si="14"/>
        <v>-1343923</v>
      </c>
      <c r="H35" s="157">
        <f t="shared" si="14"/>
        <v>-3517585</v>
      </c>
      <c r="I35" s="157">
        <f t="shared" si="14"/>
        <v>-5194074</v>
      </c>
      <c r="J35" s="157">
        <f t="shared" si="14"/>
        <v>-6000000</v>
      </c>
      <c r="K35" s="157">
        <f t="shared" si="14"/>
        <v>-6000000</v>
      </c>
      <c r="L35" s="157">
        <f t="shared" si="14"/>
        <v>-6000000</v>
      </c>
      <c r="M35" s="157">
        <f t="shared" si="14"/>
        <v>-6000000</v>
      </c>
      <c r="N35" s="157">
        <f t="shared" si="14"/>
        <v>-6000000</v>
      </c>
      <c r="O35" s="157" t="str">
        <f t="shared" si="14"/>
        <v xml:space="preserve"> </v>
      </c>
      <c r="P35" s="157" t="e">
        <f t="shared" si="14"/>
        <v>#VALUE!</v>
      </c>
      <c r="Q35" s="157" t="e">
        <f t="shared" si="14"/>
        <v>#VALUE!</v>
      </c>
      <c r="R35" s="149"/>
      <c r="S35" s="314"/>
    </row>
    <row r="36" spans="1:19" ht="21.75" hidden="1" customHeight="1" outlineLevel="1">
      <c r="A36" s="51" t="s">
        <v>102</v>
      </c>
      <c r="B36" s="312">
        <v>0</v>
      </c>
      <c r="C36" s="313" t="str">
        <f>"to "&amp;TEXT(B35,"$#,##0,,")&amp;"M"</f>
        <v>to $4M</v>
      </c>
      <c r="D36" s="258">
        <v>0</v>
      </c>
      <c r="E36" s="258">
        <v>0</v>
      </c>
      <c r="F36" s="157">
        <f t="shared" ref="F36:Q36" si="15">IF(F13=0," ",IF(ABS(F$33)&lt;$B36,0,MIN($B$35-$B$36,ABS(F$33)-$B36)*SIGN(F$33)))</f>
        <v>-2415211</v>
      </c>
      <c r="G36" s="157">
        <f t="shared" si="15"/>
        <v>-4000000</v>
      </c>
      <c r="H36" s="157">
        <f t="shared" si="15"/>
        <v>-4000000</v>
      </c>
      <c r="I36" s="157">
        <f t="shared" si="15"/>
        <v>-4000000</v>
      </c>
      <c r="J36" s="157">
        <f t="shared" si="15"/>
        <v>-4000000</v>
      </c>
      <c r="K36" s="157">
        <f t="shared" si="15"/>
        <v>-4000000</v>
      </c>
      <c r="L36" s="157">
        <f t="shared" si="15"/>
        <v>-4000000</v>
      </c>
      <c r="M36" s="157">
        <f t="shared" si="15"/>
        <v>-4000000</v>
      </c>
      <c r="N36" s="157">
        <f t="shared" si="15"/>
        <v>-4000000</v>
      </c>
      <c r="O36" s="157" t="str">
        <f t="shared" si="15"/>
        <v xml:space="preserve"> </v>
      </c>
      <c r="P36" s="157" t="e">
        <f t="shared" si="15"/>
        <v>#VALUE!</v>
      </c>
      <c r="Q36" s="157" t="e">
        <f t="shared" si="15"/>
        <v>#VALUE!</v>
      </c>
      <c r="R36" s="149"/>
    </row>
    <row r="37" spans="1:19" ht="15.95" hidden="1" customHeight="1" outlineLevel="1">
      <c r="A37" s="51"/>
      <c r="B37" s="315"/>
      <c r="C37" s="51" t="s">
        <v>104</v>
      </c>
      <c r="D37" s="259"/>
      <c r="E37" s="259"/>
      <c r="F37" s="260">
        <f t="shared" ref="F37:Q37" si="16">IF(F13=0," ",SUM(F34:F36)-F33)</f>
        <v>0</v>
      </c>
      <c r="G37" s="260">
        <f t="shared" si="16"/>
        <v>0</v>
      </c>
      <c r="H37" s="260">
        <f t="shared" si="16"/>
        <v>0</v>
      </c>
      <c r="I37" s="260">
        <f t="shared" si="16"/>
        <v>0</v>
      </c>
      <c r="J37" s="260">
        <f t="shared" si="16"/>
        <v>0</v>
      </c>
      <c r="K37" s="260">
        <f t="shared" si="16"/>
        <v>0</v>
      </c>
      <c r="L37" s="260">
        <f t="shared" si="16"/>
        <v>0</v>
      </c>
      <c r="M37" s="260">
        <f t="shared" si="16"/>
        <v>0</v>
      </c>
      <c r="N37" s="260">
        <f t="shared" si="16"/>
        <v>0</v>
      </c>
      <c r="O37" s="260" t="str">
        <f t="shared" si="16"/>
        <v xml:space="preserve"> </v>
      </c>
      <c r="P37" s="260" t="e">
        <f t="shared" si="16"/>
        <v>#VALUE!</v>
      </c>
      <c r="Q37" s="260" t="e">
        <f t="shared" si="16"/>
        <v>#VALUE!</v>
      </c>
      <c r="R37" s="151"/>
    </row>
    <row r="38" spans="1:19" ht="23.25" customHeight="1" collapsed="1">
      <c r="A38" s="51" t="s">
        <v>249</v>
      </c>
      <c r="D38" s="261"/>
      <c r="E38" s="261"/>
      <c r="F38" s="157">
        <f t="shared" ref="F38:Q38" si="17">IF(F13=0," ",SUMPRODUCT(IF(F33&gt;0,$D$34:$D$36,$E$34:$E$36),F34:F36))</f>
        <v>0</v>
      </c>
      <c r="G38" s="157">
        <f t="shared" si="17"/>
        <v>-1007942</v>
      </c>
      <c r="H38" s="157">
        <f t="shared" si="17"/>
        <v>-2638189</v>
      </c>
      <c r="I38" s="157">
        <f t="shared" si="17"/>
        <v>-3895556</v>
      </c>
      <c r="J38" s="157">
        <f t="shared" si="17"/>
        <v>-5909003</v>
      </c>
      <c r="K38" s="157">
        <f t="shared" si="17"/>
        <v>-7571045</v>
      </c>
      <c r="L38" s="157">
        <f t="shared" si="17"/>
        <v>-6290180</v>
      </c>
      <c r="M38" s="157">
        <f t="shared" si="17"/>
        <v>-6127295</v>
      </c>
      <c r="N38" s="157">
        <f t="shared" si="17"/>
        <v>-5591867</v>
      </c>
      <c r="O38" s="157" t="str">
        <f t="shared" si="17"/>
        <v xml:space="preserve"> </v>
      </c>
      <c r="P38" s="157" t="e">
        <f t="shared" si="17"/>
        <v>#VALUE!</v>
      </c>
      <c r="Q38" s="157" t="e">
        <f t="shared" si="17"/>
        <v>#VALUE!</v>
      </c>
      <c r="R38" s="149" t="s">
        <v>250</v>
      </c>
    </row>
    <row r="39" spans="1:19" ht="20.25" customHeight="1">
      <c r="A39" s="51" t="s">
        <v>358</v>
      </c>
      <c r="D39" s="262"/>
      <c r="E39" s="262"/>
      <c r="F39" s="157">
        <f>IF(F13=0," ",F38-D38)</f>
        <v>0</v>
      </c>
      <c r="G39" s="157">
        <f t="shared" ref="G39:Q39" si="18">IF(G13=0," ",G38-F38)</f>
        <v>-1007942</v>
      </c>
      <c r="H39" s="157">
        <f t="shared" si="18"/>
        <v>-1630247</v>
      </c>
      <c r="I39" s="157">
        <f t="shared" si="18"/>
        <v>-1257367</v>
      </c>
      <c r="J39" s="157">
        <f t="shared" si="18"/>
        <v>-2013447</v>
      </c>
      <c r="K39" s="157">
        <f t="shared" si="18"/>
        <v>-1662042</v>
      </c>
      <c r="L39" s="157">
        <f t="shared" si="18"/>
        <v>1280865</v>
      </c>
      <c r="M39" s="157">
        <f t="shared" si="18"/>
        <v>162885</v>
      </c>
      <c r="N39" s="157">
        <f t="shared" si="18"/>
        <v>535428</v>
      </c>
      <c r="O39" s="157" t="str">
        <f t="shared" si="18"/>
        <v xml:space="preserve"> </v>
      </c>
      <c r="P39" s="157" t="e">
        <f t="shared" si="18"/>
        <v>#VALUE!</v>
      </c>
      <c r="Q39" s="157" t="e">
        <f t="shared" si="18"/>
        <v>#VALUE!</v>
      </c>
      <c r="R39" s="151"/>
    </row>
    <row r="40" spans="1:19" ht="24.75" customHeight="1">
      <c r="A40" s="424" t="s">
        <v>252</v>
      </c>
      <c r="B40" s="424"/>
      <c r="C40" s="424"/>
      <c r="D40" s="428">
        <f>SUM(F40:N40)</f>
        <v>5591867</v>
      </c>
      <c r="E40" s="428"/>
      <c r="F40" s="171">
        <f t="shared" ref="F40:Q40" si="19">IF(F13=0," ",-F39)</f>
        <v>0</v>
      </c>
      <c r="G40" s="171">
        <f t="shared" si="19"/>
        <v>1007942</v>
      </c>
      <c r="H40" s="171">
        <f t="shared" si="19"/>
        <v>1630247</v>
      </c>
      <c r="I40" s="171">
        <f t="shared" si="19"/>
        <v>1257367</v>
      </c>
      <c r="J40" s="171">
        <f t="shared" si="19"/>
        <v>2013447</v>
      </c>
      <c r="K40" s="171">
        <f t="shared" si="19"/>
        <v>1662042</v>
      </c>
      <c r="L40" s="171">
        <f t="shared" si="19"/>
        <v>-1280865</v>
      </c>
      <c r="M40" s="171">
        <f t="shared" si="19"/>
        <v>-162885</v>
      </c>
      <c r="N40" s="171">
        <f t="shared" si="19"/>
        <v>-535428</v>
      </c>
      <c r="O40" s="171" t="str">
        <f t="shared" si="19"/>
        <v xml:space="preserve"> </v>
      </c>
      <c r="P40" s="171" t="e">
        <f t="shared" si="19"/>
        <v>#VALUE!</v>
      </c>
      <c r="Q40" s="171" t="e">
        <f t="shared" si="19"/>
        <v>#VALUE!</v>
      </c>
      <c r="R40" s="149"/>
    </row>
    <row r="41" spans="1:19" ht="26.25" customHeight="1" thickBot="1">
      <c r="A41" s="422" t="s">
        <v>108</v>
      </c>
      <c r="B41" s="422"/>
      <c r="C41" s="422"/>
      <c r="D41" s="263"/>
      <c r="E41" s="263"/>
      <c r="F41" s="173">
        <f t="shared" ref="F41:Q41" si="20">IF(F13=0," ",F33-F38)</f>
        <v>-2415211</v>
      </c>
      <c r="G41" s="173">
        <f t="shared" si="20"/>
        <v>-4335981</v>
      </c>
      <c r="H41" s="173">
        <f t="shared" si="20"/>
        <v>-4879396</v>
      </c>
      <c r="I41" s="173">
        <f t="shared" si="20"/>
        <v>-5298518</v>
      </c>
      <c r="J41" s="173">
        <f t="shared" si="20"/>
        <v>-5656556</v>
      </c>
      <c r="K41" s="173">
        <f t="shared" si="20"/>
        <v>-5841227</v>
      </c>
      <c r="L41" s="173">
        <f t="shared" si="20"/>
        <v>-5698909</v>
      </c>
      <c r="M41" s="173">
        <f t="shared" si="20"/>
        <v>-5680810</v>
      </c>
      <c r="N41" s="173">
        <f t="shared" si="20"/>
        <v>-5621318</v>
      </c>
      <c r="O41" s="173" t="str">
        <f t="shared" si="20"/>
        <v xml:space="preserve"> </v>
      </c>
      <c r="P41" s="173" t="e">
        <f t="shared" si="20"/>
        <v>#VALUE!</v>
      </c>
      <c r="Q41" s="173" t="e">
        <f t="shared" si="20"/>
        <v>#VALUE!</v>
      </c>
      <c r="R41" s="51" t="s">
        <v>137</v>
      </c>
    </row>
    <row r="42" spans="1:19" ht="13.5" thickTop="1">
      <c r="A42" s="316"/>
    </row>
    <row r="43" spans="1:19">
      <c r="E43" s="317"/>
      <c r="F43" s="117"/>
      <c r="Q43" s="157"/>
      <c r="R43" s="148"/>
    </row>
    <row r="44" spans="1:19">
      <c r="E44" s="237"/>
      <c r="F44" s="71"/>
      <c r="H44" s="318"/>
      <c r="I44" s="318"/>
      <c r="J44" s="318"/>
      <c r="K44" s="318"/>
      <c r="Q44" s="200"/>
      <c r="R44" s="148"/>
    </row>
    <row r="45" spans="1:19">
      <c r="E45" s="317"/>
      <c r="F45" s="319"/>
      <c r="H45" s="318"/>
      <c r="I45" s="318"/>
      <c r="J45" s="318"/>
      <c r="K45" s="318"/>
      <c r="Q45" s="200"/>
      <c r="R45" s="148"/>
    </row>
    <row r="46" spans="1:19">
      <c r="H46" s="318"/>
      <c r="I46" s="318"/>
      <c r="J46" s="318"/>
      <c r="K46" s="318"/>
    </row>
    <row r="47" spans="1:19">
      <c r="F47" s="320"/>
      <c r="H47" s="318"/>
      <c r="I47" s="318"/>
      <c r="J47" s="318"/>
      <c r="K47" s="318"/>
    </row>
    <row r="48" spans="1:19">
      <c r="F48" s="320"/>
      <c r="H48" s="318"/>
      <c r="I48" s="318"/>
      <c r="J48" s="318"/>
      <c r="K48" s="318"/>
      <c r="Q48" s="148"/>
    </row>
    <row r="49" spans="8:11">
      <c r="H49" s="318"/>
      <c r="I49" s="318"/>
      <c r="J49" s="318"/>
      <c r="K49" s="318"/>
    </row>
    <row r="50" spans="8:11">
      <c r="H50" s="318"/>
      <c r="I50" s="318"/>
      <c r="J50" s="318"/>
      <c r="K50" s="318"/>
    </row>
    <row r="51" spans="8:11">
      <c r="H51" s="318"/>
      <c r="I51" s="318"/>
      <c r="J51" s="318"/>
      <c r="K51" s="318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  <mergeCell ref="D21:E21"/>
    <mergeCell ref="D29:E29"/>
    <mergeCell ref="D20:E20"/>
    <mergeCell ref="D18:E18"/>
    <mergeCell ref="D19:E19"/>
    <mergeCell ref="D22:E22"/>
    <mergeCell ref="D13:E13"/>
    <mergeCell ref="D17:E17"/>
    <mergeCell ref="D8:E8"/>
    <mergeCell ref="D9:E9"/>
    <mergeCell ref="D10:E10"/>
    <mergeCell ref="D16:E16"/>
    <mergeCell ref="D14:E14"/>
    <mergeCell ref="D15:E15"/>
    <mergeCell ref="A1:Q1"/>
    <mergeCell ref="A2:Q2"/>
    <mergeCell ref="D11:E11"/>
    <mergeCell ref="D12:E12"/>
    <mergeCell ref="D5:E5"/>
    <mergeCell ref="D6:E6"/>
    <mergeCell ref="D7:E7"/>
  </mergeCells>
  <phoneticPr fontId="13" type="noConversion"/>
  <conditionalFormatting sqref="F37:R37">
    <cfRule type="expression" dxfId="1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-0.249977111117893"/>
  </sheetPr>
  <dimension ref="A1:T496"/>
  <sheetViews>
    <sheetView zoomScaleNormal="100" zoomScaleSheetLayoutView="100" workbookViewId="0">
      <pane xSplit="4" ySplit="5" topLeftCell="E111" activePane="bottomRight" state="frozen"/>
      <selection activeCell="C14" sqref="C14"/>
      <selection pane="topRight" activeCell="C14" sqref="C14"/>
      <selection pane="bottomLeft" activeCell="C14" sqref="C14"/>
      <selection pane="bottomRight" activeCell="C14" sqref="C14"/>
    </sheetView>
  </sheetViews>
  <sheetFormatPr defaultColWidth="11.42578125" defaultRowHeight="12.75" outlineLevelRow="2" outlineLevelCol="1"/>
  <cols>
    <col min="1" max="1" width="5" style="269" customWidth="1"/>
    <col min="2" max="2" width="46.140625" style="71" customWidth="1"/>
    <col min="3" max="3" width="31.42578125" style="71" customWidth="1" outlineLevel="1"/>
    <col min="4" max="4" width="13.42578125" style="71" bestFit="1" customWidth="1"/>
    <col min="5" max="5" width="13.7109375" style="71" customWidth="1"/>
    <col min="6" max="6" width="12.7109375" style="71" customWidth="1"/>
    <col min="7" max="7" width="12.42578125" style="71" customWidth="1"/>
    <col min="8" max="8" width="12.5703125" style="71" customWidth="1"/>
    <col min="9" max="9" width="12.140625" style="71" customWidth="1"/>
    <col min="10" max="10" width="12.5703125" style="71" customWidth="1"/>
    <col min="11" max="16" width="12.7109375" style="71" customWidth="1"/>
    <col min="17" max="17" width="2.7109375" style="73" hidden="1" customWidth="1" outlineLevel="1"/>
    <col min="18" max="18" width="14.28515625" style="71" hidden="1" customWidth="1" outlineLevel="1"/>
    <col min="19" max="19" width="11.42578125" style="71" collapsed="1"/>
    <col min="20" max="20" width="13.28515625" style="71" bestFit="1" customWidth="1"/>
    <col min="21" max="16384" width="11.42578125" style="71"/>
  </cols>
  <sheetData>
    <row r="1" spans="1:18">
      <c r="A1" s="430" t="s">
        <v>220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</row>
    <row r="2" spans="1:18">
      <c r="A2" s="430" t="s">
        <v>233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</row>
    <row r="3" spans="1:18" ht="38.25" customHeight="1">
      <c r="A3" s="71"/>
    </row>
    <row r="4" spans="1:18">
      <c r="A4" s="255" t="s">
        <v>0</v>
      </c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</row>
    <row r="5" spans="1:18">
      <c r="A5" s="357" t="s">
        <v>1</v>
      </c>
      <c r="C5" s="71" t="s">
        <v>238</v>
      </c>
      <c r="D5" s="358" t="s">
        <v>10</v>
      </c>
      <c r="E5" s="301">
        <v>43131</v>
      </c>
      <c r="F5" s="301">
        <f t="shared" ref="F5:P5" si="0">EOMONTH(E5,1)</f>
        <v>43159</v>
      </c>
      <c r="G5" s="301">
        <f t="shared" si="0"/>
        <v>43190</v>
      </c>
      <c r="H5" s="301">
        <f t="shared" si="0"/>
        <v>43220</v>
      </c>
      <c r="I5" s="301">
        <f t="shared" si="0"/>
        <v>43251</v>
      </c>
      <c r="J5" s="301">
        <f t="shared" si="0"/>
        <v>43281</v>
      </c>
      <c r="K5" s="301">
        <f t="shared" si="0"/>
        <v>43312</v>
      </c>
      <c r="L5" s="301">
        <f t="shared" si="0"/>
        <v>43343</v>
      </c>
      <c r="M5" s="301">
        <f t="shared" si="0"/>
        <v>43373</v>
      </c>
      <c r="N5" s="301">
        <f t="shared" si="0"/>
        <v>43404</v>
      </c>
      <c r="O5" s="301">
        <f t="shared" si="0"/>
        <v>43434</v>
      </c>
      <c r="P5" s="301">
        <f t="shared" si="0"/>
        <v>43465</v>
      </c>
      <c r="Q5" s="359"/>
      <c r="R5" s="301" t="s">
        <v>214</v>
      </c>
    </row>
    <row r="6" spans="1:18">
      <c r="A6" s="255"/>
      <c r="B6" s="239" t="s">
        <v>14</v>
      </c>
      <c r="C6" s="245"/>
    </row>
    <row r="7" spans="1:18">
      <c r="A7" s="255">
        <f>A6+1</f>
        <v>1</v>
      </c>
      <c r="B7" s="52" t="s">
        <v>251</v>
      </c>
      <c r="C7" s="186"/>
      <c r="D7" s="174">
        <f>SUM(E7:P7)</f>
        <v>28946968</v>
      </c>
      <c r="E7" s="174">
        <f t="shared" ref="E7:P7" si="1">E23-SUM(E8:E22)</f>
        <v>5222009</v>
      </c>
      <c r="F7" s="174">
        <f t="shared" si="1"/>
        <v>4094932</v>
      </c>
      <c r="G7" s="174">
        <f t="shared" si="1"/>
        <v>2500917</v>
      </c>
      <c r="H7" s="174">
        <f t="shared" si="1"/>
        <v>1879275</v>
      </c>
      <c r="I7" s="174">
        <f t="shared" si="1"/>
        <v>1466768</v>
      </c>
      <c r="J7" s="174">
        <f t="shared" si="1"/>
        <v>1497022</v>
      </c>
      <c r="K7" s="174">
        <f t="shared" si="1"/>
        <v>45964</v>
      </c>
      <c r="L7" s="174">
        <f t="shared" si="1"/>
        <v>9116052</v>
      </c>
      <c r="M7" s="174">
        <f t="shared" si="1"/>
        <v>3059931</v>
      </c>
      <c r="N7" s="174">
        <f t="shared" si="1"/>
        <v>0</v>
      </c>
      <c r="O7" s="174">
        <f t="shared" si="1"/>
        <v>31525</v>
      </c>
      <c r="P7" s="174">
        <f t="shared" si="1"/>
        <v>32573</v>
      </c>
      <c r="Q7" s="220"/>
      <c r="R7" s="360">
        <f t="shared" ref="R7:R22" si="2">SUM(E7:P7)</f>
        <v>28946968</v>
      </c>
    </row>
    <row r="8" spans="1:18">
      <c r="A8" s="255">
        <v>2</v>
      </c>
      <c r="B8" s="361" t="s">
        <v>258</v>
      </c>
      <c r="C8" s="362">
        <v>100096</v>
      </c>
      <c r="D8" s="174">
        <f t="shared" ref="D8:D22" si="3">SUM(E8:P8)</f>
        <v>10462237</v>
      </c>
      <c r="E8" s="363">
        <f>'Input Tab'!C19</f>
        <v>726733</v>
      </c>
      <c r="F8" s="363">
        <f>'Input Tab'!D19</f>
        <v>1216938</v>
      </c>
      <c r="G8" s="363">
        <f>'Input Tab'!E19</f>
        <v>1216938</v>
      </c>
      <c r="H8" s="363">
        <f>'Input Tab'!F19</f>
        <v>1216938</v>
      </c>
      <c r="I8" s="363">
        <f>'Input Tab'!G19</f>
        <v>1216938</v>
      </c>
      <c r="J8" s="363">
        <f>'Input Tab'!H19</f>
        <v>1216938</v>
      </c>
      <c r="K8" s="363">
        <f>'Input Tab'!I19</f>
        <v>1216938</v>
      </c>
      <c r="L8" s="363">
        <f>'Input Tab'!J19</f>
        <v>1216938</v>
      </c>
      <c r="M8" s="363">
        <f>'Input Tab'!K19</f>
        <v>1216938</v>
      </c>
      <c r="N8" s="363">
        <f>'Input Tab'!L19</f>
        <v>0</v>
      </c>
      <c r="O8" s="363">
        <f>'Input Tab'!M19</f>
        <v>0</v>
      </c>
      <c r="P8" s="363">
        <f>'Input Tab'!N19</f>
        <v>0</v>
      </c>
      <c r="Q8" s="220"/>
      <c r="R8" s="360">
        <f t="shared" si="2"/>
        <v>10462237</v>
      </c>
    </row>
    <row r="9" spans="1:18">
      <c r="A9" s="255">
        <v>3</v>
      </c>
      <c r="B9" s="361" t="s">
        <v>259</v>
      </c>
      <c r="C9" s="362">
        <v>107240</v>
      </c>
      <c r="D9" s="174">
        <f t="shared" si="3"/>
        <v>881747</v>
      </c>
      <c r="E9" s="363">
        <f>'Input Tab'!C20</f>
        <v>67917</v>
      </c>
      <c r="F9" s="363">
        <f>'Input Tab'!D20</f>
        <v>81241</v>
      </c>
      <c r="G9" s="363">
        <f>'Input Tab'!E20</f>
        <v>93498</v>
      </c>
      <c r="H9" s="363">
        <f>'Input Tab'!F20</f>
        <v>152574</v>
      </c>
      <c r="I9" s="363">
        <f>'Input Tab'!G20</f>
        <v>162897</v>
      </c>
      <c r="J9" s="363">
        <f>'Input Tab'!H20</f>
        <v>158630</v>
      </c>
      <c r="K9" s="363">
        <f>'Input Tab'!I20</f>
        <v>58962</v>
      </c>
      <c r="L9" s="363">
        <f>'Input Tab'!J20</f>
        <v>55518</v>
      </c>
      <c r="M9" s="363">
        <f>'Input Tab'!K20</f>
        <v>50510</v>
      </c>
      <c r="N9" s="363">
        <f>'Input Tab'!L20</f>
        <v>0</v>
      </c>
      <c r="O9" s="363">
        <f>'Input Tab'!M20</f>
        <v>0</v>
      </c>
      <c r="P9" s="363">
        <f>'Input Tab'!N20</f>
        <v>0</v>
      </c>
      <c r="Q9" s="220"/>
      <c r="R9" s="360">
        <f>SUM(E9:P9)</f>
        <v>881747</v>
      </c>
    </row>
    <row r="10" spans="1:18">
      <c r="A10" s="255">
        <v>4</v>
      </c>
      <c r="B10" s="52" t="s">
        <v>262</v>
      </c>
      <c r="C10" s="186">
        <v>100131</v>
      </c>
      <c r="D10" s="174">
        <f t="shared" si="3"/>
        <v>1395138</v>
      </c>
      <c r="E10" s="363">
        <f>'Input Tab'!C21</f>
        <v>153740</v>
      </c>
      <c r="F10" s="363">
        <f>'Input Tab'!D21</f>
        <v>153740</v>
      </c>
      <c r="G10" s="363">
        <f>'Input Tab'!E21</f>
        <v>153740</v>
      </c>
      <c r="H10" s="363">
        <f>'Input Tab'!F21</f>
        <v>153740</v>
      </c>
      <c r="I10" s="363">
        <f>'Input Tab'!G21</f>
        <v>153740</v>
      </c>
      <c r="J10" s="363">
        <f>'Input Tab'!H21</f>
        <v>153740</v>
      </c>
      <c r="K10" s="363">
        <f>'Input Tab'!I21</f>
        <v>153740</v>
      </c>
      <c r="L10" s="363">
        <f>'Input Tab'!J21</f>
        <v>153740</v>
      </c>
      <c r="M10" s="363">
        <f>'Input Tab'!K21</f>
        <v>165218</v>
      </c>
      <c r="N10" s="363">
        <f>'Input Tab'!L21</f>
        <v>0</v>
      </c>
      <c r="O10" s="363">
        <f>'Input Tab'!M21</f>
        <v>0</v>
      </c>
      <c r="P10" s="363">
        <f>'Input Tab'!N21</f>
        <v>0</v>
      </c>
      <c r="Q10" s="220"/>
      <c r="R10" s="360">
        <f t="shared" si="2"/>
        <v>1395138</v>
      </c>
    </row>
    <row r="11" spans="1:18" ht="13.5" customHeight="1">
      <c r="A11" s="255">
        <v>5</v>
      </c>
      <c r="B11" s="52" t="s">
        <v>260</v>
      </c>
      <c r="C11" s="186">
        <v>100085</v>
      </c>
      <c r="D11" s="174">
        <f t="shared" si="3"/>
        <v>5738746</v>
      </c>
      <c r="E11" s="364">
        <f>'Input Tab'!C22</f>
        <v>618454</v>
      </c>
      <c r="F11" s="364">
        <f>'Input Tab'!D22</f>
        <v>618454</v>
      </c>
      <c r="G11" s="364">
        <f>'Input Tab'!E22</f>
        <v>618454</v>
      </c>
      <c r="H11" s="364">
        <f>'Input Tab'!F22</f>
        <v>791114</v>
      </c>
      <c r="I11" s="364">
        <f>'Input Tab'!G22</f>
        <v>618454</v>
      </c>
      <c r="J11" s="364">
        <f>'Input Tab'!H22</f>
        <v>618454</v>
      </c>
      <c r="K11" s="364">
        <f>'Input Tab'!I22</f>
        <v>618454</v>
      </c>
      <c r="L11" s="364">
        <f>'Input Tab'!J22</f>
        <v>618454</v>
      </c>
      <c r="M11" s="364">
        <f>'Input Tab'!K22</f>
        <v>618454</v>
      </c>
      <c r="N11" s="364">
        <f>'Input Tab'!L22</f>
        <v>0</v>
      </c>
      <c r="O11" s="364">
        <f>'Input Tab'!M22</f>
        <v>0</v>
      </c>
      <c r="P11" s="364">
        <f>'Input Tab'!N22</f>
        <v>0</v>
      </c>
      <c r="Q11" s="220"/>
      <c r="R11" s="360">
        <f t="shared" si="2"/>
        <v>5738746</v>
      </c>
    </row>
    <row r="12" spans="1:18" ht="14.25">
      <c r="A12" s="255">
        <f>A11+1</f>
        <v>6</v>
      </c>
      <c r="B12" s="52" t="s">
        <v>261</v>
      </c>
      <c r="C12" s="269" t="s">
        <v>239</v>
      </c>
      <c r="D12" s="174">
        <f t="shared" si="3"/>
        <v>10767601</v>
      </c>
      <c r="E12" s="364">
        <f>'Input Tab'!C23</f>
        <v>3744667</v>
      </c>
      <c r="F12" s="364">
        <f>'Input Tab'!D23</f>
        <v>3383687</v>
      </c>
      <c r="G12" s="364">
        <f>'Input Tab'!E23</f>
        <v>1848737</v>
      </c>
      <c r="H12" s="364">
        <f>'Input Tab'!F23</f>
        <v>1790510</v>
      </c>
      <c r="I12" s="364">
        <f>'Input Tab'!G23</f>
        <v>0</v>
      </c>
      <c r="J12" s="364">
        <f>'Input Tab'!H23</f>
        <v>0</v>
      </c>
      <c r="K12" s="364">
        <f>'Input Tab'!I23</f>
        <v>0</v>
      </c>
      <c r="L12" s="364">
        <f>'Input Tab'!J23</f>
        <v>0</v>
      </c>
      <c r="M12" s="363">
        <f>'Input Tab'!K23</f>
        <v>0</v>
      </c>
      <c r="N12" s="363">
        <f>'Input Tab'!L23</f>
        <v>0</v>
      </c>
      <c r="O12" s="364">
        <f>'Input Tab'!M23</f>
        <v>0</v>
      </c>
      <c r="P12" s="364">
        <f>'Input Tab'!N23</f>
        <v>0</v>
      </c>
      <c r="Q12" s="220"/>
      <c r="R12" s="360">
        <f t="shared" si="2"/>
        <v>10767601</v>
      </c>
    </row>
    <row r="13" spans="1:18">
      <c r="A13" s="255">
        <f t="shared" ref="A13:A23" si="4">A12+1</f>
        <v>7</v>
      </c>
      <c r="B13" s="71" t="s">
        <v>255</v>
      </c>
      <c r="C13" s="269">
        <v>100137</v>
      </c>
      <c r="D13" s="174">
        <f t="shared" si="3"/>
        <v>6734</v>
      </c>
      <c r="E13" s="364">
        <f>'Input Tab'!C24</f>
        <v>1068</v>
      </c>
      <c r="F13" s="364">
        <f>'Input Tab'!D24</f>
        <v>885</v>
      </c>
      <c r="G13" s="364">
        <f>'Input Tab'!E24</f>
        <v>1088</v>
      </c>
      <c r="H13" s="364">
        <f>'Input Tab'!F24</f>
        <v>717</v>
      </c>
      <c r="I13" s="364">
        <f>'Input Tab'!G24</f>
        <v>691</v>
      </c>
      <c r="J13" s="364">
        <f>'Input Tab'!H24</f>
        <v>444</v>
      </c>
      <c r="K13" s="364">
        <f>'Input Tab'!I24</f>
        <v>537</v>
      </c>
      <c r="L13" s="364">
        <f>'Input Tab'!J24</f>
        <v>656</v>
      </c>
      <c r="M13" s="364">
        <f>'Input Tab'!K24</f>
        <v>648</v>
      </c>
      <c r="N13" s="364">
        <f>'Input Tab'!L24</f>
        <v>0</v>
      </c>
      <c r="O13" s="364">
        <f>'Input Tab'!M24</f>
        <v>0</v>
      </c>
      <c r="P13" s="364">
        <f>'Input Tab'!N24</f>
        <v>0</v>
      </c>
      <c r="Q13" s="220"/>
      <c r="R13" s="360">
        <f t="shared" si="2"/>
        <v>6734</v>
      </c>
    </row>
    <row r="14" spans="1:18">
      <c r="A14" s="255">
        <f t="shared" si="4"/>
        <v>8</v>
      </c>
      <c r="B14" s="71" t="s">
        <v>18</v>
      </c>
      <c r="C14" s="186" t="s">
        <v>355</v>
      </c>
      <c r="D14" s="174">
        <f t="shared" si="3"/>
        <v>1121718</v>
      </c>
      <c r="E14" s="364">
        <f>'Input Tab'!C25</f>
        <v>196327</v>
      </c>
      <c r="F14" s="364">
        <f>'Input Tab'!D25</f>
        <v>176449</v>
      </c>
      <c r="G14" s="364">
        <f>'Input Tab'!E25</f>
        <v>137700</v>
      </c>
      <c r="H14" s="364">
        <f>'Input Tab'!F25</f>
        <v>145245</v>
      </c>
      <c r="I14" s="364">
        <f>'Input Tab'!G25</f>
        <v>118256</v>
      </c>
      <c r="J14" s="364">
        <f>'Input Tab'!H25</f>
        <v>119818</v>
      </c>
      <c r="K14" s="364">
        <f>'Input Tab'!I25</f>
        <v>109807</v>
      </c>
      <c r="L14" s="364">
        <f>'Input Tab'!J25</f>
        <v>71032</v>
      </c>
      <c r="M14" s="364">
        <f>'Input Tab'!K25</f>
        <v>47084</v>
      </c>
      <c r="N14" s="364">
        <f>'Input Tab'!L25</f>
        <v>0</v>
      </c>
      <c r="O14" s="364">
        <f>'Input Tab'!M25</f>
        <v>0</v>
      </c>
      <c r="P14" s="364">
        <f>'Input Tab'!N25</f>
        <v>0</v>
      </c>
      <c r="Q14" s="220"/>
      <c r="R14" s="360">
        <f t="shared" si="2"/>
        <v>1121718</v>
      </c>
    </row>
    <row r="15" spans="1:18">
      <c r="A15" s="255">
        <f t="shared" si="4"/>
        <v>9</v>
      </c>
      <c r="B15" s="52" t="s">
        <v>118</v>
      </c>
      <c r="C15" s="186">
        <v>185895</v>
      </c>
      <c r="D15" s="174">
        <f t="shared" si="3"/>
        <v>1128636</v>
      </c>
      <c r="E15" s="364">
        <f>'Input Tab'!C34</f>
        <v>167411</v>
      </c>
      <c r="F15" s="364">
        <f>'Input Tab'!D34</f>
        <v>151142</v>
      </c>
      <c r="G15" s="364">
        <f>'Input Tab'!E34</f>
        <v>134752</v>
      </c>
      <c r="H15" s="364">
        <f>'Input Tab'!F34</f>
        <v>9639</v>
      </c>
      <c r="I15" s="364">
        <f>'Input Tab'!G34</f>
        <v>139720</v>
      </c>
      <c r="J15" s="364">
        <f>'Input Tab'!H34</f>
        <v>156195</v>
      </c>
      <c r="K15" s="364">
        <f>'Input Tab'!I34</f>
        <v>206662</v>
      </c>
      <c r="L15" s="364">
        <f>'Input Tab'!J34</f>
        <v>124688</v>
      </c>
      <c r="M15" s="364">
        <f>'Input Tab'!K34</f>
        <v>38427</v>
      </c>
      <c r="N15" s="364">
        <f>'Input Tab'!L34</f>
        <v>0</v>
      </c>
      <c r="O15" s="364">
        <f>'Input Tab'!M34</f>
        <v>0</v>
      </c>
      <c r="P15" s="364">
        <f>'Input Tab'!N34</f>
        <v>0</v>
      </c>
      <c r="Q15" s="220"/>
      <c r="R15" s="360">
        <f t="shared" si="2"/>
        <v>1128636</v>
      </c>
    </row>
    <row r="16" spans="1:18" ht="12.75" customHeight="1">
      <c r="A16" s="255">
        <f t="shared" si="4"/>
        <v>10</v>
      </c>
      <c r="B16" s="71" t="s">
        <v>237</v>
      </c>
      <c r="C16" s="186">
        <v>186298</v>
      </c>
      <c r="D16" s="174">
        <f t="shared" si="3"/>
        <v>2331016</v>
      </c>
      <c r="E16" s="364">
        <f>'Input Tab'!C35</f>
        <v>509116</v>
      </c>
      <c r="F16" s="364">
        <f>'Input Tab'!D35</f>
        <v>428290</v>
      </c>
      <c r="G16" s="364">
        <f>'Input Tab'!E35</f>
        <v>551749</v>
      </c>
      <c r="H16" s="364">
        <f>'Input Tab'!F35</f>
        <v>336086</v>
      </c>
      <c r="I16" s="364">
        <f>'Input Tab'!G35</f>
        <v>237801</v>
      </c>
      <c r="J16" s="364">
        <f>'Input Tab'!H35</f>
        <v>242505</v>
      </c>
      <c r="K16" s="364">
        <f>'Input Tab'!I35</f>
        <v>18009</v>
      </c>
      <c r="L16" s="364">
        <f>'Input Tab'!J35</f>
        <v>61</v>
      </c>
      <c r="M16" s="364">
        <f>'Input Tab'!K35</f>
        <v>7399</v>
      </c>
      <c r="N16" s="364">
        <f>'Input Tab'!L35</f>
        <v>0</v>
      </c>
      <c r="O16" s="364">
        <f>'Input Tab'!M35</f>
        <v>0</v>
      </c>
      <c r="P16" s="364">
        <f>'Input Tab'!N35</f>
        <v>0</v>
      </c>
      <c r="Q16" s="220"/>
      <c r="R16" s="360">
        <f t="shared" si="2"/>
        <v>2331016</v>
      </c>
    </row>
    <row r="17" spans="1:20">
      <c r="A17" s="255">
        <f>A16+1</f>
        <v>11</v>
      </c>
      <c r="B17" s="52" t="s">
        <v>284</v>
      </c>
      <c r="C17" s="186">
        <v>223063</v>
      </c>
      <c r="D17" s="174">
        <f t="shared" si="3"/>
        <v>4098950</v>
      </c>
      <c r="E17" s="364">
        <f>'Input Tab'!C36</f>
        <v>503270</v>
      </c>
      <c r="F17" s="364">
        <f>'Input Tab'!D36</f>
        <v>466388</v>
      </c>
      <c r="G17" s="364">
        <f>'Input Tab'!E36</f>
        <v>406268</v>
      </c>
      <c r="H17" s="364">
        <f>'Input Tab'!F36</f>
        <v>349209</v>
      </c>
      <c r="I17" s="364">
        <f>'Input Tab'!G36</f>
        <v>332411</v>
      </c>
      <c r="J17" s="364">
        <f>'Input Tab'!H36</f>
        <v>457880</v>
      </c>
      <c r="K17" s="364">
        <f>'Input Tab'!I36</f>
        <v>561311</v>
      </c>
      <c r="L17" s="364">
        <f>'Input Tab'!J36</f>
        <v>434208</v>
      </c>
      <c r="M17" s="364">
        <f>'Input Tab'!K36</f>
        <v>588005</v>
      </c>
      <c r="N17" s="364">
        <f>'Input Tab'!L36</f>
        <v>0</v>
      </c>
      <c r="O17" s="364">
        <f>'Input Tab'!M36</f>
        <v>0</v>
      </c>
      <c r="P17" s="364">
        <f>'Input Tab'!N36</f>
        <v>0</v>
      </c>
      <c r="Q17" s="220"/>
      <c r="R17" s="360">
        <f t="shared" si="2"/>
        <v>4098950</v>
      </c>
    </row>
    <row r="18" spans="1:20">
      <c r="A18" s="255">
        <f>A17+1</f>
        <v>12</v>
      </c>
      <c r="B18" s="365" t="s">
        <v>394</v>
      </c>
      <c r="C18" s="186">
        <v>102475</v>
      </c>
      <c r="D18" s="174">
        <f t="shared" si="3"/>
        <v>9452</v>
      </c>
      <c r="E18" s="363">
        <f>'Input Tab'!C37</f>
        <v>0</v>
      </c>
      <c r="F18" s="363">
        <f>'Input Tab'!D37</f>
        <v>0</v>
      </c>
      <c r="G18" s="363">
        <f>'Input Tab'!E37</f>
        <v>2771</v>
      </c>
      <c r="H18" s="363">
        <f>'Input Tab'!F37</f>
        <v>1252</v>
      </c>
      <c r="I18" s="363">
        <f>'Input Tab'!G37</f>
        <v>1246</v>
      </c>
      <c r="J18" s="363">
        <f>'Input Tab'!H37</f>
        <v>1021</v>
      </c>
      <c r="K18" s="363">
        <f>'Input Tab'!I37</f>
        <v>1028</v>
      </c>
      <c r="L18" s="363">
        <f>'Input Tab'!J37</f>
        <v>1025</v>
      </c>
      <c r="M18" s="363">
        <f>'Input Tab'!K37</f>
        <v>1109</v>
      </c>
      <c r="N18" s="363">
        <f>'Input Tab'!L37</f>
        <v>0</v>
      </c>
      <c r="O18" s="363">
        <f>'Input Tab'!M37</f>
        <v>0</v>
      </c>
      <c r="P18" s="363">
        <f>'Input Tab'!N37</f>
        <v>0</v>
      </c>
      <c r="Q18" s="220"/>
      <c r="R18" s="360">
        <f t="shared" si="2"/>
        <v>9452</v>
      </c>
    </row>
    <row r="19" spans="1:20">
      <c r="A19" s="255">
        <f>A18+1</f>
        <v>13</v>
      </c>
      <c r="B19" s="52" t="s">
        <v>256</v>
      </c>
      <c r="C19" s="186" t="s">
        <v>257</v>
      </c>
      <c r="D19" s="174">
        <f t="shared" si="3"/>
        <v>20476918</v>
      </c>
      <c r="E19" s="363">
        <f>'Input Tab'!C38</f>
        <v>2326853</v>
      </c>
      <c r="F19" s="363">
        <f>'Input Tab'!D38</f>
        <v>2182871</v>
      </c>
      <c r="G19" s="363">
        <f>'Input Tab'!E38</f>
        <v>2357771</v>
      </c>
      <c r="H19" s="363">
        <f>'Input Tab'!F38</f>
        <v>2235770</v>
      </c>
      <c r="I19" s="363">
        <f>'Input Tab'!G38</f>
        <v>2098059</v>
      </c>
      <c r="J19" s="363">
        <f>'Input Tab'!H38</f>
        <v>2056390</v>
      </c>
      <c r="K19" s="363">
        <f>'Input Tab'!I38</f>
        <v>2377596</v>
      </c>
      <c r="L19" s="363">
        <f>'Input Tab'!J38</f>
        <v>2416248</v>
      </c>
      <c r="M19" s="363">
        <f>'Input Tab'!K38</f>
        <v>2425360</v>
      </c>
      <c r="N19" s="363">
        <f>'Input Tab'!L38</f>
        <v>0</v>
      </c>
      <c r="O19" s="363">
        <f>'Input Tab'!M38</f>
        <v>0</v>
      </c>
      <c r="P19" s="363">
        <f>'Input Tab'!N38</f>
        <v>0</v>
      </c>
      <c r="Q19" s="220"/>
      <c r="R19" s="360">
        <f t="shared" si="2"/>
        <v>20476918</v>
      </c>
    </row>
    <row r="20" spans="1:20">
      <c r="A20" s="255">
        <f>A19+1</f>
        <v>14</v>
      </c>
      <c r="B20" s="52" t="s">
        <v>283</v>
      </c>
      <c r="C20" s="186">
        <v>181462</v>
      </c>
      <c r="D20" s="174">
        <f t="shared" si="3"/>
        <v>14868548</v>
      </c>
      <c r="E20" s="363">
        <f>'Input Tab'!C39</f>
        <v>2365264</v>
      </c>
      <c r="F20" s="363">
        <f>'Input Tab'!D39</f>
        <v>2240478</v>
      </c>
      <c r="G20" s="363">
        <f>'Input Tab'!E39</f>
        <v>2072807</v>
      </c>
      <c r="H20" s="363">
        <f>'Input Tab'!F39</f>
        <v>2009810</v>
      </c>
      <c r="I20" s="363">
        <f>'Input Tab'!G39</f>
        <v>1146211</v>
      </c>
      <c r="J20" s="363">
        <f>'Input Tab'!H39</f>
        <v>1530959</v>
      </c>
      <c r="K20" s="363">
        <f>'Input Tab'!I39</f>
        <v>1018827</v>
      </c>
      <c r="L20" s="363">
        <f>'Input Tab'!J39</f>
        <v>1297090</v>
      </c>
      <c r="M20" s="363">
        <f>'Input Tab'!K39</f>
        <v>1187102</v>
      </c>
      <c r="N20" s="363">
        <f>'Input Tab'!L39</f>
        <v>0</v>
      </c>
      <c r="O20" s="363">
        <f>'Input Tab'!M39</f>
        <v>0</v>
      </c>
      <c r="P20" s="363">
        <f>'Input Tab'!N39</f>
        <v>0</v>
      </c>
      <c r="Q20" s="220"/>
      <c r="R20" s="360">
        <f t="shared" si="2"/>
        <v>14868548</v>
      </c>
    </row>
    <row r="21" spans="1:20">
      <c r="A21" s="255">
        <f>A20+1</f>
        <v>15</v>
      </c>
      <c r="B21" s="71" t="s">
        <v>34</v>
      </c>
      <c r="C21" s="269"/>
      <c r="D21" s="174">
        <f t="shared" si="3"/>
        <v>1769586</v>
      </c>
      <c r="E21" s="176">
        <f>E35</f>
        <v>213305</v>
      </c>
      <c r="F21" s="176">
        <f>F35</f>
        <v>248240</v>
      </c>
      <c r="G21" s="176">
        <f t="shared" ref="G21:P21" si="5">G35</f>
        <v>197702</v>
      </c>
      <c r="H21" s="176">
        <f t="shared" si="5"/>
        <v>182889</v>
      </c>
      <c r="I21" s="176">
        <f t="shared" si="5"/>
        <v>168311</v>
      </c>
      <c r="J21" s="176">
        <f t="shared" si="5"/>
        <v>169612</v>
      </c>
      <c r="K21" s="176">
        <f t="shared" si="5"/>
        <v>210888</v>
      </c>
      <c r="L21" s="176">
        <f t="shared" si="5"/>
        <v>216324</v>
      </c>
      <c r="M21" s="176">
        <f>M35</f>
        <v>162315</v>
      </c>
      <c r="N21" s="176">
        <f>N35</f>
        <v>0</v>
      </c>
      <c r="O21" s="176">
        <f t="shared" si="5"/>
        <v>0</v>
      </c>
      <c r="P21" s="176">
        <f t="shared" si="5"/>
        <v>0</v>
      </c>
      <c r="Q21" s="176"/>
      <c r="R21" s="360">
        <f t="shared" si="2"/>
        <v>1769586</v>
      </c>
    </row>
    <row r="22" spans="1:20">
      <c r="A22" s="255">
        <f t="shared" si="4"/>
        <v>16</v>
      </c>
      <c r="B22" s="365" t="s">
        <v>19</v>
      </c>
      <c r="C22" s="366"/>
      <c r="D22" s="174">
        <f t="shared" si="3"/>
        <v>-10994</v>
      </c>
      <c r="E22" s="177">
        <f>E33</f>
        <v>17127</v>
      </c>
      <c r="F22" s="177">
        <f>F33</f>
        <v>-25491</v>
      </c>
      <c r="G22" s="177">
        <f t="shared" ref="G22:P22" si="6">G33</f>
        <v>6656</v>
      </c>
      <c r="H22" s="177">
        <f t="shared" si="6"/>
        <v>-6171</v>
      </c>
      <c r="I22" s="177">
        <f t="shared" si="6"/>
        <v>-4214</v>
      </c>
      <c r="J22" s="177">
        <f t="shared" si="6"/>
        <v>8352</v>
      </c>
      <c r="K22" s="177">
        <f t="shared" si="6"/>
        <v>7510</v>
      </c>
      <c r="L22" s="177">
        <f t="shared" si="6"/>
        <v>25950</v>
      </c>
      <c r="M22" s="177">
        <f t="shared" si="6"/>
        <v>-40713</v>
      </c>
      <c r="N22" s="177">
        <f>N33</f>
        <v>0</v>
      </c>
      <c r="O22" s="177">
        <f t="shared" si="6"/>
        <v>0</v>
      </c>
      <c r="P22" s="177">
        <f t="shared" si="6"/>
        <v>0</v>
      </c>
      <c r="Q22" s="177"/>
      <c r="R22" s="360">
        <f t="shared" si="2"/>
        <v>-10994</v>
      </c>
    </row>
    <row r="23" spans="1:20" s="184" customFormat="1" ht="13.5" thickBot="1">
      <c r="A23" s="367">
        <f t="shared" si="4"/>
        <v>17</v>
      </c>
      <c r="B23" s="240" t="s">
        <v>227</v>
      </c>
      <c r="C23" s="240"/>
      <c r="D23" s="194">
        <f>SUM(E23:P23)</f>
        <v>103993001</v>
      </c>
      <c r="E23" s="368">
        <f>E37</f>
        <v>16833261</v>
      </c>
      <c r="F23" s="368">
        <f t="shared" ref="F23:P23" si="7">F37</f>
        <v>15418244</v>
      </c>
      <c r="G23" s="368">
        <f>G37</f>
        <v>12301548</v>
      </c>
      <c r="H23" s="368">
        <f t="shared" si="7"/>
        <v>11248597</v>
      </c>
      <c r="I23" s="368">
        <f t="shared" si="7"/>
        <v>7857289</v>
      </c>
      <c r="J23" s="368">
        <f t="shared" si="7"/>
        <v>8387960</v>
      </c>
      <c r="K23" s="368">
        <f t="shared" si="7"/>
        <v>6606233</v>
      </c>
      <c r="L23" s="368">
        <f t="shared" si="7"/>
        <v>15747984</v>
      </c>
      <c r="M23" s="368">
        <f>M37</f>
        <v>9527787</v>
      </c>
      <c r="N23" s="368">
        <f>N37</f>
        <v>0</v>
      </c>
      <c r="O23" s="368">
        <f t="shared" si="7"/>
        <v>31525</v>
      </c>
      <c r="P23" s="368">
        <f t="shared" si="7"/>
        <v>32573</v>
      </c>
      <c r="Q23" s="178"/>
      <c r="R23" s="369">
        <f>SUM(R7:R21)</f>
        <v>104003995</v>
      </c>
    </row>
    <row r="24" spans="1:20" ht="13.5" thickTop="1">
      <c r="A24" s="255"/>
      <c r="E24" s="193" t="s">
        <v>29</v>
      </c>
      <c r="F24" s="370" t="s">
        <v>29</v>
      </c>
      <c r="G24" s="370"/>
      <c r="H24" s="370"/>
      <c r="I24" s="370"/>
      <c r="J24" s="370"/>
      <c r="K24" s="370"/>
      <c r="L24" s="370"/>
      <c r="M24" s="370"/>
      <c r="N24" s="370"/>
      <c r="O24" s="370"/>
      <c r="P24" s="370"/>
    </row>
    <row r="25" spans="1:20">
      <c r="A25" s="255"/>
      <c r="B25" s="52" t="s">
        <v>228</v>
      </c>
      <c r="C25" s="52"/>
      <c r="E25" s="370"/>
      <c r="F25" s="370"/>
      <c r="G25" s="370"/>
      <c r="H25" s="370"/>
      <c r="I25" s="370"/>
      <c r="J25" s="370"/>
      <c r="K25" s="370"/>
      <c r="L25" s="370"/>
      <c r="M25" s="370"/>
      <c r="N25" s="370"/>
      <c r="O25" s="370"/>
      <c r="P25" s="370"/>
      <c r="T25" s="371"/>
    </row>
    <row r="26" spans="1:20" outlineLevel="1">
      <c r="A26" s="255"/>
      <c r="B26" s="236" t="s">
        <v>14</v>
      </c>
      <c r="C26" s="236"/>
      <c r="E26" s="370"/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370"/>
    </row>
    <row r="27" spans="1:20" outlineLevel="1">
      <c r="A27" s="255"/>
      <c r="B27" s="71">
        <v>555000</v>
      </c>
      <c r="D27" s="370">
        <f>SUM(E27:P27)</f>
        <v>104093481</v>
      </c>
      <c r="E27" s="157">
        <f>_xll.Get_Balance(E$83,"PTD","USD","Total","A","","001","555000","ED","AN","DL")</f>
        <v>15846149</v>
      </c>
      <c r="F27" s="157">
        <f>_xll.Get_Balance(F$83,"PTD","USD","Total","A","","001","555000","ED","AN","DL")</f>
        <v>14328579</v>
      </c>
      <c r="G27" s="157">
        <f>_xll.Get_Balance(G$83,"PTD","USD","Total","A","","001","555000","ED","AN","DL")</f>
        <v>11657321</v>
      </c>
      <c r="H27" s="157">
        <f>_xll.Get_Balance(H$83,"PTD","USD","Total","A","","001","555000","ED","AN","DL")</f>
        <v>10660127</v>
      </c>
      <c r="I27" s="157">
        <f>_xll.Get_Balance(I$83,"PTD","USD","Total","A","","001","555000","ED","AN","DL")</f>
        <v>6734179</v>
      </c>
      <c r="J27" s="157">
        <f>_xll.Get_Balance(J$83,"PTD","USD","Total","A","","001","555000","ED","AN","DL")</f>
        <v>7640445</v>
      </c>
      <c r="K27" s="157">
        <f>_xll.Get_Balance(K$83,"PTD","USD","Total","A","","001","555000","ED","AN","DL")</f>
        <v>10641659</v>
      </c>
      <c r="L27" s="157">
        <f>_xll.Get_Balance(L$83,"PTD","USD","Total","A","","001","555000","ED","AN","DL")</f>
        <v>18089475</v>
      </c>
      <c r="M27" s="157">
        <f>_xll.Get_Balance(M$83,"PTD","USD","Total","A","","001","555000","ED","AN","DL")</f>
        <v>8495547</v>
      </c>
      <c r="N27" s="157">
        <f>_xll.Get_Balance(N$83,"PTD","USD","Total","A","","001","555000","ED","AN","DL")</f>
        <v>0</v>
      </c>
      <c r="O27" s="157">
        <f>_xll.Get_Balance(O$83,"PTD","USD","Total","A","","001","555000","ED","AN","DL")</f>
        <v>0</v>
      </c>
      <c r="P27" s="157">
        <f>_xll.Get_Balance(P$83,"PTD","USD","Total","A","","001","555000","ED","AN","DL")</f>
        <v>0</v>
      </c>
      <c r="Q27" s="220"/>
      <c r="R27" s="360">
        <f t="shared" ref="R27:R36" si="8">SUM(E27:P27)</f>
        <v>104093481</v>
      </c>
    </row>
    <row r="28" spans="1:20" outlineLevel="1">
      <c r="A28" s="255"/>
      <c r="B28" s="71">
        <v>555030</v>
      </c>
      <c r="D28" s="370">
        <f>SUM(E28:P28)</f>
        <v>0</v>
      </c>
      <c r="E28" s="157">
        <f>_xll.Get_Balance(E$83,"PTD","USD","Total","A","","001","555030","ED","AN","DL")</f>
        <v>0</v>
      </c>
      <c r="F28" s="157">
        <f>_xll.Get_Balance(F$83,"PTD","USD","Total","A","","001","555030","ED","AN","DL")</f>
        <v>0</v>
      </c>
      <c r="G28" s="157">
        <f>_xll.Get_Balance(G$83,"PTD","USD","Total","A","","001","555030","ED","AN","DL")</f>
        <v>0</v>
      </c>
      <c r="H28" s="157">
        <f>_xll.Get_Balance(H$83,"PTD","USD","Total","A","","001","555030","ED","AN","DL")</f>
        <v>0</v>
      </c>
      <c r="I28" s="157">
        <f>_xll.Get_Balance(I$83,"PTD","USD","Total","A","","001","555030","ED","AN","DL")</f>
        <v>0</v>
      </c>
      <c r="J28" s="157">
        <f>_xll.Get_Balance(J$83,"PTD","USD","Total","A","","001","555030","ED","AN","DL")</f>
        <v>0</v>
      </c>
      <c r="K28" s="157">
        <f>_xll.Get_Balance(K$83,"PTD","USD","Total","A","","001","555030","ED","AN","DL")</f>
        <v>0</v>
      </c>
      <c r="L28" s="157">
        <f>_xll.Get_Balance(L$83,"PTD","USD","Total","A","","001","555030","ED","AN","DL")</f>
        <v>0</v>
      </c>
      <c r="M28" s="157">
        <f>_xll.Get_Balance(M$83,"PTD","USD","Total","A","","001","555030","ED","AN","DL")</f>
        <v>0</v>
      </c>
      <c r="N28" s="157">
        <f>_xll.Get_Balance(N$83,"PTD","USD","Total","A","","001","555030","ED","AN","DL")</f>
        <v>0</v>
      </c>
      <c r="O28" s="157">
        <f>_xll.Get_Balance(O$83,"PTD","USD","Total","A","","001","555030","ED","AN","DL")</f>
        <v>0</v>
      </c>
      <c r="P28" s="157">
        <f>_xll.Get_Balance(P$83,"PTD","USD","Total","A","","001","555030","ED","AN","DL")</f>
        <v>0</v>
      </c>
      <c r="Q28" s="220"/>
      <c r="R28" s="360"/>
    </row>
    <row r="29" spans="1:20" outlineLevel="1">
      <c r="A29" s="255"/>
      <c r="B29" s="71">
        <v>555100</v>
      </c>
      <c r="C29" s="71" t="s">
        <v>240</v>
      </c>
      <c r="D29" s="370">
        <f t="shared" ref="D29:D36" si="9">SUM(E29:P29)</f>
        <v>-5765918</v>
      </c>
      <c r="E29" s="157">
        <f>_xll.Get_Balance(E$83,"PTD","USD","Total","A","","001","555100","ED","AN","DL")</f>
        <v>269952</v>
      </c>
      <c r="F29" s="157">
        <f>_xll.Get_Balance(F$83,"PTD","USD","Total","A","","001","555100","ED","AN","DL")</f>
        <v>412596</v>
      </c>
      <c r="G29" s="157">
        <f>_xll.Get_Balance(G$83,"PTD","USD","Total","A","","001","555100","ED","AN","DL")</f>
        <v>-12728</v>
      </c>
      <c r="H29" s="157">
        <f>_xll.Get_Balance(H$83,"PTD","USD","Total","A","","001","555100","ED","AN","DL")</f>
        <v>137952</v>
      </c>
      <c r="I29" s="157">
        <f>_xll.Get_Balance(I$83,"PTD","USD","Total","A","","001","555100","ED","AN","DL")</f>
        <v>885113</v>
      </c>
      <c r="J29" s="157">
        <f>_xll.Get_Balance(J$83,"PTD","USD","Total","A","","001","555100","ED","AN","DL")</f>
        <v>416570</v>
      </c>
      <c r="K29" s="157">
        <f>_xll.Get_Balance(K$83,"PTD","USD","Total","A","","001","555100","ED","AN","DL")</f>
        <v>-5111900</v>
      </c>
      <c r="L29" s="157">
        <f>_xll.Get_Balance(L$83,"PTD","USD","Total","A","","001","555100","ED","AN","DL")</f>
        <v>-3610131</v>
      </c>
      <c r="M29" s="157">
        <f>_xll.Get_Balance(M$83,"PTD","USD","Total","A","","001","555100","ED","AN","DL")</f>
        <v>846658</v>
      </c>
      <c r="N29" s="157">
        <f>_xll.Get_Balance(N$83,"PTD","USD","Total","A","","001","555100","ED","AN","DL")</f>
        <v>0</v>
      </c>
      <c r="O29" s="157">
        <f>_xll.Get_Balance(O$83,"PTD","USD","Total","A","","001","555100","ED","AN","DL")</f>
        <v>0</v>
      </c>
      <c r="P29" s="157">
        <f>_xll.Get_Balance(P$83,"PTD","USD","Total","A","","001","555100","ED","AN","DL")</f>
        <v>0</v>
      </c>
      <c r="Q29" s="220"/>
      <c r="R29" s="360">
        <f t="shared" si="8"/>
        <v>-5765918</v>
      </c>
    </row>
    <row r="30" spans="1:20" outlineLevel="1">
      <c r="A30" s="255"/>
      <c r="B30" s="52">
        <v>555312</v>
      </c>
      <c r="C30" s="52" t="s">
        <v>191</v>
      </c>
      <c r="D30" s="370">
        <f t="shared" si="9"/>
        <v>0</v>
      </c>
      <c r="E30" s="157">
        <f>_xll.Get_Balance(E$83,"PTD","USD","Total","A","","001","555312","ED","AN","DL")</f>
        <v>0</v>
      </c>
      <c r="F30" s="157">
        <f>_xll.Get_Balance(F$83,"PTD","USD","Total","A","","001","555312","ED","AN","DL")</f>
        <v>0</v>
      </c>
      <c r="G30" s="157">
        <f>_xll.Get_Balance(G$83,"PTD","USD","Total","A","","001","555312","ED","AN","DL")</f>
        <v>0</v>
      </c>
      <c r="H30" s="157">
        <f>_xll.Get_Balance(H$83,"PTD","USD","Total","A","","001","555312","ED","AN","DL")</f>
        <v>0</v>
      </c>
      <c r="I30" s="157">
        <f>_xll.Get_Balance(I$83,"PTD","USD","Total","A","","001","555312","ED","AN","DL")</f>
        <v>0</v>
      </c>
      <c r="J30" s="157">
        <f>_xll.Get_Balance(J$83,"PTD","USD","Total","A","","001","555312","ED","AN","DL")</f>
        <v>0</v>
      </c>
      <c r="K30" s="157">
        <f>_xll.Get_Balance(K$83,"PTD","USD","Total","A","","001","555312","ED","AN","DL")</f>
        <v>0</v>
      </c>
      <c r="L30" s="157">
        <f>_xll.Get_Balance(L$83,"PTD","USD","Total","A","","001","555312","ED","AN","DL")</f>
        <v>0</v>
      </c>
      <c r="M30" s="157">
        <f>_xll.Get_Balance(M$83,"PTD","USD","Total","A","","001","555312","ED","AN","DL")</f>
        <v>0</v>
      </c>
      <c r="N30" s="157">
        <f>_xll.Get_Balance(N$83,"PTD","USD","Total","A","","001","555312","ED","AN","DL")</f>
        <v>0</v>
      </c>
      <c r="O30" s="157">
        <f>_xll.Get_Balance(O$83,"PTD","USD","Total","A","","001","555312","ED","AN","DL")</f>
        <v>0</v>
      </c>
      <c r="P30" s="157">
        <f>_xll.Get_Balance(P$83,"PTD","USD","Total","A","","001","555312","ED","AN","DL")</f>
        <v>0</v>
      </c>
      <c r="Q30" s="220"/>
      <c r="R30" s="360">
        <f>SUM(E30:P30)</f>
        <v>0</v>
      </c>
    </row>
    <row r="31" spans="1:20" outlineLevel="1">
      <c r="A31" s="255"/>
      <c r="B31" s="71">
        <v>555313</v>
      </c>
      <c r="C31" s="71" t="s">
        <v>191</v>
      </c>
      <c r="D31" s="370">
        <f t="shared" si="9"/>
        <v>0</v>
      </c>
      <c r="E31" s="157">
        <f>_xll.Get_Balance(E$83,"PTD","USD","Total","A","","001","555313","ED","AN","DL")</f>
        <v>0</v>
      </c>
      <c r="F31" s="157">
        <f>_xll.Get_Balance(F$83,"PTD","USD","Total","A","","001","555313","ED","AN","DL")</f>
        <v>0</v>
      </c>
      <c r="G31" s="157">
        <f>_xll.Get_Balance(G$83,"PTD","USD","Total","A","","001","555313","ED","AN","DL")</f>
        <v>0</v>
      </c>
      <c r="H31" s="157">
        <f>_xll.Get_Balance(H$83,"PTD","USD","Total","A","","001","555313","ED","AN","DL")</f>
        <v>0</v>
      </c>
      <c r="I31" s="157">
        <f>_xll.Get_Balance(I$83,"PTD","USD","Total","A","","001","555313","ED","AN","DL")</f>
        <v>0</v>
      </c>
      <c r="J31" s="157">
        <f>_xll.Get_Balance(J$83,"PTD","USD","Total","A","","001","555313","ED","AN","DL")</f>
        <v>0</v>
      </c>
      <c r="K31" s="157">
        <f>_xll.Get_Balance(K$83,"PTD","USD","Total","A","","001","555313","ED","AN","DL")</f>
        <v>0</v>
      </c>
      <c r="L31" s="157">
        <f>_xll.Get_Balance(L$83,"PTD","USD","Total","A","","001","555313","ED","AN","DL")</f>
        <v>0</v>
      </c>
      <c r="M31" s="157">
        <f>_xll.Get_Balance(M$83,"PTD","USD","Total","A","","001","555313","ED","AN","DL")</f>
        <v>0</v>
      </c>
      <c r="N31" s="157">
        <f>_xll.Get_Balance(N$83,"PTD","USD","Total","A","","001","555313","ED","AN","DL")</f>
        <v>0</v>
      </c>
      <c r="O31" s="157">
        <f>_xll.Get_Balance(O$83,"PTD","USD","Total","A","","001","555313","ED","AN","DL")</f>
        <v>0</v>
      </c>
      <c r="P31" s="157">
        <f>_xll.Get_Balance(P$83,"PTD","USD","Total","A","","001","555313","ED","AN","DL")</f>
        <v>0</v>
      </c>
      <c r="Q31" s="220"/>
      <c r="R31" s="360">
        <f>SUM(E31:P31)</f>
        <v>0</v>
      </c>
    </row>
    <row r="32" spans="1:20" outlineLevel="1">
      <c r="A32" s="255"/>
      <c r="B32" s="71">
        <v>555380</v>
      </c>
      <c r="C32" s="71" t="s">
        <v>241</v>
      </c>
      <c r="D32" s="370">
        <f t="shared" si="9"/>
        <v>0</v>
      </c>
      <c r="E32" s="157">
        <f>_xll.Get_Balance(E$83,"PTD","USD","Total","A","","001","555380","ED","AN","DL")</f>
        <v>0</v>
      </c>
      <c r="F32" s="157">
        <f>_xll.Get_Balance(F$83,"PTD","USD","Total","A","","001","555380","ED","AN","DL")</f>
        <v>0</v>
      </c>
      <c r="G32" s="157">
        <f>_xll.Get_Balance(G$83,"PTD","USD","Total","A","","001","555380","ED","AN","DL")</f>
        <v>0</v>
      </c>
      <c r="H32" s="157">
        <f>_xll.Get_Balance(H$83,"PTD","USD","Total","A","","001","555380","ED","AN","DL")</f>
        <v>0</v>
      </c>
      <c r="I32" s="157">
        <f>_xll.Get_Balance(I$83,"PTD","USD","Total","A","","001","555380","ED","AN","DL")</f>
        <v>0</v>
      </c>
      <c r="J32" s="157">
        <f>_xll.Get_Balance(J$83,"PTD","USD","Total","A","","001","555380","ED","AN","DL")</f>
        <v>0</v>
      </c>
      <c r="K32" s="157">
        <f>_xll.Get_Balance(K$83,"PTD","USD","Total","A","","001","555380","ED","AN","DL")</f>
        <v>0</v>
      </c>
      <c r="L32" s="157">
        <f>_xll.Get_Balance(L$83,"PTD","USD","Total","A","","001","555380","ED","AN","DL")</f>
        <v>0</v>
      </c>
      <c r="M32" s="157">
        <f>_xll.Get_Balance(M$83,"PTD","USD","Total","A","","001","555380","ED","AN","DL")</f>
        <v>0</v>
      </c>
      <c r="N32" s="157">
        <f>_xll.Get_Balance(N$83,"PTD","USD","Total","A","","001","555380","ED","AN","DL")</f>
        <v>0</v>
      </c>
      <c r="O32" s="157">
        <f>_xll.Get_Balance(O$83,"PTD","USD","Total","A","","001","555380","ED","AN","DL")</f>
        <v>0</v>
      </c>
      <c r="P32" s="157">
        <f>_xll.Get_Balance(P$83,"PTD","USD","Total","A","","001","555380","ED","AN","DL")</f>
        <v>0</v>
      </c>
      <c r="Q32" s="220"/>
      <c r="R32" s="360">
        <f>SUM(E32:P32)</f>
        <v>0</v>
      </c>
    </row>
    <row r="33" spans="1:18" outlineLevel="1">
      <c r="A33" s="255"/>
      <c r="B33" s="71">
        <v>555550</v>
      </c>
      <c r="C33" s="71" t="s">
        <v>242</v>
      </c>
      <c r="D33" s="370">
        <f t="shared" si="9"/>
        <v>-10994</v>
      </c>
      <c r="E33" s="157">
        <f>_xll.Get_Balance(E$83,"PTD","USD","Total","A","","001","555550","ED","AN","DL")</f>
        <v>17127</v>
      </c>
      <c r="F33" s="157">
        <f>_xll.Get_Balance(F$83,"PTD","USD","Total","A","","001","555550","ED","AN","DL")</f>
        <v>-25491</v>
      </c>
      <c r="G33" s="157">
        <f>_xll.Get_Balance(G$83,"PTD","USD","Total","A","","001","555550","ED","AN","DL")</f>
        <v>6656</v>
      </c>
      <c r="H33" s="157">
        <f>_xll.Get_Balance(H$83,"PTD","USD","Total","A","","001","555550","ED","AN","DL")</f>
        <v>-6171</v>
      </c>
      <c r="I33" s="157">
        <f>_xll.Get_Balance(I$83,"PTD","USD","Total","A","","001","555550","ED","AN","DL")</f>
        <v>-4214</v>
      </c>
      <c r="J33" s="157">
        <f>_xll.Get_Balance(J$83,"PTD","USD","Total","A","","001","555550","ED","AN","DL")</f>
        <v>8352</v>
      </c>
      <c r="K33" s="157">
        <f>_xll.Get_Balance(K$83,"PTD","USD","Total","A","","001","555550","ED","AN","DL")</f>
        <v>7510</v>
      </c>
      <c r="L33" s="157">
        <f>_xll.Get_Balance(L$83,"PTD","USD","Total","A","","001","555550","ED","AN","DL")</f>
        <v>25950</v>
      </c>
      <c r="M33" s="157">
        <f>_xll.Get_Balance(M$83,"PTD","USD","Total","A","","001","555550","ED","AN","DL")</f>
        <v>-40713</v>
      </c>
      <c r="N33" s="157">
        <f>_xll.Get_Balance(N$83,"PTD","USD","Total","A","","001","555550","ED","AN","DL")</f>
        <v>0</v>
      </c>
      <c r="O33" s="157">
        <f>_xll.Get_Balance(O$83,"PTD","USD","Total","A","","001","555550","ED","AN","DL")</f>
        <v>0</v>
      </c>
      <c r="P33" s="157">
        <f>_xll.Get_Balance(P$83,"PTD","USD","Total","A","","001","555550","ED","AN","DL")</f>
        <v>0</v>
      </c>
      <c r="Q33" s="220"/>
      <c r="R33" s="360">
        <f>SUM(E33:P33)</f>
        <v>-10994</v>
      </c>
    </row>
    <row r="34" spans="1:18" outlineLevel="1">
      <c r="A34" s="255"/>
      <c r="B34" s="71">
        <v>555700</v>
      </c>
      <c r="C34" s="71" t="s">
        <v>243</v>
      </c>
      <c r="D34" s="370">
        <f t="shared" si="9"/>
        <v>2977747</v>
      </c>
      <c r="E34" s="157">
        <f>_xll.Get_Balance(E$83,"PTD","USD","Total","A","","001","555700","ED","AN","DL")</f>
        <v>185905</v>
      </c>
      <c r="F34" s="157">
        <f>_xll.Get_Balance(F$83,"PTD","USD","Total","A","","001","555700","ED","AN","DL")</f>
        <v>182496</v>
      </c>
      <c r="G34" s="157">
        <f>_xll.Get_Balance(G$83,"PTD","USD","Total","A","","001","555700","ED","AN","DL")</f>
        <v>304081</v>
      </c>
      <c r="H34" s="157">
        <f>_xll.Get_Balance(H$83,"PTD","USD","Total","A","","001","555700","ED","AN","DL")</f>
        <v>129962</v>
      </c>
      <c r="I34" s="157">
        <f>_xll.Get_Balance(I$83,"PTD","USD","Total","A","","001","555700","ED","AN","DL")</f>
        <v>73900</v>
      </c>
      <c r="J34" s="157">
        <f>_xll.Get_Balance(J$83,"PTD","USD","Total","A","","001","555700","ED","AN","DL")</f>
        <v>152981</v>
      </c>
      <c r="K34" s="157">
        <f>_xll.Get_Balance(K$83,"PTD","USD","Total","A","","001","555700","ED","AN","DL")</f>
        <v>858076</v>
      </c>
      <c r="L34" s="157">
        <f>_xll.Get_Balance(L$83,"PTD","USD","Total","A","","001","555700","ED","AN","DL")</f>
        <v>1026366</v>
      </c>
      <c r="M34" s="157">
        <f>_xll.Get_Balance(M$83,"PTD","USD","Total","A","","001","555700","ED","AN","DL")</f>
        <v>63980</v>
      </c>
      <c r="N34" s="157">
        <f>_xll.Get_Balance(N$83,"PTD","USD","Total","A","","001","555700","ED","AN","DL")</f>
        <v>0</v>
      </c>
      <c r="O34" s="157">
        <f>_xll.Get_Balance(O$83,"PTD","USD","Total","A","","001","555700","ED","AN","DL")</f>
        <v>0</v>
      </c>
      <c r="P34" s="157">
        <f>_xll.Get_Balance(P$83,"PTD","USD","Total","A","","001","555700","ED","AN","DL")</f>
        <v>0</v>
      </c>
      <c r="Q34" s="220"/>
      <c r="R34" s="360">
        <f t="shared" si="8"/>
        <v>2977747</v>
      </c>
    </row>
    <row r="35" spans="1:18" outlineLevel="1">
      <c r="A35" s="255"/>
      <c r="B35" s="71">
        <v>555710</v>
      </c>
      <c r="C35" s="71" t="s">
        <v>244</v>
      </c>
      <c r="D35" s="370">
        <f t="shared" si="9"/>
        <v>1769586</v>
      </c>
      <c r="E35" s="157">
        <f>_xll.Get_Balance(E$83,"PTD","USD","Total","A","","001","555710","ED","AN","DL")</f>
        <v>213305</v>
      </c>
      <c r="F35" s="157">
        <f>_xll.Get_Balance(F$83,"PTD","USD","Total","A","","001","555710","ED","AN","DL")</f>
        <v>248240</v>
      </c>
      <c r="G35" s="157">
        <f>_xll.Get_Balance(G$83,"PTD","USD","Total","A","","001","555710","ED","AN","DL")</f>
        <v>197702</v>
      </c>
      <c r="H35" s="157">
        <f>_xll.Get_Balance(H$83,"PTD","USD","Total","A","","001","555710","ED","AN","DL")</f>
        <v>182889</v>
      </c>
      <c r="I35" s="157">
        <f>_xll.Get_Balance(I$83,"PTD","USD","Total","A","","001","555710","ED","AN","DL")</f>
        <v>168311</v>
      </c>
      <c r="J35" s="157">
        <f>_xll.Get_Balance(J$83,"PTD","USD","Total","A","","001","555710","ED","AN","DL")</f>
        <v>169612</v>
      </c>
      <c r="K35" s="157">
        <f>_xll.Get_Balance(K$83,"PTD","USD","Total","A","","001","555710","ED","AN","DL")</f>
        <v>210888</v>
      </c>
      <c r="L35" s="157">
        <f>_xll.Get_Balance(L$83,"PTD","USD","Total","A","","001","555710","ED","AN","DL")</f>
        <v>216324</v>
      </c>
      <c r="M35" s="157">
        <f>_xll.Get_Balance(M$83,"PTD","USD","Total","A","","001","555710","ED","AN","DL")</f>
        <v>162315</v>
      </c>
      <c r="N35" s="157">
        <f>_xll.Get_Balance(N$83,"PTD","USD","Total","A","","001","555710","ED","AN","DL")</f>
        <v>0</v>
      </c>
      <c r="O35" s="157">
        <f>_xll.Get_Balance(O$83,"PTD","USD","Total","A","","001","555710","ED","AN","DL")</f>
        <v>0</v>
      </c>
      <c r="P35" s="157">
        <f>_xll.Get_Balance(P$83,"PTD","USD","Total","A","","001","555710","ED","AN","DL")</f>
        <v>0</v>
      </c>
      <c r="Q35" s="220"/>
      <c r="R35" s="360">
        <f t="shared" si="8"/>
        <v>1769586</v>
      </c>
    </row>
    <row r="36" spans="1:18" outlineLevel="1">
      <c r="A36" s="255"/>
      <c r="B36" s="237" t="s">
        <v>166</v>
      </c>
      <c r="C36" s="186" t="s">
        <v>346</v>
      </c>
      <c r="D36" s="372">
        <f t="shared" si="9"/>
        <v>929099</v>
      </c>
      <c r="E36" s="373">
        <f>'Input Tab'!C41</f>
        <v>300823.05</v>
      </c>
      <c r="F36" s="373">
        <f>'Input Tab'!D41</f>
        <v>271824.2</v>
      </c>
      <c r="G36" s="373">
        <f>'Input Tab'!E41</f>
        <v>148515.9</v>
      </c>
      <c r="H36" s="373">
        <f>'Input Tab'!F41</f>
        <v>143838.34</v>
      </c>
      <c r="I36" s="373">
        <f>'Input Tab'!G41</f>
        <v>0</v>
      </c>
      <c r="J36" s="373">
        <f>'Input Tab'!H41</f>
        <v>0</v>
      </c>
      <c r="K36" s="373">
        <f>'Input Tab'!I41</f>
        <v>0</v>
      </c>
      <c r="L36" s="373">
        <f>'Input Tab'!J41</f>
        <v>0</v>
      </c>
      <c r="M36" s="373">
        <f>'Input Tab'!K41</f>
        <v>0</v>
      </c>
      <c r="N36" s="373">
        <f>'Input Tab'!L41</f>
        <v>0</v>
      </c>
      <c r="O36" s="373">
        <f>'Input Tab'!M41</f>
        <v>31525.200000000001</v>
      </c>
      <c r="P36" s="373">
        <f>'Input Tab'!N41</f>
        <v>32572.799999999999</v>
      </c>
      <c r="Q36" s="305"/>
      <c r="R36" s="360">
        <f t="shared" si="8"/>
        <v>929099</v>
      </c>
    </row>
    <row r="37" spans="1:18" s="184" customFormat="1" outlineLevel="1">
      <c r="A37" s="374"/>
      <c r="B37" s="238"/>
      <c r="C37" s="238"/>
      <c r="D37" s="195">
        <f>SUM(E37:P37)</f>
        <v>103993001</v>
      </c>
      <c r="E37" s="195">
        <f>SUM(E27:E36)</f>
        <v>16833261</v>
      </c>
      <c r="F37" s="195">
        <f t="shared" ref="F37:P37" si="10">SUM(F27:F36)</f>
        <v>15418244</v>
      </c>
      <c r="G37" s="195">
        <f>SUM(G27:G36)</f>
        <v>12301548</v>
      </c>
      <c r="H37" s="195">
        <f t="shared" si="10"/>
        <v>11248597</v>
      </c>
      <c r="I37" s="195">
        <f t="shared" si="10"/>
        <v>7857289</v>
      </c>
      <c r="J37" s="195">
        <f t="shared" si="10"/>
        <v>8387960</v>
      </c>
      <c r="K37" s="195">
        <f t="shared" si="10"/>
        <v>6606233</v>
      </c>
      <c r="L37" s="195">
        <f t="shared" si="10"/>
        <v>15747984</v>
      </c>
      <c r="M37" s="195">
        <f>SUM(M27:M36)</f>
        <v>9527787</v>
      </c>
      <c r="N37" s="195">
        <f>SUM(N27:N36)</f>
        <v>0</v>
      </c>
      <c r="O37" s="195">
        <f t="shared" si="10"/>
        <v>31525</v>
      </c>
      <c r="P37" s="195">
        <f t="shared" si="10"/>
        <v>32573</v>
      </c>
      <c r="Q37" s="218"/>
      <c r="R37" s="195">
        <f>SUM(R27:R36)</f>
        <v>103993001</v>
      </c>
    </row>
    <row r="38" spans="1:18">
      <c r="A38" s="255"/>
      <c r="B38" s="238"/>
      <c r="C38" s="238"/>
      <c r="E38" s="370"/>
      <c r="F38" s="370"/>
      <c r="G38" s="370"/>
      <c r="H38" s="370"/>
      <c r="I38" s="370"/>
      <c r="J38" s="370"/>
      <c r="K38" s="370"/>
      <c r="L38" s="370"/>
      <c r="M38" s="370"/>
      <c r="N38" s="370"/>
      <c r="O38" s="370"/>
      <c r="P38" s="370"/>
    </row>
    <row r="39" spans="1:18" ht="19.5" customHeight="1">
      <c r="A39" s="255"/>
      <c r="B39" s="239" t="s">
        <v>26</v>
      </c>
      <c r="C39" s="239"/>
      <c r="E39" s="370"/>
      <c r="F39" s="370"/>
      <c r="G39" s="370"/>
      <c r="H39" s="370"/>
      <c r="I39" s="370"/>
      <c r="J39" s="370"/>
      <c r="K39" s="370"/>
      <c r="L39" s="370"/>
      <c r="M39" s="370"/>
      <c r="N39" s="370"/>
      <c r="O39" s="370"/>
      <c r="P39" s="370"/>
    </row>
    <row r="40" spans="1:18" ht="12.95" customHeight="1">
      <c r="A40" s="255">
        <f>A23+1</f>
        <v>18</v>
      </c>
      <c r="B40" s="71" t="s">
        <v>27</v>
      </c>
      <c r="C40" s="269"/>
      <c r="D40" s="370">
        <f t="shared" ref="D40:D45" si="11">SUM(E40:P40)</f>
        <v>-64871952</v>
      </c>
      <c r="E40" s="177">
        <f t="shared" ref="E40:P40" si="12">E45-SUM(E41:E44)</f>
        <v>-11050528</v>
      </c>
      <c r="F40" s="177">
        <f t="shared" si="12"/>
        <v>-7466737</v>
      </c>
      <c r="G40" s="177">
        <f t="shared" si="12"/>
        <v>-9182024</v>
      </c>
      <c r="H40" s="177">
        <f t="shared" si="12"/>
        <v>-11923918</v>
      </c>
      <c r="I40" s="177">
        <f t="shared" si="12"/>
        <v>-5578440</v>
      </c>
      <c r="J40" s="177">
        <f t="shared" si="12"/>
        <v>-6436712</v>
      </c>
      <c r="K40" s="177">
        <f t="shared" si="12"/>
        <v>-1152037</v>
      </c>
      <c r="L40" s="177">
        <f t="shared" si="12"/>
        <v>-8024373</v>
      </c>
      <c r="M40" s="177">
        <f t="shared" si="12"/>
        <v>-4057183</v>
      </c>
      <c r="N40" s="177">
        <f t="shared" si="12"/>
        <v>0</v>
      </c>
      <c r="O40" s="177">
        <f t="shared" si="12"/>
        <v>0</v>
      </c>
      <c r="P40" s="177">
        <f t="shared" si="12"/>
        <v>0</v>
      </c>
      <c r="Q40" s="375"/>
      <c r="R40" s="370">
        <f>SUM(E40:P40)</f>
        <v>-64871952</v>
      </c>
    </row>
    <row r="41" spans="1:18">
      <c r="A41" s="255">
        <f>A40+1</f>
        <v>19</v>
      </c>
      <c r="B41" s="71" t="s">
        <v>32</v>
      </c>
      <c r="C41" s="269" t="s">
        <v>245</v>
      </c>
      <c r="D41" s="370">
        <f t="shared" si="11"/>
        <v>974294</v>
      </c>
      <c r="E41" s="364">
        <f>'Input Tab'!C44</f>
        <v>96850</v>
      </c>
      <c r="F41" s="364">
        <f>'Input Tab'!D44</f>
        <v>54051</v>
      </c>
      <c r="G41" s="364">
        <f>'Input Tab'!E44</f>
        <v>67735</v>
      </c>
      <c r="H41" s="364">
        <f>'Input Tab'!F44</f>
        <v>46838</v>
      </c>
      <c r="I41" s="364">
        <f>'Input Tab'!G44</f>
        <v>23444</v>
      </c>
      <c r="J41" s="364">
        <f>'Input Tab'!H44</f>
        <v>38086</v>
      </c>
      <c r="K41" s="364">
        <f>'Input Tab'!I44</f>
        <v>256173</v>
      </c>
      <c r="L41" s="364">
        <f>'Input Tab'!J44</f>
        <v>268722</v>
      </c>
      <c r="M41" s="364">
        <f>'Input Tab'!K44</f>
        <v>122395</v>
      </c>
      <c r="N41" s="364">
        <f>'Input Tab'!L44</f>
        <v>0</v>
      </c>
      <c r="O41" s="364">
        <f>'Input Tab'!M44</f>
        <v>0</v>
      </c>
      <c r="P41" s="364">
        <f>'Input Tab'!N44</f>
        <v>0</v>
      </c>
      <c r="Q41" s="375"/>
      <c r="R41" s="370">
        <f>SUM(E41:P41)</f>
        <v>974294</v>
      </c>
    </row>
    <row r="42" spans="1:18">
      <c r="A42" s="255">
        <f>A41+1</f>
        <v>20</v>
      </c>
      <c r="B42" s="52" t="s">
        <v>375</v>
      </c>
      <c r="C42" s="186" t="s">
        <v>345</v>
      </c>
      <c r="D42" s="370">
        <f t="shared" si="11"/>
        <v>121610</v>
      </c>
      <c r="E42" s="364">
        <f>'Input Tab'!C45</f>
        <v>12978</v>
      </c>
      <c r="F42" s="364">
        <f>'Input Tab'!D45</f>
        <v>11594</v>
      </c>
      <c r="G42" s="364">
        <f>'Input Tab'!E45</f>
        <v>12269</v>
      </c>
      <c r="H42" s="364">
        <f>'Input Tab'!F45</f>
        <v>23957</v>
      </c>
      <c r="I42" s="364">
        <f>'Input Tab'!G45</f>
        <v>12240</v>
      </c>
      <c r="J42" s="364">
        <f>'Input Tab'!H45</f>
        <v>11887</v>
      </c>
      <c r="K42" s="364">
        <f>'Input Tab'!I45</f>
        <v>12458</v>
      </c>
      <c r="L42" s="364">
        <f>'Input Tab'!J45</f>
        <v>12397</v>
      </c>
      <c r="M42" s="364">
        <f>'Input Tab'!K45</f>
        <v>11830</v>
      </c>
      <c r="N42" s="364">
        <f>'Input Tab'!L45</f>
        <v>0</v>
      </c>
      <c r="O42" s="364">
        <f>'Input Tab'!M45</f>
        <v>0</v>
      </c>
      <c r="P42" s="364">
        <f>'Input Tab'!N45</f>
        <v>0</v>
      </c>
      <c r="Q42" s="375"/>
      <c r="R42" s="370">
        <f>SUM(E42:P42)</f>
        <v>121610</v>
      </c>
    </row>
    <row r="43" spans="1:18">
      <c r="A43" s="255">
        <f>A42+1</f>
        <v>21</v>
      </c>
      <c r="B43" s="71" t="s">
        <v>53</v>
      </c>
      <c r="C43" s="376" t="s">
        <v>344</v>
      </c>
      <c r="D43" s="370">
        <f t="shared" si="11"/>
        <v>499132</v>
      </c>
      <c r="E43" s="364">
        <f>'Input Tab'!C46</f>
        <v>61859</v>
      </c>
      <c r="F43" s="364">
        <f>'Input Tab'!D46</f>
        <v>59141</v>
      </c>
      <c r="G43" s="364">
        <f>'Input Tab'!E46</f>
        <v>65628</v>
      </c>
      <c r="H43" s="364">
        <f>'Input Tab'!F46</f>
        <v>58213</v>
      </c>
      <c r="I43" s="364">
        <f>'Input Tab'!G46</f>
        <v>48440</v>
      </c>
      <c r="J43" s="364">
        <f>'Input Tab'!H46</f>
        <v>49177</v>
      </c>
      <c r="K43" s="364">
        <f>'Input Tab'!I46</f>
        <v>56197</v>
      </c>
      <c r="L43" s="364">
        <f>'Input Tab'!J46</f>
        <v>50370</v>
      </c>
      <c r="M43" s="364">
        <f>'Input Tab'!K46</f>
        <v>50107</v>
      </c>
      <c r="N43" s="364">
        <f>'Input Tab'!L46</f>
        <v>0</v>
      </c>
      <c r="O43" s="364">
        <f>'Input Tab'!M46</f>
        <v>0</v>
      </c>
      <c r="P43" s="364">
        <f>'Input Tab'!N46</f>
        <v>0</v>
      </c>
      <c r="Q43" s="375"/>
      <c r="R43" s="370">
        <f>SUM(E43:P43)</f>
        <v>499132</v>
      </c>
    </row>
    <row r="44" spans="1:18">
      <c r="A44" s="255">
        <f>A43+1</f>
        <v>22</v>
      </c>
      <c r="B44" s="71" t="s">
        <v>35</v>
      </c>
      <c r="C44" s="269"/>
      <c r="D44" s="370">
        <f t="shared" si="11"/>
        <v>-12722377</v>
      </c>
      <c r="E44" s="175">
        <f>E54</f>
        <v>-3148683</v>
      </c>
      <c r="F44" s="175">
        <f>F54</f>
        <v>-2334720</v>
      </c>
      <c r="G44" s="175">
        <f t="shared" ref="G44:P44" si="13">G54</f>
        <v>-2161705</v>
      </c>
      <c r="H44" s="175">
        <f t="shared" si="13"/>
        <v>554578</v>
      </c>
      <c r="I44" s="175">
        <f t="shared" si="13"/>
        <v>-1211637</v>
      </c>
      <c r="J44" s="175">
        <f>J54</f>
        <v>-1350958</v>
      </c>
      <c r="K44" s="175">
        <f>K54</f>
        <v>-1175743</v>
      </c>
      <c r="L44" s="175">
        <f t="shared" si="13"/>
        <v>-1019134</v>
      </c>
      <c r="M44" s="175">
        <f t="shared" si="13"/>
        <v>-874375</v>
      </c>
      <c r="N44" s="175">
        <f t="shared" si="13"/>
        <v>0</v>
      </c>
      <c r="O44" s="175">
        <f t="shared" si="13"/>
        <v>0</v>
      </c>
      <c r="P44" s="175">
        <f t="shared" si="13"/>
        <v>0</v>
      </c>
      <c r="Q44" s="375"/>
      <c r="R44" s="370">
        <f>SUM(E44:P44)</f>
        <v>-12722377</v>
      </c>
    </row>
    <row r="45" spans="1:18" s="184" customFormat="1" ht="24.75" customHeight="1" thickBot="1">
      <c r="A45" s="367">
        <f>A44+1</f>
        <v>23</v>
      </c>
      <c r="B45" s="240" t="s">
        <v>226</v>
      </c>
      <c r="C45" s="240"/>
      <c r="D45" s="194">
        <f t="shared" si="11"/>
        <v>-75999293</v>
      </c>
      <c r="E45" s="368">
        <f>E55</f>
        <v>-14027524</v>
      </c>
      <c r="F45" s="368">
        <f>F55</f>
        <v>-9676671</v>
      </c>
      <c r="G45" s="368">
        <f t="shared" ref="G45:P45" si="14">G55</f>
        <v>-11198097</v>
      </c>
      <c r="H45" s="368">
        <f>H55</f>
        <v>-11240332</v>
      </c>
      <c r="I45" s="368">
        <f>I55</f>
        <v>-6705953</v>
      </c>
      <c r="J45" s="368">
        <f t="shared" si="14"/>
        <v>-7688520</v>
      </c>
      <c r="K45" s="368">
        <f t="shared" si="14"/>
        <v>-2002952</v>
      </c>
      <c r="L45" s="368">
        <f t="shared" si="14"/>
        <v>-8712018</v>
      </c>
      <c r="M45" s="368">
        <f>M55</f>
        <v>-4747226</v>
      </c>
      <c r="N45" s="368">
        <f t="shared" si="14"/>
        <v>0</v>
      </c>
      <c r="O45" s="368">
        <f t="shared" si="14"/>
        <v>0</v>
      </c>
      <c r="P45" s="368">
        <f t="shared" si="14"/>
        <v>0</v>
      </c>
      <c r="Q45" s="377"/>
      <c r="R45" s="369">
        <f>SUM(R40:R44)</f>
        <v>-75999293</v>
      </c>
    </row>
    <row r="46" spans="1:18" ht="13.5" thickTop="1">
      <c r="A46" s="255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378"/>
    </row>
    <row r="47" spans="1:18" outlineLevel="2">
      <c r="A47" s="255"/>
      <c r="E47" s="370"/>
      <c r="F47" s="370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378"/>
    </row>
    <row r="48" spans="1:18" outlineLevel="2">
      <c r="A48" s="255"/>
      <c r="B48" s="241" t="s">
        <v>26</v>
      </c>
      <c r="C48" s="241"/>
      <c r="E48" s="370"/>
      <c r="F48" s="370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378"/>
    </row>
    <row r="49" spans="1:18" outlineLevel="2">
      <c r="A49" s="255"/>
      <c r="B49" s="71">
        <v>447000</v>
      </c>
      <c r="D49" s="370">
        <f t="shared" ref="D49:D55" si="15">SUM(E49:P49)</f>
        <v>-52048276</v>
      </c>
      <c r="E49" s="157">
        <f>_xll.Get_Balance(E$83,"PTD","USD","Total","A","","001","447000","ED","AN","DL")</f>
        <v>-7609680</v>
      </c>
      <c r="F49" s="157">
        <f>_xll.Get_Balance(F$83,"PTD","USD","Total","A","","001","447000","ED","AN","DL")</f>
        <v>-5047431</v>
      </c>
      <c r="G49" s="157">
        <f>_xll.Get_Balance(G$83,"PTD","USD","Total","A","","001","447000","ED","AN","DL")</f>
        <v>-6544317</v>
      </c>
      <c r="H49" s="157">
        <f>_xll.Get_Balance(H$83,"PTD","USD","Total","A","","001","447000","ED","AN","DL")</f>
        <v>-9297915</v>
      </c>
      <c r="I49" s="157">
        <f>_xll.Get_Balance(I$83,"PTD","USD","Total","A","","001","447000","ED","AN","DL")</f>
        <v>-2000078</v>
      </c>
      <c r="J49" s="157">
        <f>_xll.Get_Balance(J$83,"PTD","USD","Total","A","","001","447000","ED","AN","DL")</f>
        <v>-3078046</v>
      </c>
      <c r="K49" s="157">
        <f>_xll.Get_Balance(K$83,"PTD","USD","Total","A","","001","447000","ED","AN","DL")</f>
        <v>-7435346</v>
      </c>
      <c r="L49" s="157">
        <f>_xll.Get_Balance(L$83,"PTD","USD","Total","A","","001","447000","ED","AN","DL")</f>
        <v>-9019288</v>
      </c>
      <c r="M49" s="157">
        <f>_xll.Get_Balance(M$83,"PTD","USD","Total","A","","001","447000","ED","AN","DL")</f>
        <v>-2016175</v>
      </c>
      <c r="N49" s="157">
        <f>_xll.Get_Balance(N$83,"PTD","USD","Total","A","","001","447000","ED","AN","DL")</f>
        <v>0</v>
      </c>
      <c r="O49" s="157">
        <f>_xll.Get_Balance(O$83,"PTD","USD","Total","A","","001","447000","ED","AN","DL")</f>
        <v>0</v>
      </c>
      <c r="P49" s="157">
        <f>_xll.Get_Balance(P$83,"PTD","USD","Total","A","","001","447000","ED","AN","DL")</f>
        <v>0</v>
      </c>
      <c r="Q49" s="379"/>
      <c r="R49" s="360">
        <f t="shared" ref="R49:R54" si="16">SUM(E49:P49)</f>
        <v>-52048276</v>
      </c>
    </row>
    <row r="50" spans="1:18" outlineLevel="2">
      <c r="A50" s="255"/>
      <c r="B50" s="71">
        <v>447100</v>
      </c>
      <c r="D50" s="370">
        <f t="shared" si="15"/>
        <v>8708516</v>
      </c>
      <c r="E50" s="157">
        <f>_xll.Get_Balance(E$83,"PTD","USD","Total","A","","001","447100","ED","AN","DL")</f>
        <v>-1305898</v>
      </c>
      <c r="F50" s="157">
        <f>_xll.Get_Balance(F$83,"PTD","USD","Total","A","","001","447100","ED","AN","DL")</f>
        <v>-673570</v>
      </c>
      <c r="G50" s="157">
        <f>_xll.Get_Balance(G$83,"PTD","USD","Total","A","","001","447100","ED","AN","DL")</f>
        <v>-511606</v>
      </c>
      <c r="H50" s="157">
        <f>_xll.Get_Balance(H$83,"PTD","USD","Total","A","","001","447100","ED","AN","DL")</f>
        <v>-976572</v>
      </c>
      <c r="I50" s="157">
        <f>_xll.Get_Balance(I$83,"PTD","USD","Total","A","","001","447100","ED","AN","DL")</f>
        <v>-2428489</v>
      </c>
      <c r="J50" s="157">
        <f>_xll.Get_Balance(J$83,"PTD","USD","Total","A","","001","447100","ED","AN","DL")</f>
        <v>-1826072</v>
      </c>
      <c r="K50" s="157">
        <f>_xll.Get_Balance(K$83,"PTD","USD","Total","A","","001","447100","ED","AN","DL")</f>
        <v>10813550</v>
      </c>
      <c r="L50" s="157">
        <f>_xll.Get_Balance(L$83,"PTD","USD","Total","A","","001","447100","ED","AN","DL")</f>
        <v>5716003</v>
      </c>
      <c r="M50" s="157">
        <f>_xll.Get_Balance(M$83,"PTD","USD","Total","A","","001","447100","ED","AN","DL")</f>
        <v>-98830</v>
      </c>
      <c r="N50" s="157">
        <f>_xll.Get_Balance(N$83,"PTD","USD","Total","A","","001","447100","ED","AN","DL")</f>
        <v>0</v>
      </c>
      <c r="O50" s="157">
        <f>_xll.Get_Balance(O$83,"PTD","USD","Total","A","","001","447100","ED","AN","DL")</f>
        <v>0</v>
      </c>
      <c r="P50" s="157">
        <f>_xll.Get_Balance(P$83,"PTD","USD","Total","A","","001","447100","ED","AN","DL")</f>
        <v>0</v>
      </c>
      <c r="Q50" s="379"/>
      <c r="R50" s="360">
        <f t="shared" si="16"/>
        <v>8708516</v>
      </c>
    </row>
    <row r="51" spans="1:18" outlineLevel="2">
      <c r="A51" s="255"/>
      <c r="B51" s="71">
        <v>447150</v>
      </c>
      <c r="D51" s="370">
        <f t="shared" si="15"/>
        <v>-14836366</v>
      </c>
      <c r="E51" s="157">
        <f>_xll.Get_Balance(E$83,"PTD","USD","Total","A","","001","447150","ED","AN","DL")</f>
        <v>-1555198</v>
      </c>
      <c r="F51" s="157">
        <f>_xll.Get_Balance(F$83,"PTD","USD","Total","A","","001","447150","ED","AN","DL")</f>
        <v>-1161880</v>
      </c>
      <c r="G51" s="157">
        <f>_xll.Get_Balance(G$83,"PTD","USD","Total","A","","001","447150","ED","AN","DL")</f>
        <v>-1419235</v>
      </c>
      <c r="H51" s="157">
        <f>_xll.Get_Balance(H$83,"PTD","USD","Total","A","","001","447150","ED","AN","DL")</f>
        <v>-1164177</v>
      </c>
      <c r="I51" s="157">
        <f>_xll.Get_Balance(I$83,"PTD","USD","Total","A","","001","447150","ED","AN","DL")</f>
        <v>-810888</v>
      </c>
      <c r="J51" s="157">
        <f>_xll.Get_Balance(J$83,"PTD","USD","Total","A","","001","447150","ED","AN","DL")</f>
        <v>-1049973</v>
      </c>
      <c r="K51" s="157">
        <f>_xll.Get_Balance(K$83,"PTD","USD","Total","A","","001","447150","ED","AN","DL")</f>
        <v>-3046570</v>
      </c>
      <c r="L51" s="157">
        <f>_xll.Get_Balance(L$83,"PTD","USD","Total","A","","001","447150","ED","AN","DL")</f>
        <v>-3103594</v>
      </c>
      <c r="M51" s="157">
        <f>_xll.Get_Balance(M$83,"PTD","USD","Total","A","","001","447150","ED","AN","DL")</f>
        <v>-1524851</v>
      </c>
      <c r="N51" s="157">
        <f>_xll.Get_Balance(N$83,"PTD","USD","Total","A","","001","447150","ED","AN","DL")</f>
        <v>0</v>
      </c>
      <c r="O51" s="157">
        <f>_xll.Get_Balance(O$83,"PTD","USD","Total","A","","001","447150","ED","AN","DL")</f>
        <v>0</v>
      </c>
      <c r="P51" s="157">
        <f>_xll.Get_Balance(P$83,"PTD","USD","Total","A","","001","447150","ED","AN","DL")</f>
        <v>0</v>
      </c>
      <c r="Q51" s="379"/>
      <c r="R51" s="360">
        <f t="shared" si="16"/>
        <v>-14836366</v>
      </c>
    </row>
    <row r="52" spans="1:18" outlineLevel="2">
      <c r="A52" s="255"/>
      <c r="B52" s="71">
        <v>447700</v>
      </c>
      <c r="D52" s="370">
        <f t="shared" si="15"/>
        <v>-3331204</v>
      </c>
      <c r="E52" s="157">
        <f>_xll.Get_Balance(E$83,"PTD","USD","Total","A","","001","447700","ED","AN","DL")</f>
        <v>-194760</v>
      </c>
      <c r="F52" s="157">
        <f>_xll.Get_Balance(F$83,"PTD","USD","Total","A","","001","447700","ED","AN","DL")</f>
        <v>-210830</v>
      </c>
      <c r="G52" s="157">
        <f>_xll.Get_Balance(G$83,"PTD","USD","Total","A","","001","447700","ED","AN","DL")</f>
        <v>-363532</v>
      </c>
      <c r="H52" s="157">
        <f>_xll.Get_Balance(H$83,"PTD","USD","Total","A","","001","447700","ED","AN","DL")</f>
        <v>-173357</v>
      </c>
      <c r="I52" s="157">
        <f>_xll.Get_Balance(I$83,"PTD","USD","Total","A","","001","447700","ED","AN","DL")</f>
        <v>-86550</v>
      </c>
      <c r="J52" s="157">
        <f>_xll.Get_Balance(J$83,"PTD","USD","Total","A","","001","447700","ED","AN","DL")</f>
        <v>-213859</v>
      </c>
      <c r="K52" s="157">
        <f>_xll.Get_Balance(K$83,"PTD","USD","Total","A","","001","447700","ED","AN","DL")</f>
        <v>-947955</v>
      </c>
      <c r="L52" s="157">
        <f>_xll.Get_Balance(L$83,"PTD","USD","Total","A","","001","447700","ED","AN","DL")</f>
        <v>-1069681</v>
      </c>
      <c r="M52" s="157">
        <f>_xll.Get_Balance(M$83,"PTD","USD","Total","A","","001","447700","ED","AN","DL")</f>
        <v>-70680</v>
      </c>
      <c r="N52" s="157">
        <f>_xll.Get_Balance(N$83,"PTD","USD","Total","A","","001","447700","ED","AN","DL")</f>
        <v>0</v>
      </c>
      <c r="O52" s="157">
        <f>_xll.Get_Balance(O$83,"PTD","USD","Total","A","","001","447700","ED","AN","DL")</f>
        <v>0</v>
      </c>
      <c r="P52" s="157">
        <f>_xll.Get_Balance(P$83,"PTD","USD","Total","A","","001","447700","ED","AN","DL")</f>
        <v>0</v>
      </c>
      <c r="Q52" s="379"/>
      <c r="R52" s="360">
        <f t="shared" si="16"/>
        <v>-3331204</v>
      </c>
    </row>
    <row r="53" spans="1:18" outlineLevel="2">
      <c r="A53" s="255"/>
      <c r="B53" s="71">
        <v>447710</v>
      </c>
      <c r="D53" s="370">
        <f t="shared" si="15"/>
        <v>-1769586</v>
      </c>
      <c r="E53" s="157">
        <f>_xll.Get_Balance(E$83,"PTD","USD","Total","A","","001","447710","ED","AN","DL")</f>
        <v>-213305</v>
      </c>
      <c r="F53" s="157">
        <f>_xll.Get_Balance(F$83,"PTD","USD","Total","A","","001","447710","ED","AN","DL")</f>
        <v>-248240</v>
      </c>
      <c r="G53" s="157">
        <f>_xll.Get_Balance(G$83,"PTD","USD","Total","A","","001","447710","ED","AN","DL")</f>
        <v>-197702</v>
      </c>
      <c r="H53" s="157">
        <f>_xll.Get_Balance(H$83,"PTD","USD","Total","A","","001","447710","ED","AN","DL")</f>
        <v>-182889</v>
      </c>
      <c r="I53" s="157">
        <f>_xll.Get_Balance(I$83,"PTD","USD","Total","A","","001","447710","ED","AN","DL")</f>
        <v>-168311</v>
      </c>
      <c r="J53" s="157">
        <f>_xll.Get_Balance(J$83,"PTD","USD","Total","A","","001","447710","ED","AN","DL")</f>
        <v>-169612</v>
      </c>
      <c r="K53" s="157">
        <f>_xll.Get_Balance(K$83,"PTD","USD","Total","A","","001","447710","ED","AN","DL")</f>
        <v>-210888</v>
      </c>
      <c r="L53" s="157">
        <f>_xll.Get_Balance(L$83,"PTD","USD","Total","A","","001","447710","ED","AN","DL")</f>
        <v>-216324</v>
      </c>
      <c r="M53" s="157">
        <f>_xll.Get_Balance(M$83,"PTD","USD","Total","A","","001","447710","ED","AN","DL")</f>
        <v>-162315</v>
      </c>
      <c r="N53" s="157">
        <f>_xll.Get_Balance(N$83,"PTD","USD","Total","A","","001","447710","ED","AN","DL")</f>
        <v>0</v>
      </c>
      <c r="O53" s="157">
        <f>_xll.Get_Balance(O$83,"PTD","USD","Total","A","","001","447710","ED","AN","DL")</f>
        <v>0</v>
      </c>
      <c r="P53" s="157">
        <f>_xll.Get_Balance(P$83,"PTD","USD","Total","A","","001","447710","ED","AN","DL")</f>
        <v>0</v>
      </c>
      <c r="Q53" s="379"/>
      <c r="R53" s="360">
        <f t="shared" si="16"/>
        <v>-1769586</v>
      </c>
    </row>
    <row r="54" spans="1:18" outlineLevel="2">
      <c r="A54" s="255"/>
      <c r="B54" s="71">
        <v>447720</v>
      </c>
      <c r="C54" s="52" t="s">
        <v>356</v>
      </c>
      <c r="D54" s="372">
        <f t="shared" si="15"/>
        <v>-12722377</v>
      </c>
      <c r="E54" s="180">
        <f>_xll.Get_Balance(E$83,"PTD","USD","Total","A","","001","447720","ED","AN","DL")</f>
        <v>-3148683</v>
      </c>
      <c r="F54" s="180">
        <f>_xll.Get_Balance(F$83,"PTD","USD","Total","A","","001","447720","ED","AN","DL")</f>
        <v>-2334720</v>
      </c>
      <c r="G54" s="180">
        <f>_xll.Get_Balance(G$83,"PTD","USD","Total","A","","001","447720","ED","AN","DL")</f>
        <v>-2161705</v>
      </c>
      <c r="H54" s="180">
        <f>_xll.Get_Balance(H$83,"PTD","USD","Total","A","","001","447720","ED","AN","DL")</f>
        <v>554578</v>
      </c>
      <c r="I54" s="180">
        <f>_xll.Get_Balance(I$83,"PTD","USD","Total","A","","001","447720","ED","AN","DL")</f>
        <v>-1211637</v>
      </c>
      <c r="J54" s="180">
        <f>_xll.Get_Balance(J$83,"PTD","USD","Total","A","","001","447720","ED","AN","DL")</f>
        <v>-1350958</v>
      </c>
      <c r="K54" s="180">
        <f>_xll.Get_Balance(K$83,"PTD","USD","Total","A","","001","447720","ED","AN","DL")</f>
        <v>-1175743</v>
      </c>
      <c r="L54" s="180">
        <f>_xll.Get_Balance(L$83,"PTD","USD","Total","A","","001","447720","ED","AN","DL")</f>
        <v>-1019134</v>
      </c>
      <c r="M54" s="180">
        <f>_xll.Get_Balance(M$83,"PTD","USD","Total","A","","001","447720","ED","AN","DL")</f>
        <v>-874375</v>
      </c>
      <c r="N54" s="180">
        <f>_xll.Get_Balance(N$83,"PTD","USD","Total","A","","001","447720","ED","AN","DL")</f>
        <v>0</v>
      </c>
      <c r="O54" s="180">
        <f>_xll.Get_Balance(O$83,"PTD","USD","Total","A","","001","447720","ED","AN","DL")</f>
        <v>0</v>
      </c>
      <c r="P54" s="180">
        <f>_xll.Get_Balance(P$83,"PTD","USD","Total","A","","001","447720","ED","AN","DL")</f>
        <v>0</v>
      </c>
      <c r="Q54" s="379"/>
      <c r="R54" s="380">
        <f t="shared" si="16"/>
        <v>-12722377</v>
      </c>
    </row>
    <row r="55" spans="1:18" s="184" customFormat="1" outlineLevel="2">
      <c r="A55" s="374"/>
      <c r="D55" s="195">
        <f t="shared" si="15"/>
        <v>-75999293</v>
      </c>
      <c r="E55" s="181">
        <f t="shared" ref="E55:P55" si="17">SUM(E49:E54)</f>
        <v>-14027524</v>
      </c>
      <c r="F55" s="181">
        <f t="shared" si="17"/>
        <v>-9676671</v>
      </c>
      <c r="G55" s="181">
        <f t="shared" si="17"/>
        <v>-11198097</v>
      </c>
      <c r="H55" s="181">
        <f t="shared" si="17"/>
        <v>-11240332</v>
      </c>
      <c r="I55" s="181">
        <f t="shared" si="17"/>
        <v>-6705953</v>
      </c>
      <c r="J55" s="181">
        <f t="shared" si="17"/>
        <v>-7688520</v>
      </c>
      <c r="K55" s="181">
        <f t="shared" si="17"/>
        <v>-2002952</v>
      </c>
      <c r="L55" s="181">
        <f t="shared" si="17"/>
        <v>-8712018</v>
      </c>
      <c r="M55" s="181">
        <f>SUM(M49:M54)</f>
        <v>-4747226</v>
      </c>
      <c r="N55" s="181">
        <f t="shared" si="17"/>
        <v>0</v>
      </c>
      <c r="O55" s="181">
        <f t="shared" si="17"/>
        <v>0</v>
      </c>
      <c r="P55" s="181">
        <f t="shared" si="17"/>
        <v>0</v>
      </c>
      <c r="Q55" s="381"/>
      <c r="R55" s="195">
        <f>SUM(R49:R54)</f>
        <v>-75999293</v>
      </c>
    </row>
    <row r="56" spans="1:18" outlineLevel="2">
      <c r="A56" s="255"/>
      <c r="E56" s="370"/>
      <c r="F56" s="370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379"/>
      <c r="R56" s="370"/>
    </row>
    <row r="57" spans="1:18">
      <c r="A57" s="255"/>
      <c r="B57" s="239" t="s">
        <v>20</v>
      </c>
      <c r="C57" s="239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379"/>
      <c r="R57" s="370"/>
    </row>
    <row r="58" spans="1:18">
      <c r="A58" s="255">
        <f>A45+1</f>
        <v>24</v>
      </c>
      <c r="B58" s="52" t="s">
        <v>236</v>
      </c>
      <c r="C58" s="52"/>
      <c r="D58" s="370">
        <f>SUM(E58:P58)</f>
        <v>4738899</v>
      </c>
      <c r="E58" s="157">
        <f>_xll.Get_Balance(E$83,"PTD","USD","Total","A","","001","501110","ED","AN","DL")</f>
        <v>626601</v>
      </c>
      <c r="F58" s="157">
        <f>_xll.Get_Balance(F$83,"PTD","USD","Total","A","","001","501110","ED","AN","DL")</f>
        <v>554862</v>
      </c>
      <c r="G58" s="157">
        <f>_xll.Get_Balance(G$83,"PTD","USD","Total","A","","001","501110","ED","AN","DL")</f>
        <v>679297</v>
      </c>
      <c r="H58" s="157">
        <f>_xll.Get_Balance(H$83,"PTD","USD","Total","A","","001","501110","ED","AN","DL")</f>
        <v>585374</v>
      </c>
      <c r="I58" s="157">
        <f>_xll.Get_Balance(I$83,"PTD","USD","Total","A","","001","501110","ED","AN","DL")</f>
        <v>9446</v>
      </c>
      <c r="J58" s="157">
        <f>_xll.Get_Balance(J$83,"PTD","USD","Total","A","","001","501110","ED","AN","DL")</f>
        <v>196175</v>
      </c>
      <c r="K58" s="157">
        <f>_xll.Get_Balance(K$83,"PTD","USD","Total","A","","001","501110","ED","AN","DL")</f>
        <v>666074</v>
      </c>
      <c r="L58" s="157">
        <f>_xll.Get_Balance(L$83,"PTD","USD","Total","A","","001","501110","ED","AN","DL")</f>
        <v>714243</v>
      </c>
      <c r="M58" s="157">
        <f>_xll.Get_Balance(M$83,"PTD","USD","Total","A","","001","501110","ED","AN","DL")</f>
        <v>706827</v>
      </c>
      <c r="N58" s="157">
        <f>_xll.Get_Balance(N$83,"PTD","USD","Total","A","","001","501110","ED","AN","DL")</f>
        <v>0</v>
      </c>
      <c r="O58" s="157">
        <f>_xll.Get_Balance(O$83,"PTD","USD","Total","A","","001","501110","ED","AN","DL")</f>
        <v>0</v>
      </c>
      <c r="P58" s="157">
        <f>_xll.Get_Balance(P$83,"PTD","USD","Total","A","","001","501110","ED","AN","DL")</f>
        <v>0</v>
      </c>
      <c r="Q58" s="382"/>
      <c r="R58" s="196">
        <f>SUM(E58:P58)</f>
        <v>4738899</v>
      </c>
    </row>
    <row r="59" spans="1:18">
      <c r="A59" s="255">
        <f>+A58+1</f>
        <v>25</v>
      </c>
      <c r="B59" s="52" t="s">
        <v>235</v>
      </c>
      <c r="C59" s="52"/>
      <c r="D59" s="370">
        <f>SUM(E59:P59)</f>
        <v>6106</v>
      </c>
      <c r="E59" s="157">
        <f>_xll.Get_Balance(E$83,"PTD","USD","Total","A","","001","501120","ED","AN","DL")</f>
        <v>93</v>
      </c>
      <c r="F59" s="157">
        <f>_xll.Get_Balance(F$83,"PTD","USD","Total","A","","001","501120","ED","AN","DL")</f>
        <v>929</v>
      </c>
      <c r="G59" s="157">
        <f>_xll.Get_Balance(G$83,"PTD","USD","Total","A","","001","501120","ED","AN","DL")</f>
        <v>-859</v>
      </c>
      <c r="H59" s="157">
        <f>_xll.Get_Balance(H$83,"PTD","USD","Total","A","","001","501120","ED","AN","DL")</f>
        <v>-249</v>
      </c>
      <c r="I59" s="157">
        <f>_xll.Get_Balance(I$83,"PTD","USD","Total","A","","001","501120","ED","AN","DL")</f>
        <v>-93</v>
      </c>
      <c r="J59" s="157">
        <f>_xll.Get_Balance(J$83,"PTD","USD","Total","A","","001","501120","ED","AN","DL")</f>
        <v>5088</v>
      </c>
      <c r="K59" s="157">
        <f>_xll.Get_Balance(K$83,"PTD","USD","Total","A","","001","501120","ED","AN","DL")</f>
        <v>1199</v>
      </c>
      <c r="L59" s="157">
        <f>_xll.Get_Balance(L$83,"PTD","USD","Total","A","","001","501120","ED","AN","DL")</f>
        <v>50</v>
      </c>
      <c r="M59" s="157">
        <f>_xll.Get_Balance(M$83,"PTD","USD","Total","A","","001","501120","ED","AN","DL")</f>
        <v>-52</v>
      </c>
      <c r="N59" s="157">
        <f>_xll.Get_Balance(N$83,"PTD","USD","Total","A","","001","501120","ED","AN","DL")</f>
        <v>0</v>
      </c>
      <c r="O59" s="157">
        <f>_xll.Get_Balance(O$83,"PTD","USD","Total","A","","001","501120","ED","AN","DL")</f>
        <v>0</v>
      </c>
      <c r="P59" s="157">
        <f>_xll.Get_Balance(P$83,"PTD","USD","Total","A","","001","501120","ED","AN","DL")</f>
        <v>0</v>
      </c>
      <c r="Q59" s="382"/>
      <c r="R59" s="196">
        <f>SUM(E59:P59)</f>
        <v>6106</v>
      </c>
    </row>
    <row r="60" spans="1:18">
      <c r="A60" s="255">
        <f>+A59+1</f>
        <v>26</v>
      </c>
      <c r="B60" s="73" t="s">
        <v>164</v>
      </c>
      <c r="C60" s="73"/>
      <c r="D60" s="370">
        <f>SUM(E60:P60)</f>
        <v>12765624</v>
      </c>
      <c r="E60" s="157">
        <f>_xll.Get_Balance(E$83,"PTD","USD","Total","A","","001","501140","ED","AN","DL")</f>
        <v>2183195</v>
      </c>
      <c r="F60" s="157">
        <f>_xll.Get_Balance(F$83,"PTD","USD","Total","A","","001","501140","ED","AN","DL")</f>
        <v>895901</v>
      </c>
      <c r="G60" s="157">
        <f>_xll.Get_Balance(G$83,"PTD","USD","Total","A","","001","501140","ED","AN","DL")</f>
        <v>2130831</v>
      </c>
      <c r="H60" s="157">
        <f>_xll.Get_Balance(H$83,"PTD","USD","Total","A","","001","501140","ED","AN","DL")</f>
        <v>1522366</v>
      </c>
      <c r="I60" s="157">
        <f>_xll.Get_Balance(I$83,"PTD","USD","Total","A","","001","501140","ED","AN","DL")</f>
        <v>574651</v>
      </c>
      <c r="J60" s="157">
        <f>_xll.Get_Balance(J$83,"PTD","USD","Total","A","","001","501140","ED","AN","DL")</f>
        <v>1456675</v>
      </c>
      <c r="K60" s="157">
        <f>_xll.Get_Balance(K$83,"PTD","USD","Total","A","","001","501140","ED","AN","DL")</f>
        <v>847317</v>
      </c>
      <c r="L60" s="157">
        <f>_xll.Get_Balance(L$83,"PTD","USD","Total","A","","001","501140","ED","AN","DL")</f>
        <v>1275042</v>
      </c>
      <c r="M60" s="157">
        <f>_xll.Get_Balance(M$83,"PTD","USD","Total","A","","001","501140","ED","AN","DL")</f>
        <v>1879646</v>
      </c>
      <c r="N60" s="157">
        <f>_xll.Get_Balance(N$83,"PTD","USD","Total","A","","001","501140","ED","AN","DL")</f>
        <v>0</v>
      </c>
      <c r="O60" s="157">
        <f>_xll.Get_Balance(O$83,"PTD","USD","Total","A","","001","501140","ED","AN","DL")</f>
        <v>0</v>
      </c>
      <c r="P60" s="157">
        <f>_xll.Get_Balance(P$83,"PTD","USD","Total","A","","001","501140","ED","AN","DL")</f>
        <v>0</v>
      </c>
      <c r="Q60" s="382"/>
      <c r="R60" s="383">
        <f>SUM(E60:P60)</f>
        <v>12765624</v>
      </c>
    </row>
    <row r="61" spans="1:18">
      <c r="A61" s="255">
        <f>+A60+1</f>
        <v>27</v>
      </c>
      <c r="B61" s="73" t="s">
        <v>163</v>
      </c>
      <c r="C61" s="73"/>
      <c r="D61" s="370">
        <f>SUM(E61:P61)</f>
        <v>248894</v>
      </c>
      <c r="E61" s="157">
        <f>_xll.Get_Balance(E$83,"PTD","USD","Total","A","","001","501160","ED","AN","DL")</f>
        <v>0</v>
      </c>
      <c r="F61" s="157">
        <f>_xll.Get_Balance(F$83,"PTD","USD","Total","A","","001","501160","ED","AN","DL")</f>
        <v>0</v>
      </c>
      <c r="G61" s="157">
        <f>_xll.Get_Balance(G$83,"PTD","USD","Total","A","","001","501160","ED","AN","DL")</f>
        <v>0</v>
      </c>
      <c r="H61" s="157">
        <f>_xll.Get_Balance(H$83,"PTD","USD","Total","A","","001","501160","ED","AN","DL")</f>
        <v>8942</v>
      </c>
      <c r="I61" s="157">
        <f>_xll.Get_Balance(I$83,"PTD","USD","Total","A","","001","501160","ED","AN","DL")</f>
        <v>9180</v>
      </c>
      <c r="J61" s="157">
        <f>_xll.Get_Balance(J$83,"PTD","USD","Total","A","","001","501160","ED","AN","DL")</f>
        <v>48750</v>
      </c>
      <c r="K61" s="157">
        <f>_xll.Get_Balance(K$83,"PTD","USD","Total","A","","001","501160","ED","AN","DL")</f>
        <v>6518</v>
      </c>
      <c r="L61" s="157">
        <f>_xll.Get_Balance(L$83,"PTD","USD","Total","A","","001","501160","ED","AN","DL")</f>
        <v>104521</v>
      </c>
      <c r="M61" s="157">
        <f>_xll.Get_Balance(M$83,"PTD","USD","Total","A","","001","501160","ED","AN","DL")</f>
        <v>70983</v>
      </c>
      <c r="N61" s="157">
        <f>_xll.Get_Balance(N$83,"PTD","USD","Total","A","","001","501160","ED","AN","DL")</f>
        <v>0</v>
      </c>
      <c r="O61" s="157">
        <f>_xll.Get_Balance(O$83,"PTD","USD","Total","A","","001","501160","ED","AN","DL")</f>
        <v>0</v>
      </c>
      <c r="P61" s="157">
        <f>_xll.Get_Balance(P$83,"PTD","USD","Total","A","","001","501160","ED","AN","DL")</f>
        <v>0</v>
      </c>
      <c r="Q61" s="382"/>
      <c r="R61" s="383">
        <f>SUM(E61:P61)</f>
        <v>248894</v>
      </c>
    </row>
    <row r="62" spans="1:18" s="184" customFormat="1" ht="27.75" customHeight="1" thickBot="1">
      <c r="A62" s="367">
        <f>+A61+1</f>
        <v>28</v>
      </c>
      <c r="B62" s="240" t="s">
        <v>225</v>
      </c>
      <c r="C62" s="240"/>
      <c r="D62" s="194">
        <f>SUM(E62:P62)</f>
        <v>17759523</v>
      </c>
      <c r="E62" s="171">
        <f>SUM(E58:E61)</f>
        <v>2809889</v>
      </c>
      <c r="F62" s="171">
        <f t="shared" ref="F62:P62" si="18">SUM(F58:F61)</f>
        <v>1451692</v>
      </c>
      <c r="G62" s="171">
        <f t="shared" si="18"/>
        <v>2809269</v>
      </c>
      <c r="H62" s="171">
        <f t="shared" si="18"/>
        <v>2116433</v>
      </c>
      <c r="I62" s="171">
        <f t="shared" si="18"/>
        <v>593184</v>
      </c>
      <c r="J62" s="171">
        <f t="shared" si="18"/>
        <v>1706688</v>
      </c>
      <c r="K62" s="171">
        <f t="shared" si="18"/>
        <v>1521108</v>
      </c>
      <c r="L62" s="171">
        <f t="shared" si="18"/>
        <v>2093856</v>
      </c>
      <c r="M62" s="171">
        <f t="shared" si="18"/>
        <v>2657404</v>
      </c>
      <c r="N62" s="171">
        <f t="shared" si="18"/>
        <v>0</v>
      </c>
      <c r="O62" s="171">
        <f t="shared" si="18"/>
        <v>0</v>
      </c>
      <c r="P62" s="171">
        <f t="shared" si="18"/>
        <v>0</v>
      </c>
      <c r="Q62" s="384"/>
      <c r="R62" s="369">
        <f>SUM(E62:P62)</f>
        <v>17759523</v>
      </c>
    </row>
    <row r="63" spans="1:18" ht="8.25" customHeight="1" thickTop="1">
      <c r="A63" s="255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378"/>
    </row>
    <row r="64" spans="1:18" ht="18.75" customHeight="1">
      <c r="A64" s="255"/>
      <c r="B64" s="239" t="s">
        <v>28</v>
      </c>
      <c r="C64" s="239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378"/>
    </row>
    <row r="65" spans="1:18">
      <c r="A65" s="255">
        <f>A62+1</f>
        <v>29</v>
      </c>
      <c r="B65" s="71" t="s">
        <v>21</v>
      </c>
      <c r="C65" s="52" t="s">
        <v>264</v>
      </c>
      <c r="D65" s="338">
        <f>SUM(E65:P65)</f>
        <v>401736</v>
      </c>
      <c r="E65" s="385">
        <f>'Input Tab'!C49</f>
        <v>53359</v>
      </c>
      <c r="F65" s="385">
        <f>'Input Tab'!D49</f>
        <v>48502</v>
      </c>
      <c r="G65" s="385">
        <f>'Input Tab'!E49</f>
        <v>58811</v>
      </c>
      <c r="H65" s="385">
        <f>'Input Tab'!F49</f>
        <v>52478</v>
      </c>
      <c r="I65" s="385">
        <f>'Input Tab'!G49</f>
        <v>0</v>
      </c>
      <c r="J65" s="385">
        <f>'Input Tab'!H49</f>
        <v>16710</v>
      </c>
      <c r="K65" s="385">
        <f>'Input Tab'!I49</f>
        <v>56362</v>
      </c>
      <c r="L65" s="385">
        <f>'Input Tab'!J49</f>
        <v>58199</v>
      </c>
      <c r="M65" s="385">
        <f>'Input Tab'!K49</f>
        <v>57315</v>
      </c>
      <c r="N65" s="385">
        <f>'Input Tab'!L49</f>
        <v>0</v>
      </c>
      <c r="O65" s="385">
        <f>'Input Tab'!M49</f>
        <v>0</v>
      </c>
      <c r="P65" s="385">
        <f>'Input Tab'!N49</f>
        <v>0</v>
      </c>
      <c r="Q65" s="378"/>
      <c r="R65" s="63">
        <f>SUM(E65:P65)</f>
        <v>401736</v>
      </c>
    </row>
    <row r="66" spans="1:18">
      <c r="A66" s="255">
        <f>A65+1</f>
        <v>30</v>
      </c>
      <c r="B66" s="71" t="s">
        <v>30</v>
      </c>
      <c r="C66" s="52" t="s">
        <v>263</v>
      </c>
      <c r="D66" s="338">
        <f>SUM(E66:P66)</f>
        <v>610290</v>
      </c>
      <c r="E66" s="385">
        <f>'Input Tab'!C50</f>
        <v>99606</v>
      </c>
      <c r="F66" s="385">
        <f>'Input Tab'!D50</f>
        <v>73063</v>
      </c>
      <c r="G66" s="385">
        <f>'Input Tab'!E50</f>
        <v>96702</v>
      </c>
      <c r="H66" s="385">
        <f>'Input Tab'!F50</f>
        <v>72391</v>
      </c>
      <c r="I66" s="385">
        <f>'Input Tab'!G50</f>
        <v>52614</v>
      </c>
      <c r="J66" s="385">
        <f>'Input Tab'!H50</f>
        <v>61022</v>
      </c>
      <c r="K66" s="385">
        <f>'Input Tab'!I50</f>
        <v>23288</v>
      </c>
      <c r="L66" s="385">
        <f>'Input Tab'!J50</f>
        <v>49111</v>
      </c>
      <c r="M66" s="385">
        <f>'Input Tab'!K50</f>
        <v>82493</v>
      </c>
      <c r="N66" s="385">
        <f>'Input Tab'!L50</f>
        <v>0</v>
      </c>
      <c r="O66" s="385">
        <f>'Input Tab'!M50</f>
        <v>0</v>
      </c>
      <c r="P66" s="385">
        <f>'Input Tab'!N50</f>
        <v>0</v>
      </c>
      <c r="Q66" s="378"/>
      <c r="R66" s="63">
        <f>SUM(E66:P66)</f>
        <v>610290</v>
      </c>
    </row>
    <row r="67" spans="1:18" ht="9" customHeight="1">
      <c r="A67" s="255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378"/>
    </row>
    <row r="68" spans="1:18" ht="21" customHeight="1">
      <c r="A68" s="255"/>
      <c r="B68" s="239" t="s">
        <v>31</v>
      </c>
      <c r="C68" s="239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378"/>
    </row>
    <row r="69" spans="1:18">
      <c r="A69" s="255">
        <f>A66+1</f>
        <v>31</v>
      </c>
      <c r="B69" s="71" t="s">
        <v>21</v>
      </c>
      <c r="D69" s="386" t="s">
        <v>22</v>
      </c>
      <c r="E69" s="387">
        <f>IF(E65=0," ",E58/E65)</f>
        <v>11.74</v>
      </c>
      <c r="F69" s="387">
        <f>IF(F65=0," ",F58/F65)</f>
        <v>11.44</v>
      </c>
      <c r="G69" s="387">
        <f>IF(G65=0," ",G58/G65)</f>
        <v>11.55</v>
      </c>
      <c r="H69" s="387">
        <f t="shared" ref="H69:P69" si="19">IF(H65=0," ",H58/H65)</f>
        <v>11.15</v>
      </c>
      <c r="I69" s="387" t="str">
        <f>IF(I65=0," ",I58/I65)</f>
        <v xml:space="preserve"> </v>
      </c>
      <c r="J69" s="387">
        <f t="shared" si="19"/>
        <v>11.74</v>
      </c>
      <c r="K69" s="387">
        <f>IF(K65=0," ",K58/K65)</f>
        <v>11.82</v>
      </c>
      <c r="L69" s="387">
        <f t="shared" si="19"/>
        <v>12.27</v>
      </c>
      <c r="M69" s="387">
        <f t="shared" si="19"/>
        <v>12.33</v>
      </c>
      <c r="N69" s="387" t="str">
        <f t="shared" si="19"/>
        <v xml:space="preserve"> </v>
      </c>
      <c r="O69" s="387" t="str">
        <f t="shared" si="19"/>
        <v xml:space="preserve"> </v>
      </c>
      <c r="P69" s="387" t="str">
        <f t="shared" si="19"/>
        <v xml:space="preserve"> </v>
      </c>
      <c r="Q69" s="388"/>
      <c r="R69" s="389">
        <f>R58/R65</f>
        <v>11.8</v>
      </c>
    </row>
    <row r="70" spans="1:18">
      <c r="A70" s="255">
        <f>A69+1</f>
        <v>32</v>
      </c>
      <c r="B70" s="71" t="s">
        <v>24</v>
      </c>
      <c r="D70" s="255" t="s">
        <v>23</v>
      </c>
      <c r="E70" s="387">
        <f>IF(E66=0," ",E60/E66)</f>
        <v>21.92</v>
      </c>
      <c r="F70" s="387">
        <f>IF(F66=0," ",F60/F66)</f>
        <v>12.26</v>
      </c>
      <c r="G70" s="387">
        <f t="shared" ref="G70:P70" si="20">IF(G66=0," ",G60/G66)</f>
        <v>22.04</v>
      </c>
      <c r="H70" s="387">
        <f t="shared" si="20"/>
        <v>21.03</v>
      </c>
      <c r="I70" s="387">
        <f>IF(I66=0," ",I60/I66)</f>
        <v>10.92</v>
      </c>
      <c r="J70" s="387">
        <f t="shared" si="20"/>
        <v>23.87</v>
      </c>
      <c r="K70" s="387">
        <f t="shared" si="20"/>
        <v>36.380000000000003</v>
      </c>
      <c r="L70" s="387">
        <f t="shared" si="20"/>
        <v>25.96</v>
      </c>
      <c r="M70" s="387">
        <f t="shared" si="20"/>
        <v>22.79</v>
      </c>
      <c r="N70" s="387" t="str">
        <f t="shared" si="20"/>
        <v xml:space="preserve"> </v>
      </c>
      <c r="O70" s="387" t="str">
        <f t="shared" si="20"/>
        <v xml:space="preserve"> </v>
      </c>
      <c r="P70" s="387" t="str">
        <f t="shared" si="20"/>
        <v xml:space="preserve"> </v>
      </c>
      <c r="Q70" s="388"/>
      <c r="R70" s="389">
        <f>R60/R66</f>
        <v>20.92</v>
      </c>
    </row>
    <row r="71" spans="1:18">
      <c r="A71" s="255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378"/>
    </row>
    <row r="72" spans="1:18">
      <c r="A72" s="255"/>
      <c r="B72" s="239" t="s">
        <v>25</v>
      </c>
      <c r="C72" s="239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378"/>
    </row>
    <row r="73" spans="1:18">
      <c r="A73" s="255">
        <f>A70+1</f>
        <v>33</v>
      </c>
      <c r="B73" s="71" t="s">
        <v>183</v>
      </c>
      <c r="D73" s="370">
        <f t="shared" ref="D73:D79" si="21">SUM(E73:P73)</f>
        <v>30585</v>
      </c>
      <c r="E73" s="157">
        <f>_xll.Get_Balance(E$83,"PTD","USD","Total","A","","001","547213","ED","AN","DL")</f>
        <v>2244</v>
      </c>
      <c r="F73" s="157">
        <f>_xll.Get_Balance(F$83,"PTD","USD","Total","A","","001","547213","ED","AN","DL")</f>
        <v>11535</v>
      </c>
      <c r="G73" s="157">
        <f>_xll.Get_Balance(G$83,"PTD","USD","Total","A","","001","547213","ED","AN","DL")</f>
        <v>1931</v>
      </c>
      <c r="H73" s="157">
        <f>_xll.Get_Balance(H$83,"PTD","USD","Total","A","","001","547213","ED","AN","DL")</f>
        <v>1504</v>
      </c>
      <c r="I73" s="157">
        <f>_xll.Get_Balance(I$83,"PTD","USD","Total","A","","001","547213","ED","AN","DL")</f>
        <v>1164</v>
      </c>
      <c r="J73" s="157">
        <f>_xll.Get_Balance(J$83,"PTD","USD","Total","A","","001","547213","ED","AN","DL")</f>
        <v>8398</v>
      </c>
      <c r="K73" s="157">
        <f>_xll.Get_Balance(K$83,"PTD","USD","Total","A","","001","547213","ED","AN","DL")</f>
        <v>1300</v>
      </c>
      <c r="L73" s="157">
        <f>_xll.Get_Balance(L$83,"PTD","USD","Total","A","","001","547213","ED","AN","DL")</f>
        <v>1328</v>
      </c>
      <c r="M73" s="157">
        <f>_xll.Get_Balance(M$83,"PTD","USD","Total","A","","001","547213","ED","AN","DL")</f>
        <v>1181</v>
      </c>
      <c r="N73" s="157">
        <f>_xll.Get_Balance(N$83,"PTD","USD","Total","A","","001","547213","ED","AN","DL")</f>
        <v>0</v>
      </c>
      <c r="O73" s="157">
        <f>_xll.Get_Balance(O$83,"PTD","USD","Total","A","","001","547213","ED","AN","DL")</f>
        <v>0</v>
      </c>
      <c r="P73" s="157">
        <f>_xll.Get_Balance(P$83,"PTD","USD","Total","A","","001","547213","ED","AN","DL")</f>
        <v>0</v>
      </c>
      <c r="Q73" s="390"/>
      <c r="R73" s="391">
        <f t="shared" ref="R73:R78" si="22">SUM(E73:P73)</f>
        <v>30585</v>
      </c>
    </row>
    <row r="74" spans="1:18">
      <c r="A74" s="255">
        <f t="shared" ref="A74:A79" si="23">A73+1</f>
        <v>34</v>
      </c>
      <c r="B74" s="71" t="s">
        <v>176</v>
      </c>
      <c r="D74" s="370">
        <f t="shared" si="21"/>
        <v>640137</v>
      </c>
      <c r="E74" s="157">
        <f>_xll.Get_Balance(E$83,"PTD","USD","Total","A","","001","547216","ED","AN","DL")</f>
        <v>9587</v>
      </c>
      <c r="F74" s="157">
        <f>_xll.Get_Balance(F$83,"PTD","USD","Total","A","","001","547216","ED","AN","DL")</f>
        <v>32574</v>
      </c>
      <c r="G74" s="157">
        <f>_xll.Get_Balance(G$83,"PTD","USD","Total","A","","001","547216","ED","AN","DL")</f>
        <v>14367</v>
      </c>
      <c r="H74" s="157">
        <f>_xll.Get_Balance(H$83,"PTD","USD","Total","A","","001","547216","ED","AN","DL")</f>
        <v>16430</v>
      </c>
      <c r="I74" s="157">
        <f>_xll.Get_Balance(I$83,"PTD","USD","Total","A","","001","547216","ED","AN","DL")</f>
        <v>49935</v>
      </c>
      <c r="J74" s="157">
        <f>_xll.Get_Balance(J$83,"PTD","USD","Total","A","","001","547216","ED","AN","DL")</f>
        <v>27262</v>
      </c>
      <c r="K74" s="157">
        <f>_xll.Get_Balance(K$83,"PTD","USD","Total","A","","001","547216","ED","AN","DL")</f>
        <v>161056</v>
      </c>
      <c r="L74" s="157">
        <f>_xll.Get_Balance(L$83,"PTD","USD","Total","A","","001","547216","ED","AN","DL")</f>
        <v>186465</v>
      </c>
      <c r="M74" s="157">
        <f>_xll.Get_Balance(M$83,"PTD","USD","Total","A","","001","547216","ED","AN","DL")</f>
        <v>142461</v>
      </c>
      <c r="N74" s="157">
        <f>_xll.Get_Balance(N$83,"PTD","USD","Total","A","","001","547216","ED","AN","DL")</f>
        <v>0</v>
      </c>
      <c r="O74" s="157">
        <f>_xll.Get_Balance(O$83,"PTD","USD","Total","A","","001","547216","ED","AN","DL")</f>
        <v>0</v>
      </c>
      <c r="P74" s="157">
        <f>_xll.Get_Balance(P$83,"PTD","USD","Total","A","","001","547216","ED","AN","DL")</f>
        <v>0</v>
      </c>
      <c r="Q74" s="390"/>
      <c r="R74" s="391">
        <f t="shared" si="22"/>
        <v>640137</v>
      </c>
    </row>
    <row r="75" spans="1:18">
      <c r="A75" s="255">
        <f t="shared" si="23"/>
        <v>35</v>
      </c>
      <c r="B75" s="71" t="s">
        <v>175</v>
      </c>
      <c r="D75" s="370">
        <f t="shared" si="21"/>
        <v>160227</v>
      </c>
      <c r="E75" s="157">
        <f>_xll.Get_Balance(E83,"PTD","USD","Total","A","","001","547211","ED","AN","DL")</f>
        <v>5</v>
      </c>
      <c r="F75" s="157">
        <f>_xll.Get_Balance(F83,"PTD","USD","Total","A","","001","547211","ED","AN","DL")</f>
        <v>4249</v>
      </c>
      <c r="G75" s="157">
        <f>_xll.Get_Balance(G83,"PTD","USD","Total","A","","001","547211","ED","AN","DL")</f>
        <v>1968</v>
      </c>
      <c r="H75" s="157">
        <f>_xll.Get_Balance(H83,"PTD","USD","Total","A","","001","547211","ED","AN","DL")</f>
        <v>5147</v>
      </c>
      <c r="I75" s="157">
        <f>_xll.Get_Balance(I83,"PTD","USD","Total","A","","001","547211","ED","AN","DL")</f>
        <v>1935</v>
      </c>
      <c r="J75" s="157">
        <f>_xll.Get_Balance(J83,"PTD","USD","Total","A","","001","547211","ED","AN","DL")</f>
        <v>2105</v>
      </c>
      <c r="K75" s="157">
        <f>_xll.Get_Balance(K83,"PTD","USD","Total","A","","001","547211","ED","AN","DL")</f>
        <v>48328</v>
      </c>
      <c r="L75" s="157">
        <f>_xll.Get_Balance(L83,"PTD","USD","Total","A","","001","547211","ED","AN","DL")</f>
        <v>61499</v>
      </c>
      <c r="M75" s="157">
        <f>_xll.Get_Balance(M83,"PTD","USD","Total","A","","001","547211","ED","AN","DL")</f>
        <v>34991</v>
      </c>
      <c r="N75" s="157">
        <f>_xll.Get_Balance(N83,"PTD","USD","Total","A","","001","547211","ED","AN","DL")</f>
        <v>0</v>
      </c>
      <c r="O75" s="157">
        <f>_xll.Get_Balance(O83,"PTD","USD","Total","A","","001","547211","ED","AN","DL")</f>
        <v>0</v>
      </c>
      <c r="P75" s="157">
        <f>_xll.Get_Balance(P83,"PTD","USD","Total","A","","001","547211","ED","AN","DL")</f>
        <v>0</v>
      </c>
      <c r="Q75" s="390"/>
      <c r="R75" s="391">
        <f t="shared" si="22"/>
        <v>160227</v>
      </c>
    </row>
    <row r="76" spans="1:18">
      <c r="A76" s="255">
        <f t="shared" si="23"/>
        <v>36</v>
      </c>
      <c r="B76" s="71" t="s">
        <v>177</v>
      </c>
      <c r="D76" s="370">
        <f t="shared" si="21"/>
        <v>22804278</v>
      </c>
      <c r="E76" s="157">
        <f>_xll.Get_Balance(E$83,"PTD","USD","Total","A","","001","547610","ED","AN","DL")</f>
        <v>3721117</v>
      </c>
      <c r="F76" s="157">
        <f>_xll.Get_Balance(F$83,"PTD","USD","Total","A","","001","547610","ED","AN","DL")</f>
        <v>2449832</v>
      </c>
      <c r="G76" s="157">
        <f>_xll.Get_Balance(G$83,"PTD","USD","Total","A","","001","547610","ED","AN","DL")</f>
        <v>3201306</v>
      </c>
      <c r="H76" s="157">
        <f>_xll.Get_Balance(H$83,"PTD","USD","Total","A","","001","547610","ED","AN","DL")</f>
        <v>2230502</v>
      </c>
      <c r="I76" s="157">
        <f>_xll.Get_Balance(I$83,"PTD","USD","Total","A","","001","547610","ED","AN","DL")</f>
        <v>619692</v>
      </c>
      <c r="J76" s="157">
        <f>_xll.Get_Balance(J$83,"PTD","USD","Total","A","","001","547610","ED","AN","DL")</f>
        <v>1250902</v>
      </c>
      <c r="K76" s="157">
        <f>_xll.Get_Balance(K$83,"PTD","USD","Total","A","","001","547610","ED","AN","DL")</f>
        <v>3342340</v>
      </c>
      <c r="L76" s="157">
        <f>_xll.Get_Balance(L$83,"PTD","USD","Total","A","","001","547610","ED","AN","DL")</f>
        <v>3561575</v>
      </c>
      <c r="M76" s="157">
        <f>_xll.Get_Balance(M$83,"PTD","USD","Total","A","","001","547610","ED","AN","DL")</f>
        <v>2427012</v>
      </c>
      <c r="N76" s="157">
        <f>_xll.Get_Balance(N$83,"PTD","USD","Total","A","","001","547610","ED","AN","DL")</f>
        <v>0</v>
      </c>
      <c r="O76" s="157">
        <f>_xll.Get_Balance(O$83,"PTD","USD","Total","A","","001","547610","ED","AN","DL")</f>
        <v>0</v>
      </c>
      <c r="P76" s="157">
        <f>_xll.Get_Balance(P$83,"PTD","USD","Total","A","","001","547610","ED","AN","DL")</f>
        <v>0</v>
      </c>
      <c r="Q76" s="390"/>
      <c r="R76" s="391">
        <f t="shared" si="22"/>
        <v>22804278</v>
      </c>
    </row>
    <row r="77" spans="1:18">
      <c r="A77" s="255">
        <f>A76+1</f>
        <v>37</v>
      </c>
      <c r="B77" s="52" t="s">
        <v>189</v>
      </c>
      <c r="C77" s="52"/>
      <c r="D77" s="370">
        <f t="shared" si="21"/>
        <v>20990453</v>
      </c>
      <c r="E77" s="157">
        <f>_xll.Get_Balance(E$83,"PTD","USD","Total","A","","001","547312","ED","AN","DL")</f>
        <v>3228167</v>
      </c>
      <c r="F77" s="157">
        <f>_xll.Get_Balance(F$83,"PTD","USD","Total","A","","001","547312","ED","AN","DL")</f>
        <v>2007130</v>
      </c>
      <c r="G77" s="157">
        <f>_xll.Get_Balance(G$83,"PTD","USD","Total","A","","001","547312","ED","AN","DL")</f>
        <v>3075485</v>
      </c>
      <c r="H77" s="157">
        <f>_xll.Get_Balance(H$83,"PTD","USD","Total","A","","001","547312","ED","AN","DL")</f>
        <v>1912297</v>
      </c>
      <c r="I77" s="157">
        <f>_xll.Get_Balance(I$83,"PTD","USD","Total","A","","001","547312","ED","AN","DL")</f>
        <v>1066080</v>
      </c>
      <c r="J77" s="157">
        <f>_xll.Get_Balance(J$83,"PTD","USD","Total","A","","001","547312","ED","AN","DL")</f>
        <v>925950</v>
      </c>
      <c r="K77" s="157">
        <f>_xll.Get_Balance(K$83,"PTD","USD","Total","A","","001","547312","ED","AN","DL")</f>
        <v>3017772</v>
      </c>
      <c r="L77" s="157">
        <f>_xll.Get_Balance(L$83,"PTD","USD","Total","A","","001","547312","ED","AN","DL")</f>
        <v>2993539</v>
      </c>
      <c r="M77" s="157">
        <f>_xll.Get_Balance(M$83,"PTD","USD","Total","A","","001","547312","ED","AN","DL")</f>
        <v>2764033</v>
      </c>
      <c r="N77" s="157">
        <f>_xll.Get_Balance(N$83,"PTD","USD","Total","A","","001","547312","ED","AN","DL")</f>
        <v>0</v>
      </c>
      <c r="O77" s="157">
        <f>_xll.Get_Balance(O$83,"PTD","USD","Total","A","","001","547312","ED","AN","DL")</f>
        <v>0</v>
      </c>
      <c r="P77" s="157">
        <f>_xll.Get_Balance(P$83,"PTD","USD","Total","A","","001","547312","ED","AN","DL")</f>
        <v>0</v>
      </c>
      <c r="Q77" s="390"/>
      <c r="R77" s="391">
        <f>SUM(E77:P77)</f>
        <v>20990453</v>
      </c>
    </row>
    <row r="78" spans="1:18">
      <c r="A78" s="255">
        <f>A77+1</f>
        <v>38</v>
      </c>
      <c r="B78" s="242" t="s">
        <v>178</v>
      </c>
      <c r="C78" s="242"/>
      <c r="D78" s="370">
        <f t="shared" si="21"/>
        <v>2482690</v>
      </c>
      <c r="E78" s="180">
        <f>_xll.Get_Balance(E$83,"PTD","USD","Total","A","","001","547310","ED","AN","DL")</f>
        <v>3176</v>
      </c>
      <c r="F78" s="180">
        <f>_xll.Get_Balance(F$83,"PTD","USD","Total","A","","001","547310","ED","AN","DL")</f>
        <v>59358</v>
      </c>
      <c r="G78" s="180">
        <f>_xll.Get_Balance(G$83,"PTD","USD","Total","A","","001","547310","ED","AN","DL")</f>
        <v>18349</v>
      </c>
      <c r="H78" s="180">
        <f>_xll.Get_Balance(H$83,"PTD","USD","Total","A","","001","547310","ED","AN","DL")</f>
        <v>65122</v>
      </c>
      <c r="I78" s="180">
        <f>_xll.Get_Balance(I$83,"PTD","USD","Total","A","","001","547310","ED","AN","DL")</f>
        <v>138016</v>
      </c>
      <c r="J78" s="180">
        <f>_xll.Get_Balance(J$83,"PTD","USD","Total","A","","001","547310","ED","AN","DL")</f>
        <v>20335</v>
      </c>
      <c r="K78" s="180">
        <f>_xll.Get_Balance(K$83,"PTD","USD","Total","A","","001","547310","ED","AN","DL")</f>
        <v>806059</v>
      </c>
      <c r="L78" s="180">
        <f>_xll.Get_Balance(L$83,"PTD","USD","Total","A","","001","547310","ED","AN","DL")</f>
        <v>904957</v>
      </c>
      <c r="M78" s="180">
        <f>_xll.Get_Balance(M$83,"PTD","USD","Total","A","","001","547310","ED","AN","DL")</f>
        <v>467318</v>
      </c>
      <c r="N78" s="180">
        <f>_xll.Get_Balance(N$83,"PTD","USD","Total","A","","001","547310","ED","AN","DL")</f>
        <v>0</v>
      </c>
      <c r="O78" s="180">
        <f>_xll.Get_Balance(O$83,"PTD","USD","Total","A","","001","547310","ED","AN","DL")</f>
        <v>0</v>
      </c>
      <c r="P78" s="180">
        <f>_xll.Get_Balance(P$83,"PTD","USD","Total","A","","001","547310","ED","AN","DL")</f>
        <v>0</v>
      </c>
      <c r="Q78" s="390"/>
      <c r="R78" s="392">
        <f t="shared" si="22"/>
        <v>2482690</v>
      </c>
    </row>
    <row r="79" spans="1:18" s="184" customFormat="1" ht="21.75" customHeight="1">
      <c r="A79" s="367">
        <f t="shared" si="23"/>
        <v>39</v>
      </c>
      <c r="B79" s="240" t="s">
        <v>224</v>
      </c>
      <c r="C79" s="240"/>
      <c r="D79" s="194">
        <f t="shared" si="21"/>
        <v>47108370</v>
      </c>
      <c r="E79" s="171">
        <f t="shared" ref="E79:P79" si="24">SUM(E73:E78)</f>
        <v>6964296</v>
      </c>
      <c r="F79" s="171">
        <f t="shared" si="24"/>
        <v>4564678</v>
      </c>
      <c r="G79" s="171">
        <f t="shared" si="24"/>
        <v>6313406</v>
      </c>
      <c r="H79" s="171">
        <f t="shared" si="24"/>
        <v>4231002</v>
      </c>
      <c r="I79" s="171">
        <f t="shared" si="24"/>
        <v>1876822</v>
      </c>
      <c r="J79" s="171">
        <f t="shared" si="24"/>
        <v>2234952</v>
      </c>
      <c r="K79" s="171">
        <f t="shared" si="24"/>
        <v>7376855</v>
      </c>
      <c r="L79" s="171">
        <f t="shared" si="24"/>
        <v>7709363</v>
      </c>
      <c r="M79" s="171">
        <f t="shared" si="24"/>
        <v>5836996</v>
      </c>
      <c r="N79" s="171">
        <f t="shared" si="24"/>
        <v>0</v>
      </c>
      <c r="O79" s="171">
        <f t="shared" si="24"/>
        <v>0</v>
      </c>
      <c r="P79" s="171">
        <f t="shared" si="24"/>
        <v>0</v>
      </c>
      <c r="Q79" s="393"/>
      <c r="R79" s="394">
        <f>SUM(R73:R78)</f>
        <v>47108370</v>
      </c>
    </row>
    <row r="80" spans="1:18" ht="15.75" customHeight="1">
      <c r="A80" s="255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390"/>
      <c r="R80" s="395"/>
    </row>
    <row r="81" spans="1:18" ht="21" customHeight="1">
      <c r="A81" s="367">
        <f>A79+1</f>
        <v>40</v>
      </c>
      <c r="B81" s="243" t="s">
        <v>54</v>
      </c>
      <c r="C81" s="243"/>
      <c r="D81" s="396">
        <f>SUM(E81:P81)</f>
        <v>92861601</v>
      </c>
      <c r="E81" s="171">
        <f t="shared" ref="E81:P81" si="25">E23+E45+E62+E79</f>
        <v>12579922</v>
      </c>
      <c r="F81" s="171">
        <f t="shared" si="25"/>
        <v>11757943</v>
      </c>
      <c r="G81" s="171">
        <f t="shared" si="25"/>
        <v>10226126</v>
      </c>
      <c r="H81" s="171">
        <f t="shared" si="25"/>
        <v>6355700</v>
      </c>
      <c r="I81" s="171">
        <f t="shared" si="25"/>
        <v>3621342</v>
      </c>
      <c r="J81" s="171">
        <f t="shared" si="25"/>
        <v>4641080</v>
      </c>
      <c r="K81" s="171">
        <f t="shared" si="25"/>
        <v>13501244</v>
      </c>
      <c r="L81" s="171">
        <f t="shared" si="25"/>
        <v>16839185</v>
      </c>
      <c r="M81" s="171">
        <f t="shared" si="25"/>
        <v>13274961</v>
      </c>
      <c r="N81" s="171">
        <f t="shared" si="25"/>
        <v>0</v>
      </c>
      <c r="O81" s="171">
        <f t="shared" si="25"/>
        <v>31525</v>
      </c>
      <c r="P81" s="171">
        <f t="shared" si="25"/>
        <v>32573</v>
      </c>
      <c r="Q81" s="397"/>
      <c r="R81" s="398">
        <f>R23-R45+R62+R79</f>
        <v>244871181</v>
      </c>
    </row>
    <row r="82" spans="1:18" ht="12" customHeight="1"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378"/>
    </row>
    <row r="83" spans="1:18" outlineLevel="1">
      <c r="B83" s="244" t="s">
        <v>29</v>
      </c>
      <c r="C83" s="244"/>
      <c r="E83" s="399">
        <v>201801</v>
      </c>
      <c r="F83" s="399">
        <v>201802</v>
      </c>
      <c r="G83" s="399">
        <v>201803</v>
      </c>
      <c r="H83" s="399">
        <v>201804</v>
      </c>
      <c r="I83" s="399">
        <v>201805</v>
      </c>
      <c r="J83" s="399">
        <v>201806</v>
      </c>
      <c r="K83" s="399">
        <v>201807</v>
      </c>
      <c r="L83" s="399">
        <v>201808</v>
      </c>
      <c r="M83" s="399">
        <v>201809</v>
      </c>
      <c r="N83" s="399">
        <v>201810</v>
      </c>
      <c r="O83" s="399">
        <v>201811</v>
      </c>
      <c r="P83" s="399">
        <v>201812</v>
      </c>
      <c r="Q83" s="378"/>
    </row>
    <row r="84" spans="1:18">
      <c r="B84" s="245" t="s">
        <v>231</v>
      </c>
      <c r="C84" s="245"/>
      <c r="D84" s="400"/>
      <c r="E84" s="375"/>
      <c r="F84" s="176"/>
      <c r="G84" s="401"/>
      <c r="H84" s="401"/>
      <c r="I84" s="401"/>
      <c r="J84" s="401"/>
      <c r="K84" s="401"/>
      <c r="L84" s="401"/>
      <c r="M84" s="401"/>
      <c r="N84" s="401"/>
      <c r="O84" s="401"/>
      <c r="P84" s="401"/>
      <c r="Q84" s="378"/>
    </row>
    <row r="85" spans="1:18">
      <c r="A85" s="255">
        <f>A81+1</f>
        <v>41</v>
      </c>
      <c r="B85" s="244" t="s">
        <v>156</v>
      </c>
      <c r="C85" s="244"/>
      <c r="D85" s="220">
        <f t="shared" ref="D85:D92" si="26">SUM(E85:P85)</f>
        <v>-8924656</v>
      </c>
      <c r="E85" s="157">
        <f>_xll.Get_Balance(E$83,"PTD","USD","Total","A","","001","456100","ED","AN","DL")</f>
        <v>-903780</v>
      </c>
      <c r="F85" s="157">
        <f>_xll.Get_Balance(F$83,"PTD","USD","Total","A","","001","456100","ED","AN","DL")</f>
        <v>-922637</v>
      </c>
      <c r="G85" s="157">
        <f>_xll.Get_Balance(G$83,"PTD","USD","Total","A","","001","456100","ED","AN","DL")</f>
        <v>-658705</v>
      </c>
      <c r="H85" s="157">
        <f>_xll.Get_Balance(H$83,"PTD","USD","Total","A","","001","456100","ED","AN","DL")</f>
        <v>-659155</v>
      </c>
      <c r="I85" s="157">
        <f>_xll.Get_Balance(I$83,"PTD","USD","Total","A","","001","456100","ED","AN","DL")</f>
        <v>-1040681</v>
      </c>
      <c r="J85" s="157">
        <f>_xll.Get_Balance(J$83,"PTD","USD","Total","A","","001","456100","ED","AN","DL")</f>
        <v>-1187805</v>
      </c>
      <c r="K85" s="157">
        <f>_xll.Get_Balance(K$83,"PTD","USD","Total","A","","001","456100","ED","AN","DL")</f>
        <v>-1447941</v>
      </c>
      <c r="L85" s="157">
        <f>_xll.Get_Balance(L$83,"PTD","USD","Total","A","","001","456100","ED","AN","DL")</f>
        <v>-1294522</v>
      </c>
      <c r="M85" s="157">
        <f>_xll.Get_Balance(M$83,"PTD","USD","Total","A","","001","456100","ED","AN","DL")</f>
        <v>-809430</v>
      </c>
      <c r="N85" s="157">
        <f>_xll.Get_Balance(N$83,"PTD","USD","Total","A","","001","456100","ED","AN","DL")</f>
        <v>0</v>
      </c>
      <c r="O85" s="157">
        <f>_xll.Get_Balance(O$83,"PTD","USD","Total","A","","001","456100","ED","AN","DL")</f>
        <v>0</v>
      </c>
      <c r="P85" s="157">
        <f>_xll.Get_Balance(P$83,"PTD","USD","Total","A","","001","456100","ED","AN","DL")</f>
        <v>0</v>
      </c>
      <c r="Q85" s="390"/>
      <c r="R85" s="391">
        <f t="shared" ref="R85:R92" si="27">SUM(E85:P85)</f>
        <v>-8924656</v>
      </c>
    </row>
    <row r="86" spans="1:18">
      <c r="A86" s="255">
        <v>45</v>
      </c>
      <c r="B86" s="244" t="s">
        <v>286</v>
      </c>
      <c r="C86" s="244"/>
      <c r="D86" s="220">
        <f t="shared" si="26"/>
        <v>-693000</v>
      </c>
      <c r="E86" s="231">
        <f>_xll.Get_Balance(E$83,"PTD","USD","Total","A","","001","456120","ED","AN","DL")</f>
        <v>-77000</v>
      </c>
      <c r="F86" s="231">
        <f>_xll.Get_Balance(F$83,"PTD","USD","Total","A","","001","456120","ED","AN","DL")</f>
        <v>-77000</v>
      </c>
      <c r="G86" s="231">
        <f>_xll.Get_Balance(G$83,"PTD","USD","Total","A","","001","456120","ED","AN","DL")</f>
        <v>-77000</v>
      </c>
      <c r="H86" s="231">
        <f>_xll.Get_Balance(H$83,"PTD","USD","Total","A","","001","456120","ED","AN","DL")</f>
        <v>-77000</v>
      </c>
      <c r="I86" s="231">
        <f>_xll.Get_Balance(I$83,"PTD","USD","Total","A","","001","456120","ED","AN","DL")</f>
        <v>-77000</v>
      </c>
      <c r="J86" s="231">
        <f>_xll.Get_Balance(J$83,"PTD","USD","Total","A","","001","456120","ED","AN","DL")</f>
        <v>-77000</v>
      </c>
      <c r="K86" s="231">
        <f>_xll.Get_Balance(K$83,"PTD","USD","Total","A","","001","456120","ED","AN","DL")</f>
        <v>-77000</v>
      </c>
      <c r="L86" s="231">
        <f>_xll.Get_Balance(L$83,"PTD","USD","Total","A","","001","456120","ED","AN","DL")</f>
        <v>-77000</v>
      </c>
      <c r="M86" s="231">
        <f>_xll.Get_Balance(M$83,"PTD","USD","Total","A","","001","456120","ED","AN","DL")</f>
        <v>-77000</v>
      </c>
      <c r="N86" s="231">
        <f>_xll.Get_Balance(N$83,"PTD","USD","Total","A","","001","456120","ED","AN","DL")</f>
        <v>0</v>
      </c>
      <c r="O86" s="231">
        <f>_xll.Get_Balance(O$83,"PTD","USD","Total","A","","001","456120","ED","AN","DL")</f>
        <v>0</v>
      </c>
      <c r="P86" s="231">
        <f>_xll.Get_Balance(P$83,"PTD","USD","Total","A","","001","456120","ED","AN","DL")</f>
        <v>0</v>
      </c>
      <c r="Q86" s="390"/>
      <c r="R86" s="391">
        <f t="shared" si="27"/>
        <v>-693000</v>
      </c>
    </row>
    <row r="87" spans="1:18">
      <c r="A87" s="255">
        <f>A86+1</f>
        <v>46</v>
      </c>
      <c r="B87" s="244" t="s">
        <v>360</v>
      </c>
      <c r="C87" s="244"/>
      <c r="D87" s="220">
        <f t="shared" si="26"/>
        <v>-195469</v>
      </c>
      <c r="E87" s="157">
        <f>_xll.Get_Balance(E$83,"PTD","USD","Total","A","","001","456020","ED","AN","DL")</f>
        <v>0</v>
      </c>
      <c r="F87" s="157">
        <f>_xll.Get_Balance(F$83,"PTD","USD","Total","A","","001","456020","ED","AN","DL")</f>
        <v>-31909</v>
      </c>
      <c r="G87" s="157">
        <f>_xll.Get_Balance(G$83,"PTD","USD","Total","A","","001","456020","ED","AN","DL")</f>
        <v>6</v>
      </c>
      <c r="H87" s="157">
        <f>_xll.Get_Balance(H$83,"PTD","USD","Total","A","","001","456020","ED","AN","DL")</f>
        <v>-13076</v>
      </c>
      <c r="I87" s="157">
        <f>_xll.Get_Balance(I$83,"PTD","USD","Total","A","","001","456020","ED","AN","DL")</f>
        <v>-119992</v>
      </c>
      <c r="J87" s="157">
        <f>_xll.Get_Balance(J$83,"PTD","USD","Total","A","","001","456020","ED","AN","DL")</f>
        <v>-16868</v>
      </c>
      <c r="K87" s="157">
        <f>_xll.Get_Balance(K$83,"PTD","USD","Total","A","","001","456020","ED","AN","DL")</f>
        <v>-939</v>
      </c>
      <c r="L87" s="157">
        <f>_xll.Get_Balance(L$83,"PTD","USD","Total","A","","001","456020","ED","AN","DL")</f>
        <v>-371</v>
      </c>
      <c r="M87" s="157">
        <f>_xll.Get_Balance(M$83,"PTD","USD","Total","A","","001","456020","ED","AN","DL")</f>
        <v>-12320</v>
      </c>
      <c r="N87" s="157">
        <f>_xll.Get_Balance(N$83,"PTD","USD","Total","A","","001","456020","ED","AN","DL")</f>
        <v>0</v>
      </c>
      <c r="O87" s="157">
        <f>_xll.Get_Balance(O$83,"PTD","USD","Total","A","","001","456020","ED","AN","DL")</f>
        <v>0</v>
      </c>
      <c r="P87" s="157">
        <f>_xll.Get_Balance(P$83,"PTD","USD","Total","A","","001","456020","ED","AN","DL")</f>
        <v>0</v>
      </c>
      <c r="Q87" s="157"/>
      <c r="R87" s="391">
        <f t="shared" si="27"/>
        <v>-195469</v>
      </c>
    </row>
    <row r="88" spans="1:18">
      <c r="A88" s="255">
        <f>+A87+1</f>
        <v>47</v>
      </c>
      <c r="B88" s="244" t="s">
        <v>359</v>
      </c>
      <c r="C88" s="244"/>
      <c r="D88" s="220">
        <f t="shared" si="26"/>
        <v>-1770260</v>
      </c>
      <c r="E88" s="157">
        <f>_xll.Get_Balance(E$83,"PTD","USD","Total","A","","001","456130","ED","AN","DL")</f>
        <v>-213305</v>
      </c>
      <c r="F88" s="157">
        <f>_xll.Get_Balance(F$83,"PTD","USD","Total","A","","001","456130","ED","AN","DL")</f>
        <v>-248240</v>
      </c>
      <c r="G88" s="157">
        <f>_xll.Get_Balance(G$83,"PTD","USD","Total","A","","001","456130","ED","AN","DL")</f>
        <v>-197702</v>
      </c>
      <c r="H88" s="157">
        <f>_xll.Get_Balance(H$83,"PTD","USD","Total","A","","001","456130","ED","AN","DL")</f>
        <v>-182889</v>
      </c>
      <c r="I88" s="157">
        <f>_xll.Get_Balance(I$83,"PTD","USD","Total","A","","001","456130","ED","AN","DL")</f>
        <v>-168311</v>
      </c>
      <c r="J88" s="157">
        <f>_xll.Get_Balance(J$83,"PTD","USD","Total","A","","001","456130","ED","AN","DL")</f>
        <v>-169612</v>
      </c>
      <c r="K88" s="157">
        <f>_xll.Get_Balance(K$83,"PTD","USD","Total","A","","001","456130","ED","AN","DL")</f>
        <v>-210888</v>
      </c>
      <c r="L88" s="157">
        <f>_xll.Get_Balance(L$83,"PTD","USD","Total","A","","001","456130","ED","AN","DL")</f>
        <v>-216324</v>
      </c>
      <c r="M88" s="157">
        <f>_xll.Get_Balance(M$83,"PTD","USD","Total","A","","001","456130","ED","AN","DL")</f>
        <v>-162989</v>
      </c>
      <c r="N88" s="157">
        <f>_xll.Get_Balance(N$83,"PTD","USD","Total","A","","001","456130","ED","AN","DL")</f>
        <v>0</v>
      </c>
      <c r="O88" s="157">
        <f>_xll.Get_Balance(O$83,"PTD","USD","Total","A","","001","456130","ED","AN","DL")</f>
        <v>0</v>
      </c>
      <c r="P88" s="157">
        <f>_xll.Get_Balance(P$83,"PTD","USD","Total","A","","001","456130","ED","AN","DL")</f>
        <v>0</v>
      </c>
      <c r="Q88" s="390"/>
      <c r="R88" s="391">
        <f t="shared" si="27"/>
        <v>-1770260</v>
      </c>
    </row>
    <row r="89" spans="1:18">
      <c r="A89" s="255">
        <f>+A88+1</f>
        <v>48</v>
      </c>
      <c r="B89" s="52" t="s">
        <v>289</v>
      </c>
      <c r="C89" s="52"/>
      <c r="D89" s="196">
        <f>SUM(E89:P89)</f>
        <v>-45180</v>
      </c>
      <c r="E89" s="197">
        <f>_xll.Get_Balance(E$83,"PTD","USD","Total","A","","001","456017","ED","AN","DL")</f>
        <v>-5020</v>
      </c>
      <c r="F89" s="197">
        <f>_xll.Get_Balance(F$83,"PTD","USD","Total","A","","001","456017","ED","AN","DL")</f>
        <v>-5020</v>
      </c>
      <c r="G89" s="197">
        <f>_xll.Get_Balance(G$83,"PTD","USD","Total","A","","001","456017","ED","AN","DL")</f>
        <v>-5020</v>
      </c>
      <c r="H89" s="197">
        <f>_xll.Get_Balance(H$83,"PTD","USD","Total","A","","001","456017","ED","AN","DL")</f>
        <v>-5020</v>
      </c>
      <c r="I89" s="197">
        <f>_xll.Get_Balance(I$83,"PTD","USD","Total","A","","001","456017","ED","AN","DL")</f>
        <v>-5020</v>
      </c>
      <c r="J89" s="197">
        <f>_xll.Get_Balance(J$83,"PTD","USD","Total","A","","001","456017","ED","AN","DL")</f>
        <v>-5020</v>
      </c>
      <c r="K89" s="197">
        <f>_xll.Get_Balance(K$83,"PTD","USD","Total","A","","001","456017","ED","AN","DL")</f>
        <v>-5020</v>
      </c>
      <c r="L89" s="197">
        <f>_xll.Get_Balance(L$83,"PTD","USD","Total","A","","001","456017","ED","AN","DL")</f>
        <v>-5020</v>
      </c>
      <c r="M89" s="197">
        <f>_xll.Get_Balance(M$83,"PTD","USD","Total","A","","001","456017","ED","AN","DL")</f>
        <v>-5020</v>
      </c>
      <c r="N89" s="197">
        <f>_xll.Get_Balance(N$83,"PTD","USD","Total","A","","001","456017","ED","AN","DL")</f>
        <v>0</v>
      </c>
      <c r="O89" s="197">
        <f>_xll.Get_Balance(O$83,"PTD","USD","Total","A","","001","456017","ED","AN","DL")</f>
        <v>0</v>
      </c>
      <c r="P89" s="197">
        <f>_xll.Get_Balance(P$83,"PTD","USD","Total","A","","001","456017","ED","AN","DL")</f>
        <v>0</v>
      </c>
      <c r="Q89" s="390"/>
      <c r="R89" s="391">
        <f t="shared" si="27"/>
        <v>-45180</v>
      </c>
    </row>
    <row r="90" spans="1:18">
      <c r="A90" s="255">
        <f>+A89+1</f>
        <v>49</v>
      </c>
      <c r="B90" s="265" t="s">
        <v>376</v>
      </c>
      <c r="C90" s="244"/>
      <c r="D90" s="220">
        <f t="shared" si="26"/>
        <v>-79029</v>
      </c>
      <c r="E90" s="157">
        <f>_xll.Get_Balance(E$83,"PTD","USD","Total","A","","001","456700","ED","WA","DL")</f>
        <v>-8781</v>
      </c>
      <c r="F90" s="157">
        <f>_xll.Get_Balance(F$83,"PTD","USD","Total","A","","001","456700","ED","WA","DL")</f>
        <v>-8781</v>
      </c>
      <c r="G90" s="157">
        <f>_xll.Get_Balance(G$83,"PTD","USD","Total","A","","001","456700","ED","WA","DL")</f>
        <v>-8781</v>
      </c>
      <c r="H90" s="157">
        <f>_xll.Get_Balance(H$83,"PTD","USD","Total","A","","001","456700","ED","WA","DL")</f>
        <v>-8781</v>
      </c>
      <c r="I90" s="157">
        <f>_xll.Get_Balance(I$83,"PTD","USD","Total","A","","001","456700","ED","WA","DL")</f>
        <v>-8781</v>
      </c>
      <c r="J90" s="157">
        <f>_xll.Get_Balance(J$83,"PTD","USD","Total","A","","001","456700","ED","WA","DL")</f>
        <v>-8781</v>
      </c>
      <c r="K90" s="157">
        <f>_xll.Get_Balance(K$83,"PTD","USD","Total","A","","001","456700","ED","WA","DL")</f>
        <v>-8781</v>
      </c>
      <c r="L90" s="157">
        <f>_xll.Get_Balance(L$83,"PTD","USD","Total","A","","001","456700","ED","WA","DL")</f>
        <v>-8781</v>
      </c>
      <c r="M90" s="157">
        <f>_xll.Get_Balance(M$83,"PTD","USD","Total","A","","001","456700","ED","WA","DL")</f>
        <v>-8781</v>
      </c>
      <c r="N90" s="157">
        <f>_xll.Get_Balance(N$83,"PTD","USD","Total","A","","001","456700","ED","WA","DL")</f>
        <v>0</v>
      </c>
      <c r="O90" s="157">
        <f>_xll.Get_Balance(O$83,"PTD","USD","Total","A","","001","456700","ED","WA","DL")</f>
        <v>0</v>
      </c>
      <c r="P90" s="157">
        <f>_xll.Get_Balance(P$83,"PTD","USD","Total","A","","001","456700","ED","WA","DL")</f>
        <v>0</v>
      </c>
      <c r="Q90" s="402"/>
      <c r="R90" s="391">
        <f t="shared" si="27"/>
        <v>-79029</v>
      </c>
    </row>
    <row r="91" spans="1:18">
      <c r="A91" s="255">
        <f>+A90+1</f>
        <v>50</v>
      </c>
      <c r="B91" s="246" t="s">
        <v>290</v>
      </c>
      <c r="C91" s="246" t="s">
        <v>246</v>
      </c>
      <c r="D91" s="220">
        <f t="shared" si="26"/>
        <v>-1328047</v>
      </c>
      <c r="E91" s="180">
        <f>_xll.Get_Balance(E$83,"PTD","USD","Total","A","","001","456705","ED","AN","DL")</f>
        <v>-138578</v>
      </c>
      <c r="F91" s="180">
        <f>_xll.Get_Balance(F$83,"PTD","USD","Total","A","","001","456705","ED","AN","DL")</f>
        <v>-138578</v>
      </c>
      <c r="G91" s="180">
        <f>_xll.Get_Balance(G$83,"PTD","USD","Total","A","","001","456705","ED","AN","DL")</f>
        <v>-138578</v>
      </c>
      <c r="H91" s="180">
        <f>_xll.Get_Balance(H$83,"PTD","USD","Total","A","","001","456705","ED","AN","DL")</f>
        <v>-138578</v>
      </c>
      <c r="I91" s="180">
        <f>_xll.Get_Balance(I$83,"PTD","USD","Total","A","","001","456705","ED","AN","DL")</f>
        <v>-138578</v>
      </c>
      <c r="J91" s="180">
        <f>_xll.Get_Balance(J$83,"PTD","USD","Total","A","","001","456705","ED","AN","DL")</f>
        <v>-215238</v>
      </c>
      <c r="K91" s="180">
        <f>_xll.Get_Balance(K$83,"PTD","USD","Total","A","","001","456705","ED","AN","DL")</f>
        <v>-139973</v>
      </c>
      <c r="L91" s="180">
        <f>_xll.Get_Balance(L$83,"PTD","USD","Total","A","","001","456705","ED","AN","DL")</f>
        <v>-139973</v>
      </c>
      <c r="M91" s="180">
        <f>_xll.Get_Balance(M$83,"PTD","USD","Total","A","","001","456705","ED","AN","DL")</f>
        <v>-139973</v>
      </c>
      <c r="N91" s="180">
        <f>_xll.Get_Balance(N$83,"PTD","USD","Total","A","","001","456705","ED","AN","DL")</f>
        <v>0</v>
      </c>
      <c r="O91" s="180">
        <f>_xll.Get_Balance(O$83,"PTD","USD","Total","A","","001","456705","ED","AN","DL")</f>
        <v>0</v>
      </c>
      <c r="P91" s="180">
        <f>_xll.Get_Balance(P$83,"PTD","USD","Total","A","","001","456705","ED","AN","DL")</f>
        <v>0</v>
      </c>
      <c r="Q91" s="390"/>
      <c r="R91" s="392">
        <f t="shared" si="27"/>
        <v>-1328047</v>
      </c>
    </row>
    <row r="92" spans="1:18" s="184" customFormat="1" ht="20.25" customHeight="1">
      <c r="A92" s="367">
        <f>A91+1</f>
        <v>51</v>
      </c>
      <c r="B92" s="247" t="s">
        <v>230</v>
      </c>
      <c r="C92" s="247"/>
      <c r="D92" s="194">
        <f t="shared" si="26"/>
        <v>-13035641</v>
      </c>
      <c r="E92" s="194">
        <f>SUM(E85:E91)</f>
        <v>-1346464</v>
      </c>
      <c r="F92" s="194">
        <f t="shared" ref="F92:P92" si="28">SUM(F85:F91)</f>
        <v>-1432165</v>
      </c>
      <c r="G92" s="194">
        <f t="shared" si="28"/>
        <v>-1085780</v>
      </c>
      <c r="H92" s="194">
        <f t="shared" si="28"/>
        <v>-1084499</v>
      </c>
      <c r="I92" s="194">
        <f t="shared" si="28"/>
        <v>-1558363</v>
      </c>
      <c r="J92" s="194">
        <f t="shared" si="28"/>
        <v>-1680324</v>
      </c>
      <c r="K92" s="194">
        <f t="shared" si="28"/>
        <v>-1890542</v>
      </c>
      <c r="L92" s="194">
        <f t="shared" si="28"/>
        <v>-1741991</v>
      </c>
      <c r="M92" s="194">
        <f t="shared" si="28"/>
        <v>-1215513</v>
      </c>
      <c r="N92" s="194">
        <f t="shared" si="28"/>
        <v>0</v>
      </c>
      <c r="O92" s="194">
        <f t="shared" si="28"/>
        <v>0</v>
      </c>
      <c r="P92" s="194">
        <f t="shared" si="28"/>
        <v>0</v>
      </c>
      <c r="Q92" s="393"/>
      <c r="R92" s="394">
        <f t="shared" si="27"/>
        <v>-13035641</v>
      </c>
    </row>
    <row r="93" spans="1:18">
      <c r="A93" s="255"/>
      <c r="D93" s="73"/>
      <c r="E93" s="220"/>
      <c r="F93" s="370"/>
      <c r="G93" s="176"/>
      <c r="H93" s="176"/>
      <c r="I93" s="176"/>
      <c r="J93" s="176"/>
      <c r="K93" s="176"/>
      <c r="L93" s="176"/>
      <c r="M93" s="176"/>
      <c r="N93" s="176"/>
      <c r="O93" s="176"/>
      <c r="P93" s="176"/>
      <c r="Q93" s="390"/>
      <c r="R93" s="391"/>
    </row>
    <row r="94" spans="1:18">
      <c r="A94" s="255"/>
      <c r="B94" s="239" t="s">
        <v>232</v>
      </c>
      <c r="C94" s="239"/>
      <c r="D94" s="73"/>
      <c r="E94" s="220"/>
      <c r="F94" s="370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390"/>
      <c r="R94" s="391"/>
    </row>
    <row r="95" spans="1:18">
      <c r="A95" s="255">
        <f>A92+1</f>
        <v>52</v>
      </c>
      <c r="B95" s="52" t="s">
        <v>157</v>
      </c>
      <c r="C95" s="52"/>
      <c r="D95" s="220">
        <f>SUM(E95:P95)</f>
        <v>13195878</v>
      </c>
      <c r="E95" s="157">
        <f>_xll.Get_Balance(E$83,"PTD","USD","Total","A","","001","565000","ED","AN","DL")</f>
        <v>1532604</v>
      </c>
      <c r="F95" s="192">
        <f>_xll.Get_Balance(F$83,"PTD","USD","Total","A","","001","565000","ED","AN","DL")</f>
        <v>1475846</v>
      </c>
      <c r="G95" s="192">
        <f>_xll.Get_Balance(G$83,"PTD","USD","Total","A","","001","565000","ED","AN","DL")</f>
        <v>1512323</v>
      </c>
      <c r="H95" s="192">
        <f>_xll.Get_Balance(H$83,"PTD","USD","Total","A","","001","565000","ED","AN","DL")</f>
        <v>1450713</v>
      </c>
      <c r="I95" s="192">
        <f>_xll.Get_Balance(I$83,"PTD","USD","Total","A","","001","565000","ED","AN","DL")</f>
        <v>1423950</v>
      </c>
      <c r="J95" s="192">
        <f>_xll.Get_Balance(J$83,"PTD","USD","Total","A","","001","565000","ED","AN","DL")</f>
        <v>1403945</v>
      </c>
      <c r="K95" s="192">
        <f>_xll.Get_Balance(K$83,"PTD","USD","Total","A","","001","565000","ED","AN","DL")</f>
        <v>1426836</v>
      </c>
      <c r="L95" s="192">
        <f>_xll.Get_Balance(L$83,"PTD","USD","Total","A","","001","565000","ED","AN","DL")</f>
        <v>1466731</v>
      </c>
      <c r="M95" s="192">
        <f>_xll.Get_Balance(M$83,"PTD","USD","Total","A","","001","565000","ED","AN","DL")</f>
        <v>1502930</v>
      </c>
      <c r="N95" s="192">
        <f>_xll.Get_Balance(N$83,"PTD","USD","Total","A","","001","565000","ED","AN","DL")</f>
        <v>0</v>
      </c>
      <c r="O95" s="192">
        <f>_xll.Get_Balance(O$83,"PTD","USD","Total","A","","001","565000","ED","AN","DL")</f>
        <v>0</v>
      </c>
      <c r="P95" s="192">
        <f>_xll.Get_Balance(P$83,"PTD","USD","Total","A","","001","565000","ED","AN","DL")</f>
        <v>0</v>
      </c>
      <c r="Q95" s="390"/>
      <c r="R95" s="391">
        <f>SUM(E95:P95)</f>
        <v>13195878</v>
      </c>
    </row>
    <row r="96" spans="1:18">
      <c r="A96" s="255">
        <f>A95+1</f>
        <v>53</v>
      </c>
      <c r="B96" s="52" t="s">
        <v>190</v>
      </c>
      <c r="C96" s="52" t="s">
        <v>191</v>
      </c>
      <c r="D96" s="220">
        <f>SUM(E96:P96)</f>
        <v>0</v>
      </c>
      <c r="E96" s="192">
        <f>_xll.Get_Balance(E$83,"PTD","USD","Total","A","","001","565312","ED","AN","DL")</f>
        <v>0</v>
      </c>
      <c r="F96" s="192">
        <f>_xll.Get_Balance(F$83,"PTD","USD","Total","A","","001","565312","ED","AN","DL")</f>
        <v>0</v>
      </c>
      <c r="G96" s="192">
        <f>_xll.Get_Balance(G$83,"PTD","USD","Total","A","","001","565312","ED","AN","DL")</f>
        <v>0</v>
      </c>
      <c r="H96" s="192">
        <f>_xll.Get_Balance(H$83,"PTD","USD","Total","A","","001","565312","ED","AN","DL")</f>
        <v>0</v>
      </c>
      <c r="I96" s="192">
        <f>_xll.Get_Balance(I$83,"PTD","USD","Total","A","","001","565312","ED","AN","DL")</f>
        <v>0</v>
      </c>
      <c r="J96" s="192">
        <f>_xll.Get_Balance(J$83,"PTD","USD","Total","A","","001","565312","ED","AN","DL")</f>
        <v>0</v>
      </c>
      <c r="K96" s="192">
        <f>_xll.Get_Balance(K$83,"PTD","USD","Total","A","","001","565312","ED","AN","DL")</f>
        <v>0</v>
      </c>
      <c r="L96" s="192">
        <f>_xll.Get_Balance(L$83,"PTD","USD","Total","A","","001","565312","ED","AN","DL")</f>
        <v>0</v>
      </c>
      <c r="M96" s="192">
        <f>_xll.Get_Balance(M$83,"PTD","USD","Total","A","","001","565312","ED","AN","DL")</f>
        <v>0</v>
      </c>
      <c r="N96" s="192">
        <f>_xll.Get_Balance(N$83,"PTD","USD","Total","A","","001","565312","ED","AN","DL")</f>
        <v>0</v>
      </c>
      <c r="O96" s="192">
        <f>_xll.Get_Balance(O$83,"PTD","USD","Total","A","","001","565312","ED","AN","DL")</f>
        <v>0</v>
      </c>
      <c r="P96" s="192">
        <f>_xll.Get_Balance(P$83,"PTD","USD","Total","A","","001","565312","ED","AN","DL")</f>
        <v>0</v>
      </c>
      <c r="Q96" s="390"/>
      <c r="R96" s="391">
        <f>SUM(E96:P96)</f>
        <v>0</v>
      </c>
    </row>
    <row r="97" spans="1:18">
      <c r="A97" s="256">
        <f>A96+1</f>
        <v>54</v>
      </c>
      <c r="B97" s="248" t="s">
        <v>158</v>
      </c>
      <c r="C97" s="248"/>
      <c r="D97" s="220">
        <f>SUM(E97:P97)</f>
        <v>40824</v>
      </c>
      <c r="E97" s="180">
        <f>_xll.Get_Balance(E$83,"PTD","USD","Total","A","","001","565710","ED","AN","DL")</f>
        <v>4536</v>
      </c>
      <c r="F97" s="180">
        <f>_xll.Get_Balance(F$83,"PTD","USD","Total","A","","001","565710","ED","AN","DL")</f>
        <v>4536</v>
      </c>
      <c r="G97" s="180">
        <f>_xll.Get_Balance(G$83,"PTD","USD","Total","A","","001","565710","ED","AN","DL")</f>
        <v>4536</v>
      </c>
      <c r="H97" s="180">
        <f>_xll.Get_Balance(H$83,"PTD","USD","Total","A","","001","565710","ED","AN","DL")</f>
        <v>4536</v>
      </c>
      <c r="I97" s="180">
        <f>_xll.Get_Balance(I$83,"PTD","USD","Total","A","","001","565710","ED","AN","DL")</f>
        <v>4536</v>
      </c>
      <c r="J97" s="180">
        <f>_xll.Get_Balance(J$83,"PTD","USD","Total","A","","001","565710","ED","AN","DL")</f>
        <v>4536</v>
      </c>
      <c r="K97" s="180">
        <f>_xll.Get_Balance(K$83,"PTD","USD","Total","A","","001","565710","ED","AN","DL")</f>
        <v>4536</v>
      </c>
      <c r="L97" s="180">
        <f>_xll.Get_Balance(L$83,"PTD","USD","Total","A","","001","565710","ED","AN","DL")</f>
        <v>4536</v>
      </c>
      <c r="M97" s="180">
        <f>_xll.Get_Balance(M$83,"PTD","USD","Total","A","","001","565710","ED","AN","DL")</f>
        <v>4536</v>
      </c>
      <c r="N97" s="180">
        <f>_xll.Get_Balance(N$83,"PTD","USD","Total","A","","001","565710","ED","AN","DL")</f>
        <v>0</v>
      </c>
      <c r="O97" s="180">
        <f>_xll.Get_Balance(O$83,"PTD","USD","Total","A","","001","565710","ED","AN","DL")</f>
        <v>0</v>
      </c>
      <c r="P97" s="180">
        <f>_xll.Get_Balance(P$83,"PTD","USD","Total","A","","001","565710","ED","AN","DL")</f>
        <v>0</v>
      </c>
      <c r="Q97" s="390"/>
      <c r="R97" s="392">
        <f>SUM(E97:P97)</f>
        <v>40824</v>
      </c>
    </row>
    <row r="98" spans="1:18" s="184" customFormat="1" ht="20.25" customHeight="1">
      <c r="A98" s="367">
        <f>A97+1</f>
        <v>55</v>
      </c>
      <c r="B98" s="247" t="s">
        <v>229</v>
      </c>
      <c r="C98" s="247"/>
      <c r="D98" s="194">
        <f>SUM(E98:P98)</f>
        <v>13236702</v>
      </c>
      <c r="E98" s="171">
        <f t="shared" ref="E98:P98" si="29">SUM(E95:E97)</f>
        <v>1537140</v>
      </c>
      <c r="F98" s="171">
        <f t="shared" si="29"/>
        <v>1480382</v>
      </c>
      <c r="G98" s="171">
        <f t="shared" si="29"/>
        <v>1516859</v>
      </c>
      <c r="H98" s="171">
        <f t="shared" si="29"/>
        <v>1455249</v>
      </c>
      <c r="I98" s="171">
        <f t="shared" si="29"/>
        <v>1428486</v>
      </c>
      <c r="J98" s="171">
        <f t="shared" si="29"/>
        <v>1408481</v>
      </c>
      <c r="K98" s="171">
        <f t="shared" si="29"/>
        <v>1431372</v>
      </c>
      <c r="L98" s="171">
        <f t="shared" si="29"/>
        <v>1471267</v>
      </c>
      <c r="M98" s="171">
        <f t="shared" si="29"/>
        <v>1507466</v>
      </c>
      <c r="N98" s="171">
        <f t="shared" si="29"/>
        <v>0</v>
      </c>
      <c r="O98" s="171">
        <f t="shared" si="29"/>
        <v>0</v>
      </c>
      <c r="P98" s="171">
        <f t="shared" si="29"/>
        <v>0</v>
      </c>
      <c r="Q98" s="393"/>
      <c r="R98" s="394">
        <f>SUM(E98:P98)</f>
        <v>13236702</v>
      </c>
    </row>
    <row r="99" spans="1:18">
      <c r="A99" s="255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6"/>
      <c r="Q99" s="390"/>
      <c r="R99" s="391"/>
    </row>
    <row r="100" spans="1:18">
      <c r="A100" s="255"/>
      <c r="B100" s="239" t="s">
        <v>351</v>
      </c>
      <c r="E100" s="176"/>
      <c r="F100" s="176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  <c r="Q100" s="390"/>
      <c r="R100" s="391"/>
    </row>
    <row r="101" spans="1:18">
      <c r="A101" s="255">
        <f>A98+1</f>
        <v>56</v>
      </c>
      <c r="B101" s="52" t="s">
        <v>354</v>
      </c>
      <c r="D101" s="370">
        <f>SUM(E101:P101)</f>
        <v>371650</v>
      </c>
      <c r="E101" s="176">
        <f>_xll.Get_Balance(E$83,"PTD","USD","Total","A","","001","557170","ED","AN","DL")</f>
        <v>47346</v>
      </c>
      <c r="F101" s="176">
        <f>_xll.Get_Balance(F$83,"PTD","USD","Total","A","","001","557170","ED","AN","DL")</f>
        <v>29412</v>
      </c>
      <c r="G101" s="176">
        <f>_xll.Get_Balance(G$83,"PTD","USD","Total","A","","001","557170","ED","AN","DL")</f>
        <v>45913</v>
      </c>
      <c r="H101" s="176">
        <f>_xll.Get_Balance(H$83,"PTD","USD","Total","A","","001","557170","ED","AN","DL")</f>
        <v>44067</v>
      </c>
      <c r="I101" s="176">
        <f>_xll.Get_Balance(I$83,"PTD","USD","Total","A","","001","557170","ED","AN","DL")</f>
        <v>46595</v>
      </c>
      <c r="J101" s="176">
        <f>_xll.Get_Balance(J$83,"PTD","USD","Total","A","","001","557170","ED","AN","DL")</f>
        <v>39558</v>
      </c>
      <c r="K101" s="176">
        <f>_xll.Get_Balance(K$83,"PTD","USD","Total","A","","001","557170","ED","AN","DL")</f>
        <v>33991</v>
      </c>
      <c r="L101" s="176">
        <f>_xll.Get_Balance(L$83,"PTD","USD","Total","A","","001","557170","ED","AN","DL")</f>
        <v>45069</v>
      </c>
      <c r="M101" s="176">
        <f>_xll.Get_Balance(M$83,"PTD","USD","Total","A","","001","557170","ED","AN","DL")</f>
        <v>39699</v>
      </c>
      <c r="N101" s="176">
        <f>_xll.Get_Balance(N$83,"PTD","USD","Total","A","","001","557170","ED","AN","DL")</f>
        <v>0</v>
      </c>
      <c r="O101" s="176">
        <f>_xll.Get_Balance(O$83,"PTD","USD","Total","A","","001","557170","ED","AN","DL")</f>
        <v>0</v>
      </c>
      <c r="P101" s="176">
        <f>_xll.Get_Balance(P$83,"PTD","USD","Total","A","","001","557170","ED","AN","DL")</f>
        <v>0</v>
      </c>
      <c r="Q101" s="390"/>
      <c r="R101" s="391"/>
    </row>
    <row r="102" spans="1:18">
      <c r="A102" s="255">
        <f>A101+1</f>
        <v>57</v>
      </c>
      <c r="B102" s="254" t="s">
        <v>353</v>
      </c>
      <c r="D102" s="370">
        <f>SUM(E102:P102)</f>
        <v>0</v>
      </c>
      <c r="E102" s="176">
        <f>_xll.Get_Balance(E$83,"PTD","USD","Total","A","","001","557172","ED","AN","DL")</f>
        <v>0</v>
      </c>
      <c r="F102" s="176">
        <f>_xll.Get_Balance(F$83,"PTD","USD","Total","A","","001","557172","ED","AN","DL")</f>
        <v>0</v>
      </c>
      <c r="G102" s="176">
        <f>_xll.Get_Balance(G$83,"PTD","USD","Total","A","","001","557172","ED","AN","DL")</f>
        <v>0</v>
      </c>
      <c r="H102" s="176">
        <f>_xll.Get_Balance(H$83,"PTD","USD","Total","A","","001","557172","ED","AN","DL")</f>
        <v>0</v>
      </c>
      <c r="I102" s="176">
        <f>_xll.Get_Balance(I$83,"PTD","USD","Total","A","","001","557172","ED","AN","DL")</f>
        <v>0</v>
      </c>
      <c r="J102" s="176">
        <f>_xll.Get_Balance(J$83,"PTD","USD","Total","A","","001","557172","ED","AN","DL")</f>
        <v>0</v>
      </c>
      <c r="K102" s="176">
        <f>_xll.Get_Balance(K$83,"PTD","USD","Total","A","","001","557172","ED","AN","DL")</f>
        <v>0</v>
      </c>
      <c r="L102" s="176">
        <f>_xll.Get_Balance(L$83,"PTD","USD","Total","A","","001","557172","ED","AN","DL")</f>
        <v>0</v>
      </c>
      <c r="M102" s="176">
        <f>_xll.Get_Balance(M$83,"PTD","USD","Total","A","","001","557172","ED","AN","DL")</f>
        <v>0</v>
      </c>
      <c r="N102" s="176">
        <f>_xll.Get_Balance(N$83,"PTD","USD","Total","A","","001","557172","ED","AN","DL")</f>
        <v>0</v>
      </c>
      <c r="O102" s="176">
        <f>_xll.Get_Balance(O$83,"PTD","USD","Total","A","","001","557172","ED","AN","DL")</f>
        <v>0</v>
      </c>
      <c r="P102" s="176">
        <f>_xll.Get_Balance(P$83,"PTD","USD","Total","A","","001","557172","ED","AN","DL")</f>
        <v>0</v>
      </c>
      <c r="Q102" s="390"/>
      <c r="R102" s="391"/>
    </row>
    <row r="103" spans="1:18">
      <c r="A103" s="255">
        <f>A102+1</f>
        <v>58</v>
      </c>
      <c r="B103" s="254" t="s">
        <v>381</v>
      </c>
      <c r="C103" s="71" t="s">
        <v>382</v>
      </c>
      <c r="D103" s="370">
        <f>SUM(E103:P103)</f>
        <v>84485</v>
      </c>
      <c r="E103" s="176">
        <f>_xll.Get_Balance(E$83,"PTD","USD","Total","A","","001","557165","ED","AN","DL")</f>
        <v>13283</v>
      </c>
      <c r="F103" s="176">
        <f>_xll.Get_Balance(F$83,"PTD","USD","Total","A","","001","557165","ED","AN","DL")</f>
        <v>5453</v>
      </c>
      <c r="G103" s="176">
        <f>_xll.Get_Balance(G$83,"PTD","USD","Total","A","","001","557165","ED","AN","DL")</f>
        <v>6923</v>
      </c>
      <c r="H103" s="176">
        <f>_xll.Get_Balance(H$83,"PTD","USD","Total","A","","001","557165","ED","AN","DL")</f>
        <v>8212</v>
      </c>
      <c r="I103" s="176">
        <f>_xll.Get_Balance(I$83,"PTD","USD","Total","A","","001","557165","ED","AN","DL")</f>
        <v>6507</v>
      </c>
      <c r="J103" s="176">
        <f>_xll.Get_Balance(J$83,"PTD","USD","Total","A","","001","557165","ED","AN","DL")</f>
        <v>10866</v>
      </c>
      <c r="K103" s="176">
        <f>_xll.Get_Balance(K$83,"PTD","USD","Total","A","","001","557165","ED","AN","DL")</f>
        <v>4109</v>
      </c>
      <c r="L103" s="176">
        <f>_xll.Get_Balance(L$83,"PTD","USD","Total","A","","001","557165","ED","AN","DL")</f>
        <v>5832</v>
      </c>
      <c r="M103" s="176">
        <f>_xll.Get_Balance(M$83,"PTD","USD","Total","A","","001","557165","ED","AN","DL")</f>
        <v>23300</v>
      </c>
      <c r="N103" s="176">
        <f>_xll.Get_Balance(N$83,"PTD","USD","Total","A","","001","557165","ED","AN","DL")</f>
        <v>0</v>
      </c>
      <c r="O103" s="176">
        <f>_xll.Get_Balance(O$83,"PTD","USD","Total","A","","001","557165","ED","AN","DL")</f>
        <v>0</v>
      </c>
      <c r="P103" s="176">
        <f>_xll.Get_Balance(P$83,"PTD","USD","Total","A","","001","557165","ED","AN","DL")</f>
        <v>0</v>
      </c>
      <c r="Q103" s="390"/>
      <c r="R103" s="391"/>
    </row>
    <row r="104" spans="1:18">
      <c r="A104" s="255">
        <f>A103+1</f>
        <v>59</v>
      </c>
      <c r="B104" s="254" t="s">
        <v>385</v>
      </c>
      <c r="C104" s="71" t="s">
        <v>386</v>
      </c>
      <c r="D104" s="370">
        <f>SUM(E104:P104)</f>
        <v>34641</v>
      </c>
      <c r="E104" s="176">
        <f>_xll.Get_Balance(E$83,"PTD","USD","Total","A","","001","557018","ED","AN","DL")</f>
        <v>3619</v>
      </c>
      <c r="F104" s="176">
        <f>_xll.Get_Balance(F$83,"PTD","USD","Total","A","","001","557018","ED","AN","DL")</f>
        <v>3280</v>
      </c>
      <c r="G104" s="176">
        <f>_xll.Get_Balance(G$83,"PTD","USD","Total","A","","001","557018","ED","AN","DL")</f>
        <v>3615</v>
      </c>
      <c r="H104" s="176">
        <f>_xll.Get_Balance(H$83,"PTD","USD","Total","A","","001","557018","ED","AN","DL")</f>
        <v>3497</v>
      </c>
      <c r="I104" s="176">
        <f>_xll.Get_Balance(I$83,"PTD","USD","Total","A","","001","557018","ED","AN","DL")</f>
        <v>3798</v>
      </c>
      <c r="J104" s="176">
        <f>_xll.Get_Balance(J$83,"PTD","USD","Total","A","","001","557018","ED","AN","DL")</f>
        <v>4287</v>
      </c>
      <c r="K104" s="176">
        <f>_xll.Get_Balance(K$83,"PTD","USD","Total","A","","001","557018","ED","AN","DL")</f>
        <v>4417</v>
      </c>
      <c r="L104" s="176">
        <f>_xll.Get_Balance(L$83,"PTD","USD","Total","A","","001","557018","ED","AN","DL")</f>
        <v>3737</v>
      </c>
      <c r="M104" s="176">
        <f>_xll.Get_Balance(M$83,"PTD","USD","Total","A","","001","557018","ED","AN","DL")</f>
        <v>4391</v>
      </c>
      <c r="N104" s="176">
        <f>_xll.Get_Balance(N$83,"PTD","USD","Total","A","","001","557018","ED","AN","DL")</f>
        <v>0</v>
      </c>
      <c r="O104" s="176">
        <f>_xll.Get_Balance(O$83,"PTD","USD","Total","A","","001","557018","ED","AN","DL")</f>
        <v>0</v>
      </c>
      <c r="P104" s="176">
        <f>_xll.Get_Balance(P$83,"PTD","USD","Total","A","","001","557018","ED","AN","DL")</f>
        <v>0</v>
      </c>
      <c r="Q104" s="390"/>
      <c r="R104" s="391"/>
    </row>
    <row r="105" spans="1:18" s="184" customFormat="1" ht="20.25" customHeight="1">
      <c r="A105" s="255">
        <f>A104+1</f>
        <v>60</v>
      </c>
      <c r="B105" s="247" t="s">
        <v>352</v>
      </c>
      <c r="C105" s="247"/>
      <c r="D105" s="194">
        <f>D101+D102+D103+D104</f>
        <v>490776</v>
      </c>
      <c r="E105" s="194">
        <f>E101+E102+E103+E104</f>
        <v>64248</v>
      </c>
      <c r="F105" s="194">
        <f t="shared" ref="F105:P105" si="30">F101+F102+F103+F104</f>
        <v>38145</v>
      </c>
      <c r="G105" s="194">
        <f t="shared" si="30"/>
        <v>56451</v>
      </c>
      <c r="H105" s="194">
        <f t="shared" si="30"/>
        <v>55776</v>
      </c>
      <c r="I105" s="194">
        <f t="shared" si="30"/>
        <v>56900</v>
      </c>
      <c r="J105" s="194">
        <f t="shared" si="30"/>
        <v>54711</v>
      </c>
      <c r="K105" s="194">
        <f t="shared" si="30"/>
        <v>42517</v>
      </c>
      <c r="L105" s="194">
        <f t="shared" si="30"/>
        <v>54638</v>
      </c>
      <c r="M105" s="194">
        <f t="shared" si="30"/>
        <v>67390</v>
      </c>
      <c r="N105" s="194">
        <f t="shared" si="30"/>
        <v>0</v>
      </c>
      <c r="O105" s="194">
        <f t="shared" si="30"/>
        <v>0</v>
      </c>
      <c r="P105" s="194">
        <f t="shared" si="30"/>
        <v>0</v>
      </c>
      <c r="Q105" s="393"/>
      <c r="R105" s="394"/>
    </row>
    <row r="106" spans="1:18" ht="9" customHeight="1">
      <c r="A106" s="255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  <c r="P106" s="174"/>
      <c r="Q106" s="390"/>
      <c r="R106" s="391"/>
    </row>
    <row r="107" spans="1:18">
      <c r="A107" s="255"/>
      <c r="B107" s="141" t="s">
        <v>184</v>
      </c>
      <c r="C107" s="141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390"/>
      <c r="R107" s="391"/>
    </row>
    <row r="108" spans="1:18">
      <c r="A108" s="255">
        <f>A105+1</f>
        <v>61</v>
      </c>
      <c r="B108" s="71" t="s">
        <v>208</v>
      </c>
      <c r="D108" s="370">
        <f>SUM(E108:P108)</f>
        <v>15988970</v>
      </c>
      <c r="E108" s="174">
        <f>_xll.Get_Balance(E$83,"PTD","USD","Total","A","","001","557010","ED","AN","DL")</f>
        <v>1083619</v>
      </c>
      <c r="F108" s="174">
        <f>_xll.Get_Balance(F$83,"PTD","USD","Total","A","","001","557010","ED","AN","DL")</f>
        <v>1645941</v>
      </c>
      <c r="G108" s="174">
        <f>_xll.Get_Balance(G$83,"PTD","USD","Total","A","","001","557010","ED","AN","DL")</f>
        <v>1377218</v>
      </c>
      <c r="H108" s="174">
        <f>_xll.Get_Balance(H$83,"PTD","USD","Total","A","","001","557010","ED","AN","DL")</f>
        <v>1492640</v>
      </c>
      <c r="I108" s="174">
        <f>_xll.Get_Balance(I$83,"PTD","USD","Total","A","","001","557010","ED","AN","DL")</f>
        <v>2912803</v>
      </c>
      <c r="J108" s="174">
        <f>_xll.Get_Balance(J$83,"PTD","USD","Total","A","","001","557010","ED","AN","DL")</f>
        <v>2761505</v>
      </c>
      <c r="K108" s="174">
        <f>_xll.Get_Balance(K$83,"PTD","USD","Total","A","","001","557010","ED","AN","DL")</f>
        <v>1833937</v>
      </c>
      <c r="L108" s="174">
        <f>_xll.Get_Balance(L$83,"PTD","USD","Total","A","","001","557010","ED","AN","DL")</f>
        <v>973692</v>
      </c>
      <c r="M108" s="174">
        <f>_xll.Get_Balance(M$83,"PTD","USD","Total","A","","001","557010","ED","AN","DL")</f>
        <v>1907615</v>
      </c>
      <c r="N108" s="174">
        <f>_xll.Get_Balance(N$83,"PTD","USD","Total","A","","001","557010","ED","AN","DL")</f>
        <v>0</v>
      </c>
      <c r="O108" s="174">
        <f>_xll.Get_Balance(O$83,"PTD","USD","Total","A","","001","557010","ED","AN","DL")</f>
        <v>0</v>
      </c>
      <c r="P108" s="174">
        <f>_xll.Get_Balance(P$83,"PTD","USD","Total","A","","001","557010","ED","AN","DL")</f>
        <v>0</v>
      </c>
      <c r="Q108" s="390"/>
      <c r="R108" s="391">
        <f t="shared" ref="R108:R118" si="31">SUM(E108:P108)</f>
        <v>15988970</v>
      </c>
    </row>
    <row r="109" spans="1:18">
      <c r="A109" s="255">
        <f>A108+1</f>
        <v>62</v>
      </c>
      <c r="B109" s="71" t="s">
        <v>179</v>
      </c>
      <c r="D109" s="370">
        <f t="shared" ref="D109:D118" si="32">SUM(E109:P109)</f>
        <v>-2547112</v>
      </c>
      <c r="E109" s="174">
        <f>_xll.Get_Balance(E$83,"PTD","USD","Total","A","","001","557150","ED","AN","DL")</f>
        <v>-2490169</v>
      </c>
      <c r="F109" s="174">
        <f>_xll.Get_Balance(F$83,"PTD","USD","Total","A","","001","557150","ED","AN","DL")</f>
        <v>-336824</v>
      </c>
      <c r="G109" s="174">
        <f>_xll.Get_Balance(G$83,"PTD","USD","Total","A","","001","557150","ED","AN","DL")</f>
        <v>363762</v>
      </c>
      <c r="H109" s="174">
        <f>_xll.Get_Balance(H$83,"PTD","USD","Total","A","","001","557150","ED","AN","DL")</f>
        <v>852918</v>
      </c>
      <c r="I109" s="174">
        <f>_xll.Get_Balance(I$83,"PTD","USD","Total","A","","001","557150","ED","AN","DL")</f>
        <v>675072</v>
      </c>
      <c r="J109" s="174">
        <f>_xll.Get_Balance(J$83,"PTD","USD","Total","A","","001","557150","ED","AN","DL")</f>
        <v>1435046</v>
      </c>
      <c r="K109" s="174">
        <f>_xll.Get_Balance(K$83,"PTD","USD","Total","A","","001","557150","ED","AN","DL")</f>
        <v>-2218714</v>
      </c>
      <c r="L109" s="174">
        <f>_xll.Get_Balance(L$83,"PTD","USD","Total","A","","001","557150","ED","AN","DL")</f>
        <v>-914639</v>
      </c>
      <c r="M109" s="174">
        <f>_xll.Get_Balance(M$83,"PTD","USD","Total","A","","001","557150","ED","AN","DL")</f>
        <v>86436</v>
      </c>
      <c r="N109" s="174">
        <f>_xll.Get_Balance(N$83,"PTD","USD","Total","A","","001","557150","ED","AN","DL")</f>
        <v>0</v>
      </c>
      <c r="O109" s="174">
        <f>_xll.Get_Balance(O$83,"PTD","USD","Total","A","","001","557150","ED","AN","DL")</f>
        <v>0</v>
      </c>
      <c r="P109" s="174">
        <f>_xll.Get_Balance(P$83,"PTD","USD","Total","A","","001","557150","ED","AN","DL")</f>
        <v>0</v>
      </c>
      <c r="Q109" s="390"/>
      <c r="R109" s="391">
        <f t="shared" si="31"/>
        <v>-2547112</v>
      </c>
    </row>
    <row r="110" spans="1:18">
      <c r="A110" s="255">
        <f t="shared" ref="A110:A118" si="33">A109+1</f>
        <v>63</v>
      </c>
      <c r="B110" s="71" t="s">
        <v>180</v>
      </c>
      <c r="D110" s="370">
        <f t="shared" si="32"/>
        <v>4129430</v>
      </c>
      <c r="E110" s="174">
        <f>_xll.Get_Balance(E$83,"PTD","USD","Total","A","","001","557700","ED","AN","DL")</f>
        <v>414178</v>
      </c>
      <c r="F110" s="174">
        <f>_xll.Get_Balance(F$83,"PTD","USD","Total","A","","001","557700","ED","AN","DL")</f>
        <v>204400</v>
      </c>
      <c r="G110" s="174">
        <f>_xll.Get_Balance(G$83,"PTD","USD","Total","A","","001","557700","ED","AN","DL")</f>
        <v>49615</v>
      </c>
      <c r="H110" s="174">
        <f>_xll.Get_Balance(H$83,"PTD","USD","Total","A","","001","557700","ED","AN","DL")</f>
        <v>233130</v>
      </c>
      <c r="I110" s="174">
        <f>_xll.Get_Balance(I$83,"PTD","USD","Total","A","","001","557700","ED","AN","DL")</f>
        <v>0</v>
      </c>
      <c r="J110" s="174">
        <f>_xll.Get_Balance(J$83,"PTD","USD","Total","A","","001","557700","ED","AN","DL")</f>
        <v>487824</v>
      </c>
      <c r="K110" s="174">
        <f>_xll.Get_Balance(K$83,"PTD","USD","Total","A","","001","557700","ED","AN","DL")</f>
        <v>357663</v>
      </c>
      <c r="L110" s="174">
        <f>_xll.Get_Balance(L$83,"PTD","USD","Total","A","","001","557700","ED","AN","DL")</f>
        <v>1564964</v>
      </c>
      <c r="M110" s="174">
        <f>_xll.Get_Balance(M$83,"PTD","USD","Total","A","","001","557700","ED","AN","DL")</f>
        <v>817656</v>
      </c>
      <c r="N110" s="174">
        <f>_xll.Get_Balance(N$83,"PTD","USD","Total","A","","001","557700","ED","AN","DL")</f>
        <v>0</v>
      </c>
      <c r="O110" s="174">
        <f>_xll.Get_Balance(O$83,"PTD","USD","Total","A","","001","557700","ED","AN","DL")</f>
        <v>0</v>
      </c>
      <c r="P110" s="174">
        <f>_xll.Get_Balance(P$83,"PTD","USD","Total","A","","001","557700","ED","AN","DL")</f>
        <v>0</v>
      </c>
      <c r="Q110" s="390"/>
      <c r="R110" s="391">
        <f t="shared" si="31"/>
        <v>4129430</v>
      </c>
    </row>
    <row r="111" spans="1:18">
      <c r="A111" s="255">
        <f t="shared" si="33"/>
        <v>64</v>
      </c>
      <c r="B111" s="52" t="s">
        <v>217</v>
      </c>
      <c r="C111" s="52"/>
      <c r="D111" s="370">
        <f t="shared" si="32"/>
        <v>-4129430</v>
      </c>
      <c r="E111" s="174">
        <f>_xll.Get_Balance(E$83,"PTD","USD","Total","A","","001","557711","ED","AN","DL")</f>
        <v>-414178</v>
      </c>
      <c r="F111" s="174">
        <f>_xll.Get_Balance(F$83,"PTD","USD","Total","A","","001","557711","ED","AN","DL")</f>
        <v>-204400</v>
      </c>
      <c r="G111" s="174">
        <f>_xll.Get_Balance(G$83,"PTD","USD","Total","A","","001","557711","ED","AN","DL")</f>
        <v>-49615</v>
      </c>
      <c r="H111" s="174">
        <f>_xll.Get_Balance(H$83,"PTD","USD","Total","A","","001","557711","ED","AN","DL")</f>
        <v>-233130</v>
      </c>
      <c r="I111" s="174">
        <f>_xll.Get_Balance(I$83,"PTD","USD","Total","A","","001","557711","ED","AN","DL")</f>
        <v>0</v>
      </c>
      <c r="J111" s="174">
        <f>_xll.Get_Balance(J$83,"PTD","USD","Total","A","","001","557711","ED","AN","DL")</f>
        <v>-487824</v>
      </c>
      <c r="K111" s="174">
        <f>_xll.Get_Balance(K$83,"PTD","USD","Total","A","","001","557711","ED","AN","DL")</f>
        <v>-357663</v>
      </c>
      <c r="L111" s="174">
        <f>_xll.Get_Balance(L$83,"PTD","USD","Total","A","","001","557711","ED","AN","DL")</f>
        <v>-1564964</v>
      </c>
      <c r="M111" s="174">
        <f>_xll.Get_Balance(M$83,"PTD","USD","Total","A","","001","557711","ED","AN","DL")</f>
        <v>-817656</v>
      </c>
      <c r="N111" s="174">
        <f>_xll.Get_Balance(N$83,"PTD","USD","Total","A","","001","557711","ED","AN","DL")</f>
        <v>0</v>
      </c>
      <c r="O111" s="174">
        <f>_xll.Get_Balance(O$83,"PTD","USD","Total","A","","001","557711","ED","AN","DL")</f>
        <v>0</v>
      </c>
      <c r="P111" s="174">
        <f>_xll.Get_Balance(P$83,"PTD","USD","Total","A","","001","557711","ED","AN","DL")</f>
        <v>0</v>
      </c>
      <c r="Q111" s="390"/>
      <c r="R111" s="391">
        <f>SUM(E111:P111)</f>
        <v>-4129430</v>
      </c>
    </row>
    <row r="112" spans="1:18">
      <c r="A112" s="255">
        <f t="shared" si="33"/>
        <v>65</v>
      </c>
      <c r="B112" s="71" t="s">
        <v>212</v>
      </c>
      <c r="D112" s="370">
        <f t="shared" si="32"/>
        <v>30039096</v>
      </c>
      <c r="E112" s="174">
        <f>_xll.Get_Balance(E$83,"PTD","USD","Total","A","","001","557730","ED","AN","DL")</f>
        <v>5812837</v>
      </c>
      <c r="F112" s="174">
        <f>_xll.Get_Balance(F$83,"PTD","USD","Total","A","","001","557730","ED","AN","DL")</f>
        <v>2658645</v>
      </c>
      <c r="G112" s="174">
        <f>_xll.Get_Balance(G$83,"PTD","USD","Total","A","","001","557730","ED","AN","DL")</f>
        <v>1842941</v>
      </c>
      <c r="H112" s="174">
        <f>_xll.Get_Balance(H$83,"PTD","USD","Total","A","","001","557730","ED","AN","DL")</f>
        <v>2305884</v>
      </c>
      <c r="I112" s="174">
        <f>_xll.Get_Balance(I$83,"PTD","USD","Total","A","","001","557730","ED","AN","DL")</f>
        <v>2957007</v>
      </c>
      <c r="J112" s="174">
        <f>_xll.Get_Balance(J$83,"PTD","USD","Total","A","","001","557730","ED","AN","DL")</f>
        <v>2015344</v>
      </c>
      <c r="K112" s="174">
        <f>_xll.Get_Balance(K$83,"PTD","USD","Total","A","","001","557730","ED","AN","DL")</f>
        <v>4667489</v>
      </c>
      <c r="L112" s="174">
        <f>_xll.Get_Balance(L$83,"PTD","USD","Total","A","","001","557730","ED","AN","DL")</f>
        <v>5198705</v>
      </c>
      <c r="M112" s="174">
        <f>_xll.Get_Balance(M$83,"PTD","USD","Total","A","","001","557730","ED","AN","DL")</f>
        <v>2580244</v>
      </c>
      <c r="N112" s="174">
        <f>_xll.Get_Balance(N$83,"PTD","USD","Total","A","","001","557730","ED","AN","DL")</f>
        <v>0</v>
      </c>
      <c r="O112" s="174">
        <f>_xll.Get_Balance(O$83,"PTD","USD","Total","A","","001","557730","ED","AN","DL")</f>
        <v>0</v>
      </c>
      <c r="P112" s="174">
        <f>_xll.Get_Balance(P$83,"PTD","USD","Total","A","","001","557730","ED","AN","DL")</f>
        <v>0</v>
      </c>
      <c r="Q112" s="390"/>
      <c r="R112" s="391">
        <f t="shared" si="31"/>
        <v>30039096</v>
      </c>
    </row>
    <row r="113" spans="1:19">
      <c r="A113" s="255">
        <f t="shared" si="33"/>
        <v>66</v>
      </c>
      <c r="B113" s="52" t="s">
        <v>215</v>
      </c>
      <c r="C113" s="52"/>
      <c r="D113" s="370">
        <f t="shared" si="32"/>
        <v>-9315262</v>
      </c>
      <c r="E113" s="174">
        <f>_xll.Get_Balance(E$83,"PTD","USD","Total","A","","001","456010","ED","AN","DL")</f>
        <v>-168836</v>
      </c>
      <c r="F113" s="174">
        <f>_xll.Get_Balance(F$83,"PTD","USD","Total","A","","001","456010","ED","AN","DL")</f>
        <v>-1280368</v>
      </c>
      <c r="G113" s="174">
        <f>_xll.Get_Balance(G$83,"PTD","USD","Total","A","","001","456010","ED","AN","DL")</f>
        <v>-712744</v>
      </c>
      <c r="H113" s="174">
        <f>_xll.Get_Balance(H$83,"PTD","USD","Total","A","","001","456010","ED","AN","DL")</f>
        <v>-1424435</v>
      </c>
      <c r="I113" s="174">
        <f>_xll.Get_Balance(I$83,"PTD","USD","Total","A","","001","456010","ED","AN","DL")</f>
        <v>-1952688</v>
      </c>
      <c r="J113" s="174">
        <f>_xll.Get_Balance(J$83,"PTD","USD","Total","A","","001","456010","ED","AN","DL")</f>
        <v>-1566138</v>
      </c>
      <c r="K113" s="174">
        <f>_xll.Get_Balance(K$83,"PTD","USD","Total","A","","001","456010","ED","AN","DL")</f>
        <v>-1059625</v>
      </c>
      <c r="L113" s="174">
        <f>_xll.Get_Balance(L$83,"PTD","USD","Total","A","","001","456010","ED","AN","DL")</f>
        <v>-315640</v>
      </c>
      <c r="M113" s="174">
        <f>_xll.Get_Balance(M$83,"PTD","USD","Total","A","","001","456010","ED","AN","DL")</f>
        <v>-834788</v>
      </c>
      <c r="N113" s="174">
        <f>_xll.Get_Balance(N$83,"PTD","USD","Total","A","","001","456010","ED","AN","DL")</f>
        <v>0</v>
      </c>
      <c r="O113" s="174">
        <f>_xll.Get_Balance(O$83,"PTD","USD","Total","A","","001","456010","ED","AN","DL")</f>
        <v>0</v>
      </c>
      <c r="P113" s="174">
        <f>_xll.Get_Balance(P$83,"PTD","USD","Total","A","","001","456010","ED","AN","DL")</f>
        <v>0</v>
      </c>
      <c r="Q113" s="390"/>
      <c r="R113" s="391">
        <f t="shared" si="31"/>
        <v>-9315262</v>
      </c>
    </row>
    <row r="114" spans="1:19">
      <c r="A114" s="255">
        <f t="shared" si="33"/>
        <v>67</v>
      </c>
      <c r="B114" s="71" t="s">
        <v>181</v>
      </c>
      <c r="D114" s="370">
        <f t="shared" si="32"/>
        <v>-23405969</v>
      </c>
      <c r="E114" s="174">
        <f>_xll.Get_Balance(E$83,"PTD","USD","Total","A","","001","456015","ED","AN","DL")</f>
        <v>-364889</v>
      </c>
      <c r="F114" s="174">
        <f>_xll.Get_Balance(F$83,"PTD","USD","Total","A","","001","456015","ED","AN","DL")</f>
        <v>-2477540</v>
      </c>
      <c r="G114" s="174">
        <f>_xll.Get_Balance(G$83,"PTD","USD","Total","A","","001","456015","ED","AN","DL")</f>
        <v>-2469784</v>
      </c>
      <c r="H114" s="174">
        <f>_xll.Get_Balance(H$83,"PTD","USD","Total","A","","001","456015","ED","AN","DL")</f>
        <v>-3601157</v>
      </c>
      <c r="I114" s="174">
        <f>_xll.Get_Balance(I$83,"PTD","USD","Total","A","","001","456015","ED","AN","DL")</f>
        <v>-5475344</v>
      </c>
      <c r="J114" s="174">
        <f>_xll.Get_Balance(J$83,"PTD","USD","Total","A","","001","456015","ED","AN","DL")</f>
        <v>-5390232</v>
      </c>
      <c r="K114" s="174">
        <f>_xll.Get_Balance(K$83,"PTD","USD","Total","A","","001","456015","ED","AN","DL")</f>
        <v>-1141788</v>
      </c>
      <c r="L114" s="174">
        <f>_xll.Get_Balance(L$83,"PTD","USD","Total","A","","001","456015","ED","AN","DL")</f>
        <v>-1251787</v>
      </c>
      <c r="M114" s="174">
        <f>_xll.Get_Balance(M$83,"PTD","USD","Total","A","","001","456015","ED","AN","DL")</f>
        <v>-1233448</v>
      </c>
      <c r="N114" s="174">
        <f>_xll.Get_Balance(N$83,"PTD","USD","Total","A","","001","456015","ED","AN","DL")</f>
        <v>0</v>
      </c>
      <c r="O114" s="174">
        <f>_xll.Get_Balance(O$83,"PTD","USD","Total","A","","001","456015","ED","AN","DL")</f>
        <v>0</v>
      </c>
      <c r="P114" s="174">
        <f>_xll.Get_Balance(P$83,"PTD","USD","Total","A","","001","456015","ED","AN","DL")</f>
        <v>0</v>
      </c>
      <c r="Q114" s="390"/>
      <c r="R114" s="391">
        <f t="shared" si="31"/>
        <v>-23405969</v>
      </c>
    </row>
    <row r="115" spans="1:19">
      <c r="A115" s="255">
        <f t="shared" si="33"/>
        <v>68</v>
      </c>
      <c r="B115" s="71" t="s">
        <v>395</v>
      </c>
      <c r="D115" s="370">
        <f t="shared" si="32"/>
        <v>-565765</v>
      </c>
      <c r="E115" s="174">
        <f>_xll.Get_Balance(E$83,"PTD","USD","Total","A","","001","456018","ED","AN","DL")</f>
        <v>0</v>
      </c>
      <c r="F115" s="174">
        <f>_xll.Get_Balance(F$83,"PTD","USD","Total","A","","001","456018","ED","AN","DL")</f>
        <v>0</v>
      </c>
      <c r="G115" s="174">
        <f>_xll.Get_Balance(G$83,"PTD","USD","Total","A","","001","456018","ED","AN","DL")</f>
        <v>-182104</v>
      </c>
      <c r="H115" s="174">
        <f>_xll.Get_Balance(H$83,"PTD","USD","Total","A","","001","456018","ED","AN","DL")</f>
        <v>-49440</v>
      </c>
      <c r="I115" s="174">
        <f>_xll.Get_Balance(I$83,"PTD","USD","Total","A","","001","456018","ED","AN","DL")</f>
        <v>-58523</v>
      </c>
      <c r="J115" s="174">
        <f>_xll.Get_Balance(J$83,"PTD","USD","Total","A","","001","456018","ED","AN","DL")</f>
        <v>-68065</v>
      </c>
      <c r="K115" s="174">
        <f>_xll.Get_Balance(K$83,"PTD","USD","Total","A","","001","456018","ED","AN","DL")</f>
        <v>-67171</v>
      </c>
      <c r="L115" s="174">
        <f>_xll.Get_Balance(L$83,"PTD","USD","Total","A","","001","456018","ED","AN","DL")</f>
        <v>-62167</v>
      </c>
      <c r="M115" s="174">
        <f>_xll.Get_Balance(M$83,"PTD","USD","Total","A","","001","456018","ED","AN","DL")</f>
        <v>-78295</v>
      </c>
      <c r="N115" s="174">
        <f>_xll.Get_Balance(N$83,"PTD","USD","Total","A","","001","456018","ED","AN","DL")</f>
        <v>0</v>
      </c>
      <c r="O115" s="174">
        <f>_xll.Get_Balance(O$83,"PTD","USD","Total","A","","001","456018","ED","AN","DL")</f>
        <v>0</v>
      </c>
      <c r="P115" s="174">
        <f>_xll.Get_Balance(P$83,"PTD","USD","Total","A","","001","456018","ED","AN","DL")</f>
        <v>0</v>
      </c>
      <c r="Q115" s="390"/>
      <c r="R115" s="391"/>
    </row>
    <row r="116" spans="1:19">
      <c r="A116" s="255">
        <f t="shared" si="33"/>
        <v>69</v>
      </c>
      <c r="B116" s="71" t="s">
        <v>213</v>
      </c>
      <c r="D116" s="370">
        <f t="shared" si="32"/>
        <v>-20501880</v>
      </c>
      <c r="E116" s="174">
        <f>_xll.Get_Balance(E$83,"PTD","USD","Total","A","","001","456730","ED","AN","DL")</f>
        <v>-4514484</v>
      </c>
      <c r="F116" s="174">
        <f>_xll.Get_Balance(F$83,"PTD","USD","Total","A","","001","456730","ED","AN","DL")</f>
        <v>-1324718</v>
      </c>
      <c r="G116" s="174">
        <f>_xll.Get_Balance(G$83,"PTD","USD","Total","A","","001","456730","ED","AN","DL")</f>
        <v>-1017222</v>
      </c>
      <c r="H116" s="174">
        <f>_xll.Get_Balance(H$83,"PTD","USD","Total","A","","001","456730","ED","AN","DL")</f>
        <v>-816042</v>
      </c>
      <c r="I116" s="174">
        <f>_xll.Get_Balance(I$83,"PTD","USD","Total","A","","001","456730","ED","AN","DL")</f>
        <v>-523918</v>
      </c>
      <c r="J116" s="174">
        <f>_xll.Get_Balance(J$83,"PTD","USD","Total","A","","001","456730","ED","AN","DL")</f>
        <v>-664057</v>
      </c>
      <c r="K116" s="174">
        <f>_xll.Get_Balance(K$83,"PTD","USD","Total","A","","001","456730","ED","AN","DL")</f>
        <v>-3408554</v>
      </c>
      <c r="L116" s="174">
        <f>_xll.Get_Balance(L$83,"PTD","USD","Total","A","","001","456730","ED","AN","DL")</f>
        <v>-4540587</v>
      </c>
      <c r="M116" s="174">
        <f>_xll.Get_Balance(M$83,"PTD","USD","Total","A","","001","456730","ED","AN","DL")</f>
        <v>-3692298</v>
      </c>
      <c r="N116" s="174">
        <f>_xll.Get_Balance(N$83,"PTD","USD","Total","A","","001","456730","ED","AN","DL")</f>
        <v>0</v>
      </c>
      <c r="O116" s="174">
        <f>_xll.Get_Balance(O$83,"PTD","USD","Total","A","","001","456730","ED","AN","DL")</f>
        <v>0</v>
      </c>
      <c r="P116" s="174">
        <f>_xll.Get_Balance(P$83,"PTD","USD","Total","A","","001","456730","ED","AN","DL")</f>
        <v>0</v>
      </c>
      <c r="Q116" s="390"/>
      <c r="R116" s="391">
        <f t="shared" si="31"/>
        <v>-20501880</v>
      </c>
    </row>
    <row r="117" spans="1:19">
      <c r="A117" s="255">
        <f t="shared" si="33"/>
        <v>70</v>
      </c>
      <c r="B117" s="52" t="s">
        <v>216</v>
      </c>
      <c r="C117" s="52"/>
      <c r="D117" s="370">
        <f t="shared" si="32"/>
        <v>3379700</v>
      </c>
      <c r="E117" s="160">
        <f>_xll.Get_Balance(E$83,"PTD","USD","Total","A","","001","456711","ED","AN","DL")</f>
        <v>187589</v>
      </c>
      <c r="F117" s="160">
        <f>_xll.Get_Balance(F$83,"PTD","USD","Total","A","","001","456711","ED","AN","DL")</f>
        <v>238295</v>
      </c>
      <c r="G117" s="160">
        <f>_xll.Get_Balance(G$83,"PTD","USD","Total","A","","001","456711","ED","AN","DL")</f>
        <v>27125</v>
      </c>
      <c r="H117" s="160">
        <f>_xll.Get_Balance(H$83,"PTD","USD","Total","A","","001","456711","ED","AN","DL")</f>
        <v>371923</v>
      </c>
      <c r="I117" s="160">
        <f>_xll.Get_Balance(I$83,"PTD","USD","Total","A","","001","456711","ED","AN","DL")</f>
        <v>107454</v>
      </c>
      <c r="J117" s="160">
        <f>_xll.Get_Balance(J$83,"PTD","USD","Total","A","","001","456711","ED","AN","DL")</f>
        <v>225014</v>
      </c>
      <c r="K117" s="160">
        <f>_xll.Get_Balance(K$83,"PTD","USD","Total","A","","001","456711","ED","AN","DL")</f>
        <v>356500</v>
      </c>
      <c r="L117" s="160">
        <f>_xll.Get_Balance(L$83,"PTD","USD","Total","A","","001","456711","ED","AN","DL")</f>
        <v>1156300</v>
      </c>
      <c r="M117" s="160">
        <f>_xll.Get_Balance(M$83,"PTD","USD","Total","A","","001","456711","ED","AN","DL")</f>
        <v>709500</v>
      </c>
      <c r="N117" s="160">
        <f>_xll.Get_Balance(N$83,"PTD","USD","Total","A","","001","456711","ED","AN","DL")</f>
        <v>0</v>
      </c>
      <c r="O117" s="160">
        <f>_xll.Get_Balance(O$83,"PTD","USD","Total","A","","001","456711","ED","AN","DL")</f>
        <v>0</v>
      </c>
      <c r="P117" s="160">
        <f>_xll.Get_Balance(P$83,"PTD","USD","Total","A","","001","456711","ED","AN","DL")</f>
        <v>0</v>
      </c>
      <c r="Q117" s="390"/>
      <c r="R117" s="395">
        <f>SUM(E117:P117)</f>
        <v>3379700</v>
      </c>
    </row>
    <row r="118" spans="1:19">
      <c r="A118" s="255">
        <f t="shared" si="33"/>
        <v>71</v>
      </c>
      <c r="B118" s="242" t="s">
        <v>182</v>
      </c>
      <c r="C118" s="242"/>
      <c r="D118" s="370">
        <f t="shared" si="32"/>
        <v>-3379700</v>
      </c>
      <c r="E118" s="191">
        <f>_xll.Get_Balance(E$83,"PTD","USD","Total","A","","001","456720","ED","AN","DL")</f>
        <v>-187589</v>
      </c>
      <c r="F118" s="191">
        <f>_xll.Get_Balance(F$83,"PTD","USD","Total","A","","001","456720","ED","AN","DL")</f>
        <v>-238295</v>
      </c>
      <c r="G118" s="191">
        <f>_xll.Get_Balance(G$83,"PTD","USD","Total","A","","001","456720","ED","AN","DL")</f>
        <v>-27125</v>
      </c>
      <c r="H118" s="191">
        <f>_xll.Get_Balance(H$83,"PTD","USD","Total","A","","001","456720","ED","AN","DL")</f>
        <v>-371923</v>
      </c>
      <c r="I118" s="191">
        <f>_xll.Get_Balance(I$83,"PTD","USD","Total","A","","001","456720","ED","AN","DL")</f>
        <v>-107454</v>
      </c>
      <c r="J118" s="191">
        <f>_xll.Get_Balance(J$83,"PTD","USD","Total","A","","001","456720","ED","AN","DL")</f>
        <v>-225014</v>
      </c>
      <c r="K118" s="191">
        <f>_xll.Get_Balance(K$83,"PTD","USD","Total","A","","001","456720","ED","AN","DL")</f>
        <v>-356500</v>
      </c>
      <c r="L118" s="191">
        <f>_xll.Get_Balance(L$83,"PTD","USD","Total","A","","001","456720","ED","AN","DL")</f>
        <v>-1156300</v>
      </c>
      <c r="M118" s="191">
        <f>_xll.Get_Balance(M$83,"PTD","USD","Total","A","","001","456720","ED","AN","DL")</f>
        <v>-709500</v>
      </c>
      <c r="N118" s="191">
        <f>_xll.Get_Balance(N$83,"PTD","USD","Total","A","","001","456720","ED","AN","DL")</f>
        <v>0</v>
      </c>
      <c r="O118" s="191">
        <f>_xll.Get_Balance(O$83,"PTD","USD","Total","A","","001","456720","ED","AN","DL")</f>
        <v>0</v>
      </c>
      <c r="P118" s="191">
        <f>_xll.Get_Balance(P$83,"PTD","USD","Total","A","","001","456720","ED","AN","DL")</f>
        <v>0</v>
      </c>
      <c r="Q118" s="390"/>
      <c r="R118" s="392">
        <f t="shared" si="31"/>
        <v>-3379700</v>
      </c>
    </row>
    <row r="119" spans="1:19" ht="22.5" customHeight="1">
      <c r="A119" s="403">
        <f>+A118+1</f>
        <v>72</v>
      </c>
      <c r="B119" s="247" t="s">
        <v>247</v>
      </c>
      <c r="C119" s="247"/>
      <c r="D119" s="194">
        <f>SUM(E119:P119)</f>
        <v>-10307922</v>
      </c>
      <c r="E119" s="172">
        <f>SUM(E108:E118)</f>
        <v>-641922</v>
      </c>
      <c r="F119" s="172">
        <f t="shared" ref="F119:P119" si="34">SUM(F108:F118)</f>
        <v>-1114864</v>
      </c>
      <c r="G119" s="172">
        <f t="shared" si="34"/>
        <v>-797933</v>
      </c>
      <c r="H119" s="172">
        <f t="shared" si="34"/>
        <v>-1239632</v>
      </c>
      <c r="I119" s="172">
        <f t="shared" si="34"/>
        <v>-1465591</v>
      </c>
      <c r="J119" s="172">
        <f t="shared" si="34"/>
        <v>-1476597</v>
      </c>
      <c r="K119" s="172">
        <f t="shared" si="34"/>
        <v>-1394426</v>
      </c>
      <c r="L119" s="172">
        <f t="shared" si="34"/>
        <v>-912423</v>
      </c>
      <c r="M119" s="172">
        <f t="shared" si="34"/>
        <v>-1264534</v>
      </c>
      <c r="N119" s="172">
        <f t="shared" si="34"/>
        <v>0</v>
      </c>
      <c r="O119" s="172">
        <f t="shared" si="34"/>
        <v>0</v>
      </c>
      <c r="P119" s="172">
        <f t="shared" si="34"/>
        <v>0</v>
      </c>
      <c r="Q119" s="390"/>
      <c r="R119" s="404">
        <f>SUM(R108:R118)</f>
        <v>-9742157</v>
      </c>
    </row>
    <row r="120" spans="1:19" ht="9" customHeight="1">
      <c r="A120" s="255"/>
      <c r="E120" s="176"/>
      <c r="F120" s="176"/>
      <c r="G120" s="176"/>
      <c r="H120" s="176"/>
      <c r="I120" s="176"/>
      <c r="J120" s="176"/>
      <c r="K120" s="176"/>
      <c r="L120" s="176"/>
      <c r="M120" s="176"/>
      <c r="N120" s="176"/>
      <c r="O120" s="176"/>
      <c r="P120" s="176"/>
      <c r="Q120" s="390"/>
      <c r="R120" s="391"/>
    </row>
    <row r="121" spans="1:19" ht="9" customHeight="1">
      <c r="A121" s="255"/>
      <c r="E121" s="176"/>
      <c r="F121" s="176"/>
      <c r="G121" s="176"/>
      <c r="H121" s="176"/>
      <c r="I121" s="176"/>
      <c r="J121" s="176"/>
      <c r="K121" s="176"/>
      <c r="L121" s="176"/>
      <c r="M121" s="176"/>
      <c r="N121" s="176"/>
      <c r="O121" s="176"/>
      <c r="P121" s="176"/>
      <c r="Q121" s="390"/>
      <c r="R121" s="391"/>
    </row>
    <row r="122" spans="1:19">
      <c r="A122" s="255">
        <f>A119+1</f>
        <v>73</v>
      </c>
      <c r="B122" s="249" t="s">
        <v>280</v>
      </c>
      <c r="C122" s="249"/>
      <c r="D122" s="284">
        <f>SUM(E122:P122)</f>
        <v>176</v>
      </c>
      <c r="E122" s="206">
        <f>_xll.Get_Balance(E$83,"PTD","USD","Total","A","","001","557160","ED","AN","DL")</f>
        <v>0</v>
      </c>
      <c r="F122" s="206">
        <f>_xll.Get_Balance(F$83,"PTD","USD","Total","A","","001","557160","ED","AN","DL")</f>
        <v>0</v>
      </c>
      <c r="G122" s="206">
        <f>_xll.Get_Balance(G$83,"PTD","USD","Total","A","","001","557160","ED","AN","DL")</f>
        <v>176</v>
      </c>
      <c r="H122" s="206">
        <f>_xll.Get_Balance(H$83,"PTD","USD","Total","A","","001","557160","ED","AN","DL")</f>
        <v>0</v>
      </c>
      <c r="I122" s="206">
        <f>_xll.Get_Balance(I$83,"PTD","USD","Total","A","","001","557160","ED","AN","DL")</f>
        <v>0</v>
      </c>
      <c r="J122" s="206">
        <f>_xll.Get_Balance(J$83,"PTD","USD","Total","A","","001","557160","ED","AN","DL")</f>
        <v>0</v>
      </c>
      <c r="K122" s="206">
        <f>_xll.Get_Balance(K$83,"PTD","USD","Total","A","","001","557160","ED","AN","DL")</f>
        <v>0</v>
      </c>
      <c r="L122" s="206">
        <f>_xll.Get_Balance(L$83,"PTD","USD","Total","A","","001","557160","ED","AN","DL")</f>
        <v>0</v>
      </c>
      <c r="M122" s="206">
        <f>_xll.Get_Balance(M$83,"PTD","USD","Total","A","","001","557160","ED","AN","DL")</f>
        <v>0</v>
      </c>
      <c r="N122" s="206">
        <f>_xll.Get_Balance(N$83,"PTD","USD","Total","A","","001","557160","ED","AN","DL")</f>
        <v>0</v>
      </c>
      <c r="O122" s="206">
        <f>_xll.Get_Balance(O$83,"PTD","USD","Total","A","","001","557160","ED","AN","DL")</f>
        <v>0</v>
      </c>
      <c r="P122" s="206">
        <f>_xll.Get_Balance(P$83,"PTD","USD","Total","A","","001","557160","ED","AN","DL")</f>
        <v>0</v>
      </c>
      <c r="Q122" s="390"/>
      <c r="R122" s="395">
        <f>SUM(E122:P122)</f>
        <v>176</v>
      </c>
    </row>
    <row r="123" spans="1:19" ht="18.75" customHeight="1">
      <c r="A123" s="403">
        <f>A122+1</f>
        <v>74</v>
      </c>
      <c r="B123" s="247" t="s">
        <v>287</v>
      </c>
      <c r="C123" s="247"/>
      <c r="D123" s="232">
        <f>SUM(E123:P123)</f>
        <v>176</v>
      </c>
      <c r="E123" s="171">
        <f>IF(E23=0," ",E122)</f>
        <v>0</v>
      </c>
      <c r="F123" s="171">
        <f t="shared" ref="F123:P123" si="35">IF(F23=0," ",F122)</f>
        <v>0</v>
      </c>
      <c r="G123" s="171">
        <f t="shared" si="35"/>
        <v>176</v>
      </c>
      <c r="H123" s="171">
        <f t="shared" si="35"/>
        <v>0</v>
      </c>
      <c r="I123" s="171">
        <f t="shared" si="35"/>
        <v>0</v>
      </c>
      <c r="J123" s="171">
        <f t="shared" si="35"/>
        <v>0</v>
      </c>
      <c r="K123" s="171">
        <f t="shared" si="35"/>
        <v>0</v>
      </c>
      <c r="L123" s="171">
        <f t="shared" si="35"/>
        <v>0</v>
      </c>
      <c r="M123" s="171">
        <f t="shared" si="35"/>
        <v>0</v>
      </c>
      <c r="N123" s="171" t="str">
        <f t="shared" si="35"/>
        <v xml:space="preserve"> </v>
      </c>
      <c r="O123" s="171">
        <f t="shared" si="35"/>
        <v>0</v>
      </c>
      <c r="P123" s="171">
        <f t="shared" si="35"/>
        <v>0</v>
      </c>
      <c r="Q123" s="390"/>
      <c r="R123" s="391">
        <f>SUM(E123:P123)</f>
        <v>176</v>
      </c>
    </row>
    <row r="124" spans="1:19" ht="9" customHeight="1">
      <c r="A124" s="255"/>
      <c r="E124" s="176"/>
      <c r="F124" s="176"/>
      <c r="G124" s="176"/>
      <c r="H124" s="176"/>
      <c r="I124" s="176"/>
      <c r="J124" s="176"/>
      <c r="K124" s="176"/>
      <c r="L124" s="176"/>
      <c r="M124" s="176"/>
      <c r="N124" s="176"/>
      <c r="O124" s="176"/>
      <c r="P124" s="176"/>
      <c r="Q124" s="390"/>
      <c r="R124" s="391"/>
    </row>
    <row r="125" spans="1:19" ht="9" customHeight="1">
      <c r="A125" s="255"/>
      <c r="E125" s="176"/>
      <c r="F125" s="176"/>
      <c r="G125" s="176"/>
      <c r="H125" s="176"/>
      <c r="I125" s="176"/>
      <c r="J125" s="176"/>
      <c r="K125" s="176"/>
      <c r="L125" s="176"/>
      <c r="M125" s="176"/>
      <c r="N125" s="176"/>
      <c r="O125" s="176"/>
      <c r="P125" s="176"/>
      <c r="Q125" s="390"/>
      <c r="R125" s="391"/>
    </row>
    <row r="126" spans="1:19">
      <c r="A126" s="255">
        <f>A123+1</f>
        <v>75</v>
      </c>
      <c r="B126" s="244" t="s">
        <v>211</v>
      </c>
      <c r="C126" s="244"/>
      <c r="D126" s="206">
        <f>SUM(E126:P126)</f>
        <v>0</v>
      </c>
      <c r="E126" s="405">
        <v>0</v>
      </c>
      <c r="F126" s="405">
        <v>0</v>
      </c>
      <c r="G126" s="405">
        <v>0</v>
      </c>
      <c r="H126" s="405">
        <v>0</v>
      </c>
      <c r="I126" s="405">
        <v>0</v>
      </c>
      <c r="J126" s="405">
        <v>0</v>
      </c>
      <c r="K126" s="405">
        <v>0</v>
      </c>
      <c r="L126" s="405">
        <v>0</v>
      </c>
      <c r="M126" s="405">
        <v>0</v>
      </c>
      <c r="N126" s="405">
        <v>0</v>
      </c>
      <c r="O126" s="405">
        <v>0</v>
      </c>
      <c r="P126" s="405">
        <v>0</v>
      </c>
      <c r="Q126" s="390"/>
      <c r="R126" s="391">
        <f>SUM(E126:P126)</f>
        <v>0</v>
      </c>
      <c r="S126" s="199" t="s">
        <v>29</v>
      </c>
    </row>
    <row r="127" spans="1:19">
      <c r="A127" s="256">
        <f>A126+1</f>
        <v>76</v>
      </c>
      <c r="B127" s="250" t="s">
        <v>222</v>
      </c>
      <c r="C127" s="250"/>
      <c r="D127" s="232">
        <f>SUM(E127:P127)</f>
        <v>572</v>
      </c>
      <c r="E127" s="180">
        <f>_xll.Get_Balance(E$83,"PTD","USD","Total","A","","001","557395","ED","AN","DL")</f>
        <v>10</v>
      </c>
      <c r="F127" s="180">
        <f>_xll.Get_Balance(F$83,"PTD","USD","Total","A","","001","557395","ED","AN","DL")</f>
        <v>15</v>
      </c>
      <c r="G127" s="180">
        <f>_xll.Get_Balance(G$83,"PTD","USD","Total","A","","001","557395","ED","AN","DL")</f>
        <v>34</v>
      </c>
      <c r="H127" s="180">
        <f>_xll.Get_Balance(H$83,"PTD","USD","Total","A","","001","557395","ED","AN","DL")</f>
        <v>30</v>
      </c>
      <c r="I127" s="180">
        <f>_xll.Get_Balance(I$83,"PTD","USD","Total","A","","001","557395","ED","AN","DL")</f>
        <v>30</v>
      </c>
      <c r="J127" s="180">
        <f>_xll.Get_Balance(J$83,"PTD","USD","Total","A","","001","557395","ED","AN","DL")</f>
        <v>36</v>
      </c>
      <c r="K127" s="180">
        <f>_xll.Get_Balance(K$83,"PTD","USD","Total","A","","001","557395","ED","AN","DL")</f>
        <v>196</v>
      </c>
      <c r="L127" s="180">
        <f>_xll.Get_Balance(L$83,"PTD","USD","Total","A","","001","557395","ED","AN","DL")</f>
        <v>160</v>
      </c>
      <c r="M127" s="180">
        <f>_xll.Get_Balance(M$83,"PTD","USD","Total","A","","001","557395","ED","AN","DL")</f>
        <v>61</v>
      </c>
      <c r="N127" s="180">
        <f>_xll.Get_Balance(N$83,"PTD","USD","Total","A","","001","557395","ED","AN","DL")</f>
        <v>0</v>
      </c>
      <c r="O127" s="180">
        <f>_xll.Get_Balance(O$83,"PTD","USD","Total","A","","001","557395","ED","AN","DL")</f>
        <v>0</v>
      </c>
      <c r="P127" s="180">
        <f>_xll.Get_Balance(P$83,"PTD","USD","Total","A","","001","557395","ED","AN","DL")</f>
        <v>0</v>
      </c>
      <c r="Q127" s="390"/>
      <c r="R127" s="392">
        <f>SUM(E127:P127)</f>
        <v>572</v>
      </c>
    </row>
    <row r="128" spans="1:19" ht="17.25" customHeight="1">
      <c r="A128" s="255">
        <f>A127+1</f>
        <v>77</v>
      </c>
      <c r="B128" s="251" t="s">
        <v>223</v>
      </c>
      <c r="C128" s="251"/>
      <c r="D128" s="181">
        <f>SUM(E128:P128)</f>
        <v>572</v>
      </c>
      <c r="E128" s="181">
        <f>E127-E126</f>
        <v>10</v>
      </c>
      <c r="F128" s="181">
        <f t="shared" ref="F128:P128" si="36">F127-F126</f>
        <v>15</v>
      </c>
      <c r="G128" s="181">
        <f t="shared" si="36"/>
        <v>34</v>
      </c>
      <c r="H128" s="181">
        <f t="shared" si="36"/>
        <v>30</v>
      </c>
      <c r="I128" s="181">
        <f t="shared" si="36"/>
        <v>30</v>
      </c>
      <c r="J128" s="181">
        <f t="shared" si="36"/>
        <v>36</v>
      </c>
      <c r="K128" s="181">
        <f t="shared" si="36"/>
        <v>196</v>
      </c>
      <c r="L128" s="181">
        <f t="shared" si="36"/>
        <v>160</v>
      </c>
      <c r="M128" s="181">
        <f t="shared" si="36"/>
        <v>61</v>
      </c>
      <c r="N128" s="181">
        <f t="shared" si="36"/>
        <v>0</v>
      </c>
      <c r="O128" s="181">
        <f t="shared" si="36"/>
        <v>0</v>
      </c>
      <c r="P128" s="181">
        <f t="shared" si="36"/>
        <v>0</v>
      </c>
      <c r="Q128" s="390"/>
      <c r="R128" s="391">
        <f>SUM(E128:P128)</f>
        <v>572</v>
      </c>
    </row>
    <row r="129" spans="1:19" ht="17.25" customHeight="1">
      <c r="A129" s="255"/>
      <c r="B129" s="251"/>
      <c r="C129" s="251"/>
      <c r="D129" s="181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390"/>
      <c r="R129" s="391"/>
    </row>
    <row r="130" spans="1:19">
      <c r="A130" s="255">
        <f>A128+1</f>
        <v>78</v>
      </c>
      <c r="B130" s="244" t="s">
        <v>348</v>
      </c>
      <c r="C130" s="244"/>
      <c r="D130" s="206">
        <f>SUM(E130:P130)</f>
        <v>0</v>
      </c>
      <c r="E130" s="192">
        <f>_xll.Get_Balance(E$83,"PTD","USD","Total","A","","001","557160","ED","WA","DL")</f>
        <v>0</v>
      </c>
      <c r="F130" s="192">
        <f>_xll.Get_Balance(F$83,"PTD","USD","Total","A","","001","557160","ED","WA","DL")</f>
        <v>0</v>
      </c>
      <c r="G130" s="192">
        <f>_xll.Get_Balance(G$83,"PTD","USD","Total","A","","001","557160","ED","WA","DL")*0</f>
        <v>0</v>
      </c>
      <c r="H130" s="192">
        <f>_xll.Get_Balance(H$83,"PTD","USD","Total","A","","001","557160","ED","WA","DL")</f>
        <v>0</v>
      </c>
      <c r="I130" s="192">
        <f>_xll.Get_Balance(I$83,"PTD","USD","Total","A","","001","557160","ED","WA","DL")</f>
        <v>0</v>
      </c>
      <c r="J130" s="192">
        <f>_xll.Get_Balance(J$83,"PTD","USD","Total","A","","001","557160","ED","WA","DL")*0</f>
        <v>0</v>
      </c>
      <c r="K130" s="192">
        <f>_xll.Get_Balance(K$83,"PTD","USD","Total","A","","001","557160","ED","WA","DL")</f>
        <v>0</v>
      </c>
      <c r="L130" s="192">
        <f>_xll.Get_Balance(L$83,"PTD","USD","Total","A","","001","557160","ED","WA","DL")</f>
        <v>0</v>
      </c>
      <c r="M130" s="192">
        <f>_xll.Get_Balance(M$83,"PTD","USD","Total","A","","001","557160","ED","WA","DL")</f>
        <v>0</v>
      </c>
      <c r="N130" s="192">
        <f>_xll.Get_Balance(N$83,"PTD","USD","Total","A","","001","557160","ED","WA","DL")</f>
        <v>0</v>
      </c>
      <c r="O130" s="192">
        <f>_xll.Get_Balance(O$83,"PTD","USD","Total","A","","001","557160","ED","WA","DL")</f>
        <v>0</v>
      </c>
      <c r="P130" s="192">
        <f>_xll.Get_Balance(P$83,"PTD","USD","Total","A","","001","557160","ED","WA","DL")</f>
        <v>0</v>
      </c>
      <c r="Q130" s="390"/>
      <c r="R130" s="391">
        <f>SUM(E130:P130)</f>
        <v>0</v>
      </c>
      <c r="S130" s="199" t="s">
        <v>29</v>
      </c>
    </row>
    <row r="131" spans="1:19">
      <c r="A131" s="255">
        <f>A130+1</f>
        <v>79</v>
      </c>
      <c r="B131" s="244" t="s">
        <v>349</v>
      </c>
      <c r="C131" s="244"/>
      <c r="D131" s="206">
        <f>SUM(E131:P131)</f>
        <v>0</v>
      </c>
      <c r="E131" s="192">
        <f>_xll.Get_Balance(E$83,"PTD","USD","Total","A","","001","557170","ED","WA","DL")</f>
        <v>0</v>
      </c>
      <c r="F131" s="192">
        <f>_xll.Get_Balance(F$83,"PTD","USD","Total","A","","001","557170","ED","WA","DL")</f>
        <v>0</v>
      </c>
      <c r="G131" s="192">
        <f>_xll.Get_Balance(G$83,"PTD","USD","Total","A","","001","557170","ED","WA","DL")</f>
        <v>0</v>
      </c>
      <c r="H131" s="192">
        <f>_xll.Get_Balance(H$83,"PTD","USD","Total","A","","001","557170","ED","WA","DL")</f>
        <v>0</v>
      </c>
      <c r="I131" s="192">
        <f>_xll.Get_Balance(I$83,"PTD","USD","Total","A","","001","557170","ED","WA","DL")</f>
        <v>0</v>
      </c>
      <c r="J131" s="192">
        <f>_xll.Get_Balance(J$83,"PTD","USD","Total","A","","001","557170","ED","WA","DL")</f>
        <v>0</v>
      </c>
      <c r="K131" s="192">
        <f>_xll.Get_Balance(K$83,"PTD","USD","Total","A","","001","557170","ED","WA","DL")</f>
        <v>0</v>
      </c>
      <c r="L131" s="192">
        <f>_xll.Get_Balance(L$83,"PTD","USD","Total","A","","001","557170","ED","WA","DL")</f>
        <v>0</v>
      </c>
      <c r="M131" s="192">
        <f>_xll.Get_Balance(M$83,"PTD","USD","Total","A","","001","557170","ED","WA","DL")</f>
        <v>0</v>
      </c>
      <c r="N131" s="192">
        <f>_xll.Get_Balance(N$83,"PTD","USD","Total","A","","001","557170","ED","WA","DL")</f>
        <v>0</v>
      </c>
      <c r="O131" s="192">
        <f>_xll.Get_Balance(O$83,"PTD","USD","Total","A","","001","557170","ED","WA","DL")</f>
        <v>0</v>
      </c>
      <c r="P131" s="192">
        <f>_xll.Get_Balance(P$83,"PTD","USD","Total","A","","001","557170","ED","WA","DL")</f>
        <v>0</v>
      </c>
      <c r="Q131" s="390"/>
      <c r="R131" s="391"/>
      <c r="S131" s="199"/>
    </row>
    <row r="132" spans="1:19">
      <c r="A132" s="256">
        <f>A131+1</f>
        <v>80</v>
      </c>
      <c r="B132" s="246" t="s">
        <v>350</v>
      </c>
      <c r="C132" s="250"/>
      <c r="D132" s="232">
        <f>SUM(E132:P132)</f>
        <v>0</v>
      </c>
      <c r="E132" s="180">
        <f>_xll.Get_Balance(E$83,"PTD","USD","Total","A","","001","557171","ED","WA","DL")</f>
        <v>0</v>
      </c>
      <c r="F132" s="180">
        <f>_xll.Get_Balance(F$83,"PTD","USD","Total","A","","001","557171","ED","WA","DL")</f>
        <v>0</v>
      </c>
      <c r="G132" s="180">
        <f>_xll.Get_Balance(G$83,"PTD","USD","Total","A","","001","557171","ED","WA","DL")</f>
        <v>0</v>
      </c>
      <c r="H132" s="180">
        <f>_xll.Get_Balance(H$83,"PTD","USD","Total","A","","001","557171","ED","WA","DL")</f>
        <v>0</v>
      </c>
      <c r="I132" s="180">
        <f>_xll.Get_Balance(I$83,"PTD","USD","Total","A","","001","557171","ED","WA","DL")</f>
        <v>0</v>
      </c>
      <c r="J132" s="180">
        <f>_xll.Get_Balance(J$83,"PTD","USD","Total","A","","001","557171","ED","WA","DL")</f>
        <v>0</v>
      </c>
      <c r="K132" s="180">
        <f>_xll.Get_Balance(K$83,"PTD","USD","Total","A","","001","557171","ED","WA","DL")</f>
        <v>0</v>
      </c>
      <c r="L132" s="180">
        <f>_xll.Get_Balance(L$83,"PTD","USD","Total","A","","001","557171","ED","WA","DL")</f>
        <v>0</v>
      </c>
      <c r="M132" s="180">
        <f>_xll.Get_Balance(M$83,"PTD","USD","Total","A","","001","557171","ED","WA","DL")</f>
        <v>0</v>
      </c>
      <c r="N132" s="180">
        <f>_xll.Get_Balance(N$83,"PTD","USD","Total","A","","001","557171","ED","WA","DL")</f>
        <v>0</v>
      </c>
      <c r="O132" s="180">
        <f>_xll.Get_Balance(O$83,"PTD","USD","Total","A","","001","557171","ED","WA","DL")</f>
        <v>0</v>
      </c>
      <c r="P132" s="180">
        <f>_xll.Get_Balance(P$83,"PTD","USD","Total","A","","001","557171","ED","WA","DL")</f>
        <v>0</v>
      </c>
      <c r="Q132" s="390"/>
      <c r="R132" s="392">
        <f>SUM(E132:P132)</f>
        <v>0</v>
      </c>
    </row>
    <row r="133" spans="1:19" ht="17.25" customHeight="1">
      <c r="A133" s="255">
        <f>A132+1</f>
        <v>81</v>
      </c>
      <c r="B133" s="251" t="s">
        <v>347</v>
      </c>
      <c r="C133" s="251"/>
      <c r="D133" s="181">
        <f>E133+F133+G133+H133+I133+J133+K133</f>
        <v>0</v>
      </c>
      <c r="E133" s="181">
        <f>E130+E131+E132</f>
        <v>0</v>
      </c>
      <c r="F133" s="181">
        <f t="shared" ref="F133:P133" si="37">F130+F131+F132</f>
        <v>0</v>
      </c>
      <c r="G133" s="181">
        <f t="shared" si="37"/>
        <v>0</v>
      </c>
      <c r="H133" s="181">
        <f t="shared" si="37"/>
        <v>0</v>
      </c>
      <c r="I133" s="181">
        <f t="shared" si="37"/>
        <v>0</v>
      </c>
      <c r="J133" s="181">
        <f t="shared" si="37"/>
        <v>0</v>
      </c>
      <c r="K133" s="181">
        <f t="shared" si="37"/>
        <v>0</v>
      </c>
      <c r="L133" s="181">
        <f t="shared" si="37"/>
        <v>0</v>
      </c>
      <c r="M133" s="181">
        <f t="shared" si="37"/>
        <v>0</v>
      </c>
      <c r="N133" s="181">
        <f t="shared" si="37"/>
        <v>0</v>
      </c>
      <c r="O133" s="181">
        <f t="shared" si="37"/>
        <v>0</v>
      </c>
      <c r="P133" s="181">
        <f t="shared" si="37"/>
        <v>0</v>
      </c>
      <c r="Q133" s="181">
        <f>Q130+Q131+Q132</f>
        <v>0</v>
      </c>
      <c r="R133" s="181">
        <f>R130+R131+R132</f>
        <v>0</v>
      </c>
    </row>
    <row r="134" spans="1:19" ht="7.5" customHeight="1">
      <c r="A134" s="255"/>
      <c r="B134" s="252"/>
      <c r="C134" s="252"/>
      <c r="D134" s="406"/>
      <c r="E134" s="206"/>
      <c r="F134" s="192"/>
      <c r="G134" s="192"/>
      <c r="H134" s="192"/>
      <c r="I134" s="192"/>
      <c r="J134" s="192"/>
      <c r="K134" s="192"/>
      <c r="L134" s="192"/>
      <c r="M134" s="192"/>
      <c r="N134" s="192"/>
      <c r="O134" s="192"/>
      <c r="P134" s="192"/>
      <c r="Q134" s="390"/>
      <c r="R134" s="391"/>
    </row>
    <row r="135" spans="1:19" ht="23.25" customHeight="1">
      <c r="A135" s="367">
        <f>A133+1</f>
        <v>82</v>
      </c>
      <c r="B135" s="240" t="s">
        <v>192</v>
      </c>
      <c r="C135" s="240"/>
      <c r="D135" s="194">
        <f>SUM(E135:P135)</f>
        <v>-10307174</v>
      </c>
      <c r="E135" s="171">
        <f t="shared" ref="E135:P135" si="38">IF(E23=0," ",E119+E123+E128)</f>
        <v>-641912</v>
      </c>
      <c r="F135" s="171">
        <f t="shared" si="38"/>
        <v>-1114849</v>
      </c>
      <c r="G135" s="171">
        <f t="shared" si="38"/>
        <v>-797723</v>
      </c>
      <c r="H135" s="171">
        <f t="shared" si="38"/>
        <v>-1239602</v>
      </c>
      <c r="I135" s="171">
        <f t="shared" si="38"/>
        <v>-1465561</v>
      </c>
      <c r="J135" s="171">
        <f t="shared" si="38"/>
        <v>-1476561</v>
      </c>
      <c r="K135" s="171">
        <f t="shared" si="38"/>
        <v>-1394230</v>
      </c>
      <c r="L135" s="171">
        <f t="shared" si="38"/>
        <v>-912263</v>
      </c>
      <c r="M135" s="171">
        <f t="shared" si="38"/>
        <v>-1264473</v>
      </c>
      <c r="N135" s="171" t="str">
        <f t="shared" si="38"/>
        <v xml:space="preserve"> </v>
      </c>
      <c r="O135" s="171">
        <f t="shared" si="38"/>
        <v>0</v>
      </c>
      <c r="P135" s="171">
        <f t="shared" si="38"/>
        <v>0</v>
      </c>
      <c r="Q135" s="390"/>
      <c r="R135" s="391">
        <f>SUM(F135:Q135)</f>
        <v>-9665262</v>
      </c>
    </row>
    <row r="136" spans="1:19" ht="9.75" customHeight="1">
      <c r="B136" s="52"/>
      <c r="C136" s="52"/>
      <c r="E136" s="176"/>
      <c r="F136" s="176"/>
      <c r="G136" s="176"/>
      <c r="H136" s="176"/>
      <c r="I136" s="176"/>
      <c r="J136" s="176"/>
      <c r="K136" s="176"/>
      <c r="L136" s="176"/>
      <c r="M136" s="176"/>
      <c r="N136" s="176"/>
      <c r="O136" s="176"/>
      <c r="P136" s="176"/>
      <c r="Q136" s="390"/>
      <c r="R136" s="391"/>
    </row>
    <row r="137" spans="1:19" s="184" customFormat="1" ht="25.5" customHeight="1" thickBot="1">
      <c r="A137" s="407">
        <f>A135+1</f>
        <v>83</v>
      </c>
      <c r="B137" s="253" t="s">
        <v>11</v>
      </c>
      <c r="C137" s="253"/>
      <c r="D137" s="408">
        <f>SUM(E137:P137)</f>
        <v>83246264</v>
      </c>
      <c r="E137" s="198">
        <f t="shared" ref="E137:P137" si="39">IF(E23=0," ",E81+E92+E98+E105+E135+E133)</f>
        <v>12192934</v>
      </c>
      <c r="F137" s="198">
        <f t="shared" si="39"/>
        <v>10729456</v>
      </c>
      <c r="G137" s="198">
        <f t="shared" si="39"/>
        <v>9915933</v>
      </c>
      <c r="H137" s="198">
        <f t="shared" si="39"/>
        <v>5542624</v>
      </c>
      <c r="I137" s="198">
        <f t="shared" si="39"/>
        <v>2082804</v>
      </c>
      <c r="J137" s="198">
        <f t="shared" si="39"/>
        <v>2947387</v>
      </c>
      <c r="K137" s="198">
        <f t="shared" si="39"/>
        <v>11690361</v>
      </c>
      <c r="L137" s="198">
        <f t="shared" si="39"/>
        <v>15710836</v>
      </c>
      <c r="M137" s="198">
        <f t="shared" si="39"/>
        <v>12369831</v>
      </c>
      <c r="N137" s="198" t="str">
        <f t="shared" si="39"/>
        <v xml:space="preserve"> </v>
      </c>
      <c r="O137" s="198">
        <f t="shared" si="39"/>
        <v>31525</v>
      </c>
      <c r="P137" s="198">
        <f t="shared" si="39"/>
        <v>32573</v>
      </c>
      <c r="Q137" s="393"/>
      <c r="R137" s="409"/>
    </row>
    <row r="138" spans="1:19" ht="13.5" thickTop="1">
      <c r="E138" s="371"/>
      <c r="F138" s="371"/>
      <c r="G138" s="371"/>
      <c r="H138" s="371"/>
      <c r="I138" s="371"/>
      <c r="J138" s="371"/>
      <c r="K138" s="371"/>
      <c r="L138" s="371"/>
      <c r="M138" s="371"/>
      <c r="N138" s="371"/>
      <c r="O138" s="371"/>
      <c r="P138" s="371"/>
      <c r="Q138" s="378"/>
    </row>
    <row r="139" spans="1:19">
      <c r="Q139" s="378"/>
    </row>
    <row r="140" spans="1:19">
      <c r="E140" s="371"/>
      <c r="F140" s="371"/>
      <c r="G140" s="371"/>
      <c r="H140" s="371"/>
      <c r="I140" s="371"/>
      <c r="J140" s="113"/>
      <c r="K140" s="371"/>
      <c r="L140" s="371"/>
      <c r="M140" s="371"/>
      <c r="N140" s="371"/>
      <c r="O140" s="371"/>
      <c r="P140" s="371"/>
      <c r="Q140" s="378"/>
    </row>
    <row r="141" spans="1:19">
      <c r="E141" s="371"/>
      <c r="F141" s="371"/>
      <c r="G141" s="371"/>
      <c r="H141" s="371"/>
      <c r="I141" s="371"/>
      <c r="J141" s="113"/>
      <c r="K141" s="371"/>
      <c r="L141" s="371"/>
      <c r="M141" s="371"/>
      <c r="N141" s="371"/>
      <c r="O141" s="371"/>
      <c r="P141" s="371"/>
      <c r="Q141" s="378"/>
    </row>
    <row r="142" spans="1:19">
      <c r="E142" s="371"/>
      <c r="F142" s="371"/>
      <c r="G142" s="371"/>
      <c r="H142" s="371"/>
      <c r="I142" s="371"/>
      <c r="J142" s="113"/>
      <c r="K142" s="371"/>
      <c r="L142" s="371"/>
      <c r="M142" s="371"/>
      <c r="N142" s="371"/>
      <c r="O142" s="371"/>
      <c r="P142" s="371"/>
      <c r="Q142" s="378"/>
    </row>
    <row r="143" spans="1:19">
      <c r="E143" s="371"/>
      <c r="F143" s="371"/>
      <c r="G143" s="371"/>
      <c r="H143" s="371"/>
      <c r="I143" s="371"/>
      <c r="J143" s="113"/>
      <c r="K143" s="371"/>
      <c r="L143" s="371"/>
      <c r="M143" s="371"/>
      <c r="N143" s="371"/>
      <c r="O143" s="371"/>
      <c r="P143" s="371"/>
      <c r="Q143" s="378"/>
    </row>
    <row r="144" spans="1:19">
      <c r="E144" s="371"/>
      <c r="F144" s="371"/>
      <c r="G144" s="371"/>
      <c r="H144" s="371"/>
      <c r="I144" s="371"/>
      <c r="J144" s="113"/>
      <c r="K144" s="371"/>
      <c r="L144" s="371"/>
      <c r="M144" s="371"/>
      <c r="N144" s="371"/>
      <c r="O144" s="371"/>
      <c r="P144" s="371"/>
      <c r="Q144" s="378"/>
    </row>
    <row r="145" spans="5:17">
      <c r="E145" s="371"/>
      <c r="F145" s="371"/>
      <c r="G145" s="371"/>
      <c r="H145" s="371"/>
      <c r="I145" s="371"/>
      <c r="J145" s="113"/>
      <c r="K145" s="371"/>
      <c r="L145" s="371"/>
      <c r="M145" s="371"/>
      <c r="N145" s="371"/>
      <c r="O145" s="371"/>
      <c r="P145" s="371"/>
      <c r="Q145" s="378"/>
    </row>
    <row r="146" spans="5:17">
      <c r="E146" s="371"/>
      <c r="F146" s="371"/>
      <c r="G146" s="371"/>
      <c r="H146" s="371"/>
      <c r="I146" s="371"/>
      <c r="J146" s="113"/>
      <c r="K146" s="371"/>
      <c r="L146" s="371"/>
      <c r="M146" s="371"/>
      <c r="N146" s="371"/>
      <c r="O146" s="371"/>
      <c r="P146" s="371"/>
      <c r="Q146" s="378"/>
    </row>
    <row r="147" spans="5:17">
      <c r="E147" s="371"/>
      <c r="F147" s="371"/>
      <c r="G147" s="371"/>
      <c r="H147" s="371"/>
      <c r="I147" s="371"/>
      <c r="J147" s="113"/>
      <c r="K147" s="371"/>
      <c r="L147" s="371"/>
      <c r="M147" s="371"/>
      <c r="N147" s="371"/>
      <c r="O147" s="371"/>
      <c r="P147" s="371"/>
      <c r="Q147" s="378"/>
    </row>
    <row r="148" spans="5:17">
      <c r="E148" s="371"/>
      <c r="F148" s="371"/>
      <c r="G148" s="371"/>
      <c r="H148" s="371"/>
      <c r="I148" s="371"/>
      <c r="J148" s="113"/>
      <c r="K148" s="371"/>
      <c r="L148" s="371"/>
      <c r="M148" s="371"/>
      <c r="N148" s="371"/>
      <c r="O148" s="371"/>
      <c r="P148" s="371"/>
      <c r="Q148" s="378"/>
    </row>
    <row r="149" spans="5:17">
      <c r="E149" s="371"/>
      <c r="F149" s="371"/>
      <c r="G149" s="371"/>
      <c r="H149" s="371"/>
      <c r="I149" s="371"/>
      <c r="J149" s="113"/>
      <c r="K149" s="371"/>
      <c r="L149" s="371"/>
      <c r="M149" s="371"/>
      <c r="N149" s="371"/>
      <c r="O149" s="371"/>
      <c r="P149" s="371"/>
      <c r="Q149" s="378"/>
    </row>
    <row r="150" spans="5:17">
      <c r="E150" s="371"/>
      <c r="F150" s="371"/>
      <c r="G150" s="371"/>
      <c r="H150" s="371"/>
      <c r="I150" s="371"/>
      <c r="J150" s="371"/>
      <c r="K150" s="371"/>
      <c r="L150" s="371"/>
      <c r="M150" s="371"/>
      <c r="N150" s="371"/>
      <c r="O150" s="371"/>
      <c r="P150" s="371"/>
      <c r="Q150" s="378"/>
    </row>
    <row r="151" spans="5:17">
      <c r="E151" s="371"/>
      <c r="F151" s="371"/>
      <c r="G151" s="371"/>
      <c r="H151" s="371"/>
      <c r="I151" s="371"/>
      <c r="J151" s="371"/>
      <c r="K151" s="371"/>
      <c r="L151" s="371"/>
      <c r="M151" s="371"/>
      <c r="N151" s="371"/>
      <c r="O151" s="371"/>
      <c r="P151" s="371"/>
      <c r="Q151" s="378"/>
    </row>
    <row r="152" spans="5:17">
      <c r="E152" s="371"/>
      <c r="F152" s="371"/>
      <c r="G152" s="371"/>
      <c r="H152" s="371"/>
      <c r="I152" s="371"/>
      <c r="J152" s="371"/>
      <c r="K152" s="371"/>
      <c r="L152" s="371"/>
      <c r="M152" s="371"/>
      <c r="N152" s="371"/>
      <c r="O152" s="371"/>
      <c r="P152" s="371"/>
      <c r="Q152" s="378"/>
    </row>
    <row r="153" spans="5:17">
      <c r="E153" s="371"/>
      <c r="F153" s="371"/>
      <c r="G153" s="371"/>
      <c r="H153" s="371"/>
      <c r="I153" s="371"/>
      <c r="J153" s="371"/>
      <c r="K153" s="371"/>
      <c r="L153" s="371"/>
      <c r="M153" s="371"/>
      <c r="N153" s="371"/>
      <c r="O153" s="371"/>
      <c r="P153" s="371"/>
      <c r="Q153" s="378"/>
    </row>
    <row r="154" spans="5:17">
      <c r="E154" s="371"/>
      <c r="F154" s="371"/>
      <c r="G154" s="371"/>
      <c r="H154" s="371"/>
      <c r="I154" s="371"/>
      <c r="J154" s="371"/>
      <c r="K154" s="371"/>
      <c r="L154" s="371"/>
      <c r="M154" s="371"/>
      <c r="N154" s="371"/>
      <c r="O154" s="371"/>
      <c r="P154" s="371"/>
      <c r="Q154" s="378"/>
    </row>
    <row r="155" spans="5:17">
      <c r="E155" s="371"/>
      <c r="F155" s="371"/>
      <c r="G155" s="371"/>
      <c r="H155" s="371"/>
      <c r="I155" s="371"/>
      <c r="J155" s="371"/>
      <c r="K155" s="371"/>
      <c r="L155" s="371"/>
      <c r="M155" s="371"/>
      <c r="N155" s="371"/>
      <c r="O155" s="371"/>
      <c r="P155" s="371"/>
      <c r="Q155" s="378"/>
    </row>
    <row r="156" spans="5:17">
      <c r="E156" s="371"/>
      <c r="F156" s="371"/>
      <c r="G156" s="371"/>
      <c r="H156" s="371"/>
      <c r="I156" s="371"/>
      <c r="J156" s="371"/>
      <c r="K156" s="371"/>
      <c r="L156" s="371"/>
      <c r="M156" s="371"/>
      <c r="N156" s="371"/>
      <c r="O156" s="371"/>
      <c r="P156" s="371"/>
      <c r="Q156" s="378"/>
    </row>
    <row r="157" spans="5:17">
      <c r="E157" s="371"/>
      <c r="F157" s="371"/>
      <c r="G157" s="371"/>
      <c r="H157" s="371"/>
      <c r="I157" s="371"/>
      <c r="J157" s="371"/>
      <c r="K157" s="371"/>
      <c r="L157" s="371"/>
      <c r="M157" s="371"/>
      <c r="N157" s="371"/>
      <c r="O157" s="371"/>
      <c r="P157" s="371"/>
      <c r="Q157" s="378"/>
    </row>
    <row r="158" spans="5:17">
      <c r="E158" s="371"/>
      <c r="F158" s="371"/>
      <c r="G158" s="371"/>
      <c r="H158" s="371"/>
      <c r="I158" s="371"/>
      <c r="J158" s="371"/>
      <c r="K158" s="371"/>
      <c r="L158" s="371"/>
      <c r="M158" s="371"/>
      <c r="N158" s="371"/>
      <c r="O158" s="371"/>
      <c r="P158" s="371"/>
      <c r="Q158" s="378"/>
    </row>
    <row r="159" spans="5:17">
      <c r="E159" s="371"/>
      <c r="F159" s="371"/>
      <c r="G159" s="371"/>
      <c r="H159" s="371"/>
      <c r="I159" s="371"/>
      <c r="J159" s="371"/>
      <c r="K159" s="371"/>
      <c r="L159" s="371"/>
      <c r="M159" s="371"/>
      <c r="N159" s="371"/>
      <c r="O159" s="371"/>
      <c r="P159" s="371"/>
      <c r="Q159" s="378"/>
    </row>
    <row r="160" spans="5:17">
      <c r="E160" s="371"/>
      <c r="F160" s="371"/>
      <c r="G160" s="371"/>
      <c r="H160" s="371"/>
      <c r="I160" s="371"/>
      <c r="J160" s="371"/>
      <c r="K160" s="371"/>
      <c r="L160" s="371"/>
      <c r="M160" s="371"/>
      <c r="N160" s="371"/>
      <c r="O160" s="371"/>
      <c r="P160" s="371"/>
      <c r="Q160" s="378"/>
    </row>
    <row r="161" spans="5:17">
      <c r="E161" s="371"/>
      <c r="F161" s="371"/>
      <c r="G161" s="371"/>
      <c r="H161" s="371"/>
      <c r="I161" s="371"/>
      <c r="J161" s="371"/>
      <c r="K161" s="371"/>
      <c r="L161" s="371"/>
      <c r="M161" s="371"/>
      <c r="N161" s="371"/>
      <c r="O161" s="371"/>
      <c r="P161" s="371"/>
      <c r="Q161" s="378"/>
    </row>
    <row r="162" spans="5:17">
      <c r="E162" s="371"/>
      <c r="F162" s="371"/>
      <c r="G162" s="371"/>
      <c r="H162" s="371"/>
      <c r="I162" s="371"/>
      <c r="J162" s="371"/>
      <c r="K162" s="371"/>
      <c r="L162" s="371"/>
      <c r="M162" s="371"/>
      <c r="N162" s="371"/>
      <c r="O162" s="371"/>
      <c r="P162" s="371"/>
      <c r="Q162" s="378"/>
    </row>
    <row r="163" spans="5:17">
      <c r="E163" s="371"/>
      <c r="F163" s="371"/>
      <c r="G163" s="371"/>
      <c r="H163" s="371"/>
      <c r="I163" s="371"/>
      <c r="J163" s="371"/>
      <c r="K163" s="371"/>
      <c r="L163" s="371"/>
      <c r="M163" s="371"/>
      <c r="N163" s="371"/>
      <c r="O163" s="371"/>
      <c r="P163" s="371"/>
      <c r="Q163" s="378"/>
    </row>
    <row r="164" spans="5:17">
      <c r="E164" s="371"/>
      <c r="F164" s="371"/>
      <c r="G164" s="371"/>
      <c r="H164" s="371"/>
      <c r="I164" s="371"/>
      <c r="J164" s="371"/>
      <c r="K164" s="371"/>
      <c r="L164" s="371"/>
      <c r="M164" s="371"/>
      <c r="N164" s="371"/>
      <c r="O164" s="371"/>
      <c r="P164" s="371"/>
      <c r="Q164" s="378"/>
    </row>
    <row r="165" spans="5:17">
      <c r="E165" s="371"/>
      <c r="F165" s="371"/>
      <c r="G165" s="371"/>
      <c r="H165" s="371"/>
      <c r="I165" s="371"/>
      <c r="J165" s="371"/>
      <c r="K165" s="371"/>
      <c r="L165" s="371"/>
      <c r="M165" s="371"/>
      <c r="N165" s="371"/>
      <c r="O165" s="371"/>
      <c r="P165" s="371"/>
      <c r="Q165" s="378"/>
    </row>
    <row r="166" spans="5:17">
      <c r="E166" s="371"/>
      <c r="F166" s="371"/>
      <c r="G166" s="371"/>
      <c r="H166" s="371"/>
      <c r="I166" s="371"/>
      <c r="J166" s="371"/>
      <c r="K166" s="371"/>
      <c r="L166" s="371"/>
      <c r="M166" s="371"/>
      <c r="N166" s="371"/>
      <c r="O166" s="371"/>
      <c r="P166" s="371"/>
      <c r="Q166" s="378"/>
    </row>
    <row r="167" spans="5:17">
      <c r="E167" s="371"/>
      <c r="F167" s="371"/>
      <c r="G167" s="371"/>
      <c r="H167" s="371"/>
      <c r="I167" s="371"/>
      <c r="J167" s="371"/>
      <c r="K167" s="371"/>
      <c r="L167" s="371"/>
      <c r="M167" s="371"/>
      <c r="N167" s="371"/>
      <c r="O167" s="371"/>
      <c r="P167" s="371"/>
      <c r="Q167" s="378"/>
    </row>
    <row r="168" spans="5:17">
      <c r="E168" s="371"/>
      <c r="F168" s="371"/>
      <c r="G168" s="371"/>
      <c r="H168" s="371"/>
      <c r="I168" s="371"/>
      <c r="J168" s="371"/>
      <c r="K168" s="371"/>
      <c r="L168" s="371"/>
      <c r="M168" s="371"/>
      <c r="N168" s="371"/>
      <c r="O168" s="371"/>
      <c r="P168" s="371"/>
      <c r="Q168" s="378"/>
    </row>
    <row r="169" spans="5:17">
      <c r="E169" s="371"/>
      <c r="F169" s="371"/>
      <c r="G169" s="371"/>
      <c r="H169" s="371"/>
      <c r="I169" s="371"/>
      <c r="J169" s="371"/>
      <c r="K169" s="371"/>
      <c r="L169" s="371"/>
      <c r="M169" s="371"/>
      <c r="N169" s="371"/>
      <c r="O169" s="371"/>
      <c r="P169" s="371"/>
      <c r="Q169" s="378"/>
    </row>
    <row r="170" spans="5:17">
      <c r="E170" s="371"/>
      <c r="F170" s="371"/>
      <c r="G170" s="371"/>
      <c r="H170" s="371"/>
      <c r="I170" s="371"/>
      <c r="J170" s="371"/>
      <c r="K170" s="371"/>
      <c r="L170" s="371"/>
      <c r="M170" s="371"/>
      <c r="N170" s="371"/>
      <c r="O170" s="371"/>
      <c r="P170" s="371"/>
      <c r="Q170" s="378"/>
    </row>
    <row r="171" spans="5:17">
      <c r="E171" s="371"/>
      <c r="F171" s="371"/>
      <c r="G171" s="371"/>
      <c r="H171" s="371"/>
      <c r="I171" s="371"/>
      <c r="J171" s="371"/>
      <c r="K171" s="371"/>
      <c r="L171" s="371"/>
      <c r="M171" s="371"/>
      <c r="N171" s="371"/>
      <c r="O171" s="371"/>
      <c r="P171" s="371"/>
      <c r="Q171" s="378"/>
    </row>
    <row r="172" spans="5:17">
      <c r="E172" s="371"/>
      <c r="F172" s="371"/>
      <c r="G172" s="371"/>
      <c r="H172" s="371"/>
      <c r="I172" s="371"/>
      <c r="J172" s="371"/>
      <c r="K172" s="371"/>
      <c r="L172" s="371"/>
      <c r="M172" s="371"/>
      <c r="N172" s="371"/>
      <c r="O172" s="371"/>
      <c r="P172" s="371"/>
      <c r="Q172" s="378"/>
    </row>
    <row r="173" spans="5:17">
      <c r="E173" s="371"/>
      <c r="F173" s="371"/>
      <c r="G173" s="371"/>
      <c r="H173" s="371"/>
      <c r="I173" s="371"/>
      <c r="J173" s="371"/>
      <c r="K173" s="371"/>
      <c r="L173" s="371"/>
      <c r="M173" s="371"/>
      <c r="N173" s="371"/>
      <c r="O173" s="371"/>
      <c r="P173" s="371"/>
      <c r="Q173" s="378"/>
    </row>
    <row r="174" spans="5:17">
      <c r="E174" s="371"/>
      <c r="F174" s="371"/>
      <c r="G174" s="371"/>
      <c r="H174" s="371"/>
      <c r="I174" s="371"/>
      <c r="J174" s="371"/>
      <c r="K174" s="371"/>
      <c r="L174" s="371"/>
      <c r="M174" s="371"/>
      <c r="N174" s="371"/>
      <c r="O174" s="371"/>
      <c r="P174" s="371"/>
      <c r="Q174" s="378"/>
    </row>
    <row r="175" spans="5:17">
      <c r="E175" s="371"/>
      <c r="F175" s="371"/>
      <c r="G175" s="371"/>
      <c r="H175" s="371"/>
      <c r="I175" s="371"/>
      <c r="J175" s="371"/>
      <c r="K175" s="371"/>
      <c r="L175" s="371"/>
      <c r="M175" s="371"/>
      <c r="N175" s="371"/>
      <c r="O175" s="371"/>
      <c r="P175" s="371"/>
      <c r="Q175" s="378"/>
    </row>
    <row r="176" spans="5:17">
      <c r="E176" s="371"/>
      <c r="F176" s="371"/>
      <c r="G176" s="371"/>
      <c r="H176" s="371"/>
      <c r="I176" s="371"/>
      <c r="J176" s="371"/>
      <c r="K176" s="371"/>
      <c r="L176" s="371"/>
      <c r="M176" s="371"/>
      <c r="N176" s="371"/>
      <c r="O176" s="371"/>
      <c r="P176" s="371"/>
      <c r="Q176" s="378"/>
    </row>
    <row r="177" spans="5:17">
      <c r="E177" s="371"/>
      <c r="F177" s="371"/>
      <c r="G177" s="371"/>
      <c r="H177" s="371"/>
      <c r="I177" s="371"/>
      <c r="J177" s="371"/>
      <c r="K177" s="371"/>
      <c r="L177" s="371"/>
      <c r="M177" s="371"/>
      <c r="N177" s="371"/>
      <c r="O177" s="371"/>
      <c r="P177" s="371"/>
      <c r="Q177" s="378"/>
    </row>
    <row r="178" spans="5:17">
      <c r="E178" s="371"/>
      <c r="F178" s="371"/>
      <c r="G178" s="371"/>
      <c r="H178" s="371"/>
      <c r="I178" s="371"/>
      <c r="J178" s="371"/>
      <c r="K178" s="371"/>
      <c r="L178" s="371"/>
      <c r="M178" s="371"/>
      <c r="N178" s="371"/>
      <c r="O178" s="371"/>
      <c r="P178" s="371"/>
      <c r="Q178" s="378"/>
    </row>
    <row r="179" spans="5:17">
      <c r="E179" s="371"/>
      <c r="F179" s="371"/>
      <c r="G179" s="371"/>
      <c r="H179" s="371"/>
      <c r="I179" s="371"/>
      <c r="J179" s="371"/>
      <c r="K179" s="371"/>
      <c r="L179" s="371"/>
      <c r="M179" s="371"/>
      <c r="N179" s="371"/>
      <c r="O179" s="371"/>
      <c r="P179" s="371"/>
      <c r="Q179" s="378"/>
    </row>
    <row r="180" spans="5:17">
      <c r="E180" s="371"/>
      <c r="F180" s="371"/>
      <c r="G180" s="371"/>
      <c r="H180" s="371"/>
      <c r="I180" s="371"/>
      <c r="J180" s="371"/>
      <c r="K180" s="371"/>
      <c r="L180" s="371"/>
      <c r="M180" s="371"/>
      <c r="N180" s="371"/>
      <c r="O180" s="371"/>
      <c r="P180" s="371"/>
      <c r="Q180" s="378"/>
    </row>
    <row r="181" spans="5:17">
      <c r="E181" s="371"/>
      <c r="F181" s="371"/>
      <c r="G181" s="371"/>
      <c r="H181" s="371"/>
      <c r="I181" s="371"/>
      <c r="J181" s="371"/>
      <c r="K181" s="371"/>
      <c r="L181" s="371"/>
      <c r="M181" s="371"/>
      <c r="N181" s="371"/>
      <c r="O181" s="371"/>
      <c r="P181" s="371"/>
      <c r="Q181" s="378"/>
    </row>
    <row r="182" spans="5:17">
      <c r="E182" s="371"/>
      <c r="F182" s="371"/>
      <c r="G182" s="371"/>
      <c r="H182" s="371"/>
      <c r="I182" s="371"/>
      <c r="J182" s="371"/>
      <c r="K182" s="371"/>
      <c r="L182" s="371"/>
      <c r="M182" s="371"/>
      <c r="N182" s="371"/>
      <c r="O182" s="371"/>
      <c r="P182" s="371"/>
      <c r="Q182" s="378"/>
    </row>
    <row r="183" spans="5:17">
      <c r="E183" s="371"/>
      <c r="F183" s="371"/>
      <c r="G183" s="371"/>
      <c r="H183" s="371"/>
      <c r="I183" s="371"/>
      <c r="J183" s="371"/>
      <c r="K183" s="371"/>
      <c r="L183" s="371"/>
      <c r="M183" s="371"/>
      <c r="N183" s="371"/>
      <c r="O183" s="371"/>
      <c r="P183" s="371"/>
      <c r="Q183" s="378"/>
    </row>
    <row r="184" spans="5:17">
      <c r="E184" s="371"/>
      <c r="F184" s="371"/>
      <c r="G184" s="371"/>
      <c r="H184" s="371"/>
      <c r="I184" s="371"/>
      <c r="J184" s="371"/>
      <c r="K184" s="371"/>
      <c r="L184" s="371"/>
      <c r="M184" s="371"/>
      <c r="N184" s="371"/>
      <c r="O184" s="371"/>
      <c r="P184" s="371"/>
      <c r="Q184" s="378"/>
    </row>
    <row r="185" spans="5:17">
      <c r="E185" s="371"/>
      <c r="F185" s="371"/>
      <c r="G185" s="371"/>
      <c r="H185" s="371"/>
      <c r="I185" s="371"/>
      <c r="J185" s="371"/>
      <c r="K185" s="371"/>
      <c r="L185" s="371"/>
      <c r="M185" s="371"/>
      <c r="N185" s="371"/>
      <c r="O185" s="371"/>
      <c r="P185" s="371"/>
      <c r="Q185" s="378"/>
    </row>
    <row r="186" spans="5:17">
      <c r="E186" s="371"/>
      <c r="F186" s="371"/>
      <c r="G186" s="371"/>
      <c r="H186" s="371"/>
      <c r="I186" s="371"/>
      <c r="J186" s="371"/>
      <c r="K186" s="371"/>
      <c r="L186" s="371"/>
      <c r="M186" s="371"/>
      <c r="N186" s="371"/>
      <c r="O186" s="371"/>
      <c r="P186" s="371"/>
      <c r="Q186" s="378"/>
    </row>
    <row r="187" spans="5:17">
      <c r="E187" s="371"/>
      <c r="F187" s="371"/>
      <c r="G187" s="371"/>
      <c r="H187" s="371"/>
      <c r="I187" s="371"/>
      <c r="J187" s="371"/>
      <c r="K187" s="371"/>
      <c r="L187" s="371"/>
      <c r="M187" s="371"/>
      <c r="N187" s="371"/>
      <c r="O187" s="371"/>
      <c r="P187" s="371"/>
      <c r="Q187" s="378"/>
    </row>
    <row r="188" spans="5:17">
      <c r="E188" s="371"/>
      <c r="F188" s="371"/>
      <c r="G188" s="371"/>
      <c r="H188" s="371"/>
      <c r="I188" s="371"/>
      <c r="J188" s="371"/>
      <c r="K188" s="371"/>
      <c r="L188" s="371"/>
      <c r="M188" s="371"/>
      <c r="N188" s="371"/>
      <c r="O188" s="371"/>
      <c r="P188" s="371"/>
      <c r="Q188" s="378"/>
    </row>
    <row r="189" spans="5:17">
      <c r="E189" s="371"/>
      <c r="F189" s="371"/>
      <c r="G189" s="371"/>
      <c r="H189" s="371"/>
      <c r="I189" s="371"/>
      <c r="J189" s="371"/>
      <c r="K189" s="371"/>
      <c r="L189" s="371"/>
      <c r="M189" s="371"/>
      <c r="N189" s="371"/>
      <c r="O189" s="371"/>
      <c r="P189" s="371"/>
      <c r="Q189" s="378"/>
    </row>
    <row r="190" spans="5:17">
      <c r="E190" s="371"/>
      <c r="F190" s="371"/>
      <c r="G190" s="371"/>
      <c r="H190" s="371"/>
      <c r="I190" s="371"/>
      <c r="J190" s="371"/>
      <c r="K190" s="371"/>
      <c r="L190" s="371"/>
      <c r="M190" s="371"/>
      <c r="N190" s="371"/>
      <c r="O190" s="371"/>
      <c r="P190" s="371"/>
      <c r="Q190" s="378"/>
    </row>
    <row r="191" spans="5:17">
      <c r="E191" s="371"/>
      <c r="F191" s="371"/>
      <c r="G191" s="371"/>
      <c r="H191" s="371"/>
      <c r="I191" s="371"/>
      <c r="J191" s="371"/>
      <c r="K191" s="371"/>
      <c r="L191" s="371"/>
      <c r="M191" s="371"/>
      <c r="N191" s="371"/>
      <c r="O191" s="371"/>
      <c r="P191" s="371"/>
      <c r="Q191" s="378"/>
    </row>
    <row r="192" spans="5:17">
      <c r="E192" s="371"/>
      <c r="F192" s="371"/>
      <c r="G192" s="371"/>
      <c r="H192" s="371"/>
      <c r="I192" s="371"/>
      <c r="J192" s="371"/>
      <c r="K192" s="371"/>
      <c r="L192" s="371"/>
      <c r="M192" s="371"/>
      <c r="N192" s="371"/>
      <c r="O192" s="371"/>
      <c r="P192" s="371"/>
      <c r="Q192" s="378"/>
    </row>
    <row r="193" spans="5:17">
      <c r="E193" s="371"/>
      <c r="F193" s="371"/>
      <c r="G193" s="371"/>
      <c r="H193" s="371"/>
      <c r="I193" s="371"/>
      <c r="J193" s="371"/>
      <c r="K193" s="371"/>
      <c r="L193" s="371"/>
      <c r="M193" s="371"/>
      <c r="N193" s="371"/>
      <c r="O193" s="371"/>
      <c r="P193" s="371"/>
      <c r="Q193" s="378"/>
    </row>
    <row r="194" spans="5:17">
      <c r="E194" s="371"/>
      <c r="F194" s="371"/>
      <c r="G194" s="371"/>
      <c r="H194" s="371"/>
      <c r="I194" s="371"/>
      <c r="J194" s="371"/>
      <c r="K194" s="371"/>
      <c r="L194" s="371"/>
      <c r="M194" s="371"/>
      <c r="N194" s="371"/>
      <c r="O194" s="371"/>
      <c r="P194" s="371"/>
      <c r="Q194" s="378"/>
    </row>
    <row r="195" spans="5:17">
      <c r="E195" s="371"/>
      <c r="F195" s="371"/>
      <c r="G195" s="371"/>
      <c r="H195" s="371"/>
      <c r="I195" s="371"/>
      <c r="J195" s="371"/>
      <c r="K195" s="371"/>
      <c r="L195" s="371"/>
      <c r="M195" s="371"/>
      <c r="N195" s="371"/>
      <c r="O195" s="371"/>
      <c r="P195" s="371"/>
      <c r="Q195" s="378"/>
    </row>
    <row r="196" spans="5:17">
      <c r="E196" s="371"/>
      <c r="F196" s="371"/>
      <c r="G196" s="371"/>
      <c r="H196" s="371"/>
      <c r="I196" s="371"/>
      <c r="J196" s="371"/>
      <c r="K196" s="371"/>
      <c r="L196" s="371"/>
      <c r="M196" s="371"/>
      <c r="N196" s="371"/>
      <c r="O196" s="371"/>
      <c r="P196" s="371"/>
      <c r="Q196" s="378"/>
    </row>
    <row r="197" spans="5:17">
      <c r="E197" s="371"/>
      <c r="F197" s="371"/>
      <c r="G197" s="371"/>
      <c r="H197" s="371"/>
      <c r="I197" s="371"/>
      <c r="J197" s="371"/>
      <c r="K197" s="371"/>
      <c r="L197" s="371"/>
      <c r="M197" s="371"/>
      <c r="N197" s="371"/>
      <c r="O197" s="371"/>
      <c r="P197" s="371"/>
      <c r="Q197" s="378"/>
    </row>
    <row r="198" spans="5:17">
      <c r="E198" s="371"/>
      <c r="F198" s="371"/>
      <c r="G198" s="371"/>
      <c r="H198" s="371"/>
      <c r="I198" s="371"/>
      <c r="J198" s="371"/>
      <c r="K198" s="371"/>
      <c r="L198" s="371"/>
      <c r="M198" s="371"/>
      <c r="N198" s="371"/>
      <c r="O198" s="371"/>
      <c r="P198" s="371"/>
      <c r="Q198" s="378"/>
    </row>
    <row r="199" spans="5:17">
      <c r="E199" s="371"/>
      <c r="F199" s="371"/>
      <c r="G199" s="371"/>
      <c r="H199" s="371"/>
      <c r="I199" s="371"/>
      <c r="J199" s="371"/>
      <c r="K199" s="371"/>
      <c r="L199" s="371"/>
      <c r="M199" s="371"/>
      <c r="N199" s="371"/>
      <c r="O199" s="371"/>
      <c r="P199" s="371"/>
      <c r="Q199" s="378"/>
    </row>
    <row r="200" spans="5:17">
      <c r="E200" s="371"/>
      <c r="F200" s="371"/>
      <c r="G200" s="371"/>
      <c r="H200" s="371"/>
      <c r="I200" s="371"/>
      <c r="J200" s="371"/>
      <c r="K200" s="371"/>
      <c r="L200" s="371"/>
      <c r="M200" s="371"/>
      <c r="N200" s="371"/>
      <c r="O200" s="371"/>
      <c r="P200" s="371"/>
      <c r="Q200" s="378"/>
    </row>
    <row r="201" spans="5:17">
      <c r="E201" s="371"/>
      <c r="F201" s="371"/>
      <c r="G201" s="371"/>
      <c r="H201" s="371"/>
      <c r="I201" s="371"/>
      <c r="J201" s="371"/>
      <c r="K201" s="371"/>
      <c r="L201" s="371"/>
      <c r="M201" s="371"/>
      <c r="N201" s="371"/>
      <c r="O201" s="371"/>
      <c r="P201" s="371"/>
      <c r="Q201" s="378"/>
    </row>
    <row r="202" spans="5:17">
      <c r="E202" s="371"/>
      <c r="F202" s="371"/>
      <c r="G202" s="371"/>
      <c r="H202" s="371"/>
      <c r="I202" s="371"/>
      <c r="J202" s="371"/>
      <c r="K202" s="371"/>
      <c r="L202" s="371"/>
      <c r="M202" s="371"/>
      <c r="N202" s="371"/>
      <c r="O202" s="371"/>
      <c r="P202" s="371"/>
      <c r="Q202" s="378"/>
    </row>
    <row r="203" spans="5:17">
      <c r="E203" s="371"/>
      <c r="F203" s="371"/>
      <c r="G203" s="371"/>
      <c r="H203" s="371"/>
      <c r="I203" s="371"/>
      <c r="J203" s="371"/>
      <c r="K203" s="371"/>
      <c r="L203" s="371"/>
      <c r="M203" s="371"/>
      <c r="N203" s="371"/>
      <c r="O203" s="371"/>
      <c r="P203" s="371"/>
      <c r="Q203" s="378"/>
    </row>
    <row r="204" spans="5:17">
      <c r="E204" s="371"/>
      <c r="F204" s="371"/>
      <c r="G204" s="371"/>
      <c r="H204" s="371"/>
      <c r="I204" s="371"/>
      <c r="J204" s="371"/>
      <c r="K204" s="371"/>
      <c r="L204" s="371"/>
      <c r="M204" s="371"/>
      <c r="N204" s="371"/>
      <c r="O204" s="371"/>
      <c r="P204" s="371"/>
      <c r="Q204" s="378"/>
    </row>
    <row r="205" spans="5:17">
      <c r="E205" s="371"/>
      <c r="F205" s="371"/>
      <c r="G205" s="371"/>
      <c r="H205" s="371"/>
      <c r="I205" s="371"/>
      <c r="J205" s="371"/>
      <c r="K205" s="371"/>
      <c r="L205" s="371"/>
      <c r="M205" s="371"/>
      <c r="N205" s="371"/>
      <c r="O205" s="371"/>
      <c r="P205" s="371"/>
      <c r="Q205" s="378"/>
    </row>
    <row r="206" spans="5:17">
      <c r="E206" s="371"/>
      <c r="F206" s="371"/>
      <c r="G206" s="371"/>
      <c r="H206" s="371"/>
      <c r="I206" s="371"/>
      <c r="J206" s="371"/>
      <c r="K206" s="371"/>
      <c r="L206" s="371"/>
      <c r="M206" s="371"/>
      <c r="N206" s="371"/>
      <c r="O206" s="371"/>
      <c r="P206" s="371"/>
      <c r="Q206" s="378"/>
    </row>
    <row r="207" spans="5:17">
      <c r="E207" s="371"/>
      <c r="F207" s="371"/>
      <c r="G207" s="371"/>
      <c r="H207" s="371"/>
      <c r="I207" s="371"/>
      <c r="J207" s="371"/>
      <c r="K207" s="371"/>
      <c r="L207" s="371"/>
      <c r="M207" s="371"/>
      <c r="N207" s="371"/>
      <c r="O207" s="371"/>
      <c r="P207" s="371"/>
      <c r="Q207" s="378"/>
    </row>
    <row r="208" spans="5:17">
      <c r="E208" s="371"/>
      <c r="F208" s="371"/>
      <c r="G208" s="371"/>
      <c r="H208" s="371"/>
      <c r="I208" s="371"/>
      <c r="J208" s="371"/>
      <c r="K208" s="371"/>
      <c r="L208" s="371"/>
      <c r="M208" s="371"/>
      <c r="N208" s="371"/>
      <c r="O208" s="371"/>
      <c r="P208" s="371"/>
      <c r="Q208" s="378"/>
    </row>
    <row r="209" spans="5:17">
      <c r="E209" s="371"/>
      <c r="F209" s="371"/>
      <c r="G209" s="371"/>
      <c r="H209" s="371"/>
      <c r="I209" s="371"/>
      <c r="J209" s="371"/>
      <c r="K209" s="371"/>
      <c r="L209" s="371"/>
      <c r="M209" s="371"/>
      <c r="N209" s="371"/>
      <c r="O209" s="371"/>
      <c r="P209" s="371"/>
      <c r="Q209" s="378"/>
    </row>
    <row r="210" spans="5:17">
      <c r="E210" s="371"/>
      <c r="F210" s="371"/>
      <c r="G210" s="371"/>
      <c r="H210" s="371"/>
      <c r="I210" s="371"/>
      <c r="J210" s="371"/>
      <c r="K210" s="371"/>
      <c r="L210" s="371"/>
      <c r="M210" s="371"/>
      <c r="N210" s="371"/>
      <c r="O210" s="371"/>
      <c r="P210" s="371"/>
      <c r="Q210" s="378"/>
    </row>
    <row r="211" spans="5:17">
      <c r="E211" s="371"/>
      <c r="F211" s="371"/>
      <c r="G211" s="371"/>
      <c r="H211" s="371"/>
      <c r="I211" s="371"/>
      <c r="J211" s="371"/>
      <c r="K211" s="371"/>
      <c r="L211" s="371"/>
      <c r="M211" s="371"/>
      <c r="N211" s="371"/>
      <c r="O211" s="371"/>
      <c r="P211" s="371"/>
      <c r="Q211" s="378"/>
    </row>
    <row r="212" spans="5:17">
      <c r="E212" s="371"/>
      <c r="F212" s="371"/>
      <c r="G212" s="371"/>
      <c r="H212" s="371"/>
      <c r="I212" s="371"/>
      <c r="J212" s="371"/>
      <c r="K212" s="371"/>
      <c r="L212" s="371"/>
      <c r="M212" s="371"/>
      <c r="N212" s="371"/>
      <c r="O212" s="371"/>
      <c r="P212" s="371"/>
      <c r="Q212" s="378"/>
    </row>
    <row r="213" spans="5:17">
      <c r="E213" s="371"/>
      <c r="F213" s="371"/>
      <c r="G213" s="371"/>
      <c r="H213" s="371"/>
      <c r="I213" s="371"/>
      <c r="J213" s="371"/>
      <c r="K213" s="371"/>
      <c r="L213" s="371"/>
      <c r="M213" s="371"/>
      <c r="N213" s="371"/>
      <c r="O213" s="371"/>
      <c r="P213" s="371"/>
      <c r="Q213" s="378"/>
    </row>
    <row r="214" spans="5:17">
      <c r="E214" s="371"/>
      <c r="F214" s="371"/>
      <c r="G214" s="371"/>
      <c r="H214" s="371"/>
      <c r="I214" s="371"/>
      <c r="J214" s="371"/>
      <c r="K214" s="371"/>
      <c r="L214" s="371"/>
      <c r="M214" s="371"/>
      <c r="N214" s="371"/>
      <c r="O214" s="371"/>
      <c r="P214" s="371"/>
      <c r="Q214" s="378"/>
    </row>
    <row r="215" spans="5:17">
      <c r="E215" s="371"/>
      <c r="F215" s="371"/>
      <c r="G215" s="371"/>
      <c r="H215" s="371"/>
      <c r="I215" s="371"/>
      <c r="J215" s="371"/>
      <c r="K215" s="371"/>
      <c r="L215" s="371"/>
      <c r="M215" s="371"/>
      <c r="N215" s="371"/>
      <c r="O215" s="371"/>
      <c r="P215" s="371"/>
      <c r="Q215" s="378"/>
    </row>
    <row r="216" spans="5:17">
      <c r="E216" s="371"/>
      <c r="F216" s="371"/>
      <c r="G216" s="371"/>
      <c r="H216" s="371"/>
      <c r="I216" s="371"/>
      <c r="J216" s="371"/>
      <c r="K216" s="371"/>
      <c r="L216" s="371"/>
      <c r="M216" s="371"/>
      <c r="N216" s="371"/>
      <c r="O216" s="371"/>
      <c r="P216" s="371"/>
      <c r="Q216" s="378"/>
    </row>
    <row r="217" spans="5:17">
      <c r="E217" s="371"/>
      <c r="F217" s="371"/>
      <c r="G217" s="371"/>
      <c r="H217" s="371"/>
      <c r="I217" s="371"/>
      <c r="J217" s="371"/>
      <c r="K217" s="371"/>
      <c r="L217" s="371"/>
      <c r="M217" s="371"/>
      <c r="N217" s="371"/>
      <c r="O217" s="371"/>
      <c r="P217" s="371"/>
      <c r="Q217" s="378"/>
    </row>
    <row r="218" spans="5:17">
      <c r="E218" s="371"/>
      <c r="F218" s="371"/>
      <c r="G218" s="371"/>
      <c r="H218" s="371"/>
      <c r="I218" s="371"/>
      <c r="J218" s="371"/>
      <c r="K218" s="371"/>
      <c r="L218" s="371"/>
      <c r="M218" s="371"/>
      <c r="N218" s="371"/>
      <c r="O218" s="371"/>
      <c r="P218" s="371"/>
      <c r="Q218" s="378"/>
    </row>
    <row r="219" spans="5:17">
      <c r="E219" s="371"/>
      <c r="F219" s="371"/>
      <c r="G219" s="371"/>
      <c r="H219" s="371"/>
      <c r="I219" s="371"/>
      <c r="J219" s="371"/>
      <c r="K219" s="371"/>
      <c r="L219" s="371"/>
      <c r="M219" s="371"/>
      <c r="N219" s="371"/>
      <c r="O219" s="371"/>
      <c r="P219" s="371"/>
      <c r="Q219" s="378"/>
    </row>
    <row r="220" spans="5:17">
      <c r="E220" s="371"/>
      <c r="F220" s="371"/>
      <c r="G220" s="371"/>
      <c r="H220" s="371"/>
      <c r="I220" s="371"/>
      <c r="J220" s="371"/>
      <c r="K220" s="371"/>
      <c r="L220" s="371"/>
      <c r="M220" s="371"/>
      <c r="N220" s="371"/>
      <c r="O220" s="371"/>
      <c r="P220" s="371"/>
      <c r="Q220" s="378"/>
    </row>
    <row r="221" spans="5:17">
      <c r="E221" s="371"/>
      <c r="F221" s="371"/>
      <c r="G221" s="371"/>
      <c r="H221" s="371"/>
      <c r="I221" s="371"/>
      <c r="J221" s="371"/>
      <c r="K221" s="371"/>
      <c r="L221" s="371"/>
      <c r="M221" s="371"/>
      <c r="N221" s="371"/>
      <c r="O221" s="371"/>
      <c r="P221" s="371"/>
      <c r="Q221" s="378"/>
    </row>
    <row r="222" spans="5:17">
      <c r="E222" s="371"/>
      <c r="F222" s="371"/>
      <c r="G222" s="371"/>
      <c r="H222" s="371"/>
      <c r="I222" s="371"/>
      <c r="J222" s="371"/>
      <c r="K222" s="371"/>
      <c r="L222" s="371"/>
      <c r="M222" s="371"/>
      <c r="N222" s="371"/>
      <c r="O222" s="371"/>
      <c r="P222" s="371"/>
      <c r="Q222" s="378"/>
    </row>
    <row r="223" spans="5:17">
      <c r="E223" s="371"/>
      <c r="F223" s="371"/>
      <c r="G223" s="371"/>
      <c r="H223" s="371"/>
      <c r="I223" s="371"/>
      <c r="J223" s="371"/>
      <c r="K223" s="371"/>
      <c r="L223" s="371"/>
      <c r="M223" s="371"/>
      <c r="N223" s="371"/>
      <c r="O223" s="371"/>
      <c r="P223" s="371"/>
      <c r="Q223" s="378"/>
    </row>
    <row r="224" spans="5:17">
      <c r="E224" s="371"/>
      <c r="F224" s="371"/>
      <c r="G224" s="371"/>
      <c r="H224" s="371"/>
      <c r="I224" s="371"/>
      <c r="J224" s="371"/>
      <c r="K224" s="371"/>
      <c r="L224" s="371"/>
      <c r="M224" s="371"/>
      <c r="N224" s="371"/>
      <c r="O224" s="371"/>
      <c r="P224" s="371"/>
      <c r="Q224" s="378"/>
    </row>
    <row r="225" spans="5:17">
      <c r="E225" s="371"/>
      <c r="F225" s="371"/>
      <c r="G225" s="371"/>
      <c r="H225" s="371"/>
      <c r="I225" s="371"/>
      <c r="J225" s="371"/>
      <c r="K225" s="371"/>
      <c r="L225" s="371"/>
      <c r="M225" s="371"/>
      <c r="N225" s="371"/>
      <c r="O225" s="371"/>
      <c r="P225" s="371"/>
      <c r="Q225" s="378"/>
    </row>
    <row r="226" spans="5:17">
      <c r="E226" s="371"/>
      <c r="F226" s="371"/>
      <c r="G226" s="371"/>
      <c r="H226" s="371"/>
      <c r="I226" s="371"/>
      <c r="J226" s="371"/>
      <c r="K226" s="371"/>
      <c r="L226" s="371"/>
      <c r="M226" s="371"/>
      <c r="N226" s="371"/>
      <c r="O226" s="371"/>
      <c r="P226" s="371"/>
      <c r="Q226" s="378"/>
    </row>
    <row r="227" spans="5:17">
      <c r="E227" s="371"/>
      <c r="F227" s="371"/>
      <c r="G227" s="371"/>
      <c r="H227" s="371"/>
      <c r="I227" s="371"/>
      <c r="J227" s="371"/>
      <c r="K227" s="371"/>
      <c r="L227" s="371"/>
      <c r="M227" s="371"/>
      <c r="N227" s="371"/>
      <c r="O227" s="371"/>
      <c r="P227" s="371"/>
      <c r="Q227" s="378"/>
    </row>
    <row r="228" spans="5:17">
      <c r="E228" s="371"/>
      <c r="F228" s="371"/>
      <c r="G228" s="371"/>
      <c r="H228" s="371"/>
      <c r="I228" s="371"/>
      <c r="J228" s="371"/>
      <c r="K228" s="371"/>
      <c r="L228" s="371"/>
      <c r="M228" s="371"/>
      <c r="N228" s="371"/>
      <c r="O228" s="371"/>
      <c r="P228" s="371"/>
      <c r="Q228" s="378"/>
    </row>
    <row r="229" spans="5:17">
      <c r="E229" s="371"/>
      <c r="F229" s="371"/>
      <c r="G229" s="371"/>
      <c r="H229" s="371"/>
      <c r="I229" s="371"/>
      <c r="J229" s="371"/>
      <c r="K229" s="371"/>
      <c r="L229" s="371"/>
      <c r="M229" s="371"/>
      <c r="N229" s="371"/>
      <c r="O229" s="371"/>
      <c r="P229" s="371"/>
      <c r="Q229" s="378"/>
    </row>
    <row r="230" spans="5:17">
      <c r="E230" s="371"/>
      <c r="F230" s="371"/>
      <c r="G230" s="371"/>
      <c r="H230" s="371"/>
      <c r="I230" s="371"/>
      <c r="J230" s="371"/>
      <c r="K230" s="371"/>
      <c r="L230" s="371"/>
      <c r="M230" s="371"/>
      <c r="N230" s="371"/>
      <c r="O230" s="371"/>
      <c r="P230" s="371"/>
      <c r="Q230" s="378"/>
    </row>
    <row r="231" spans="5:17">
      <c r="E231" s="371"/>
      <c r="F231" s="371"/>
      <c r="G231" s="371"/>
      <c r="H231" s="371"/>
      <c r="I231" s="371"/>
      <c r="J231" s="371"/>
      <c r="K231" s="371"/>
      <c r="L231" s="371"/>
      <c r="M231" s="371"/>
      <c r="N231" s="371"/>
      <c r="O231" s="371"/>
      <c r="P231" s="371"/>
      <c r="Q231" s="378"/>
    </row>
    <row r="232" spans="5:17">
      <c r="E232" s="371"/>
      <c r="F232" s="371"/>
      <c r="G232" s="371"/>
      <c r="H232" s="371"/>
      <c r="I232" s="371"/>
      <c r="J232" s="371"/>
      <c r="K232" s="371"/>
      <c r="L232" s="371"/>
      <c r="M232" s="371"/>
      <c r="N232" s="371"/>
      <c r="O232" s="371"/>
      <c r="P232" s="371"/>
      <c r="Q232" s="378"/>
    </row>
    <row r="233" spans="5:17">
      <c r="E233" s="371"/>
      <c r="F233" s="371"/>
      <c r="G233" s="371"/>
      <c r="H233" s="371"/>
      <c r="I233" s="371"/>
      <c r="J233" s="371"/>
      <c r="K233" s="371"/>
      <c r="L233" s="371"/>
      <c r="M233" s="371"/>
      <c r="N233" s="371"/>
      <c r="O233" s="371"/>
      <c r="P233" s="371"/>
      <c r="Q233" s="378"/>
    </row>
    <row r="234" spans="5:17">
      <c r="E234" s="371"/>
      <c r="F234" s="371"/>
      <c r="G234" s="371"/>
      <c r="H234" s="371"/>
      <c r="I234" s="371"/>
      <c r="J234" s="371"/>
      <c r="K234" s="371"/>
      <c r="L234" s="371"/>
      <c r="M234" s="371"/>
      <c r="N234" s="371"/>
      <c r="O234" s="371"/>
      <c r="P234" s="371"/>
      <c r="Q234" s="378"/>
    </row>
    <row r="235" spans="5:17">
      <c r="E235" s="371"/>
      <c r="F235" s="371"/>
      <c r="G235" s="371"/>
      <c r="H235" s="371"/>
      <c r="I235" s="371"/>
      <c r="J235" s="371"/>
      <c r="K235" s="371"/>
      <c r="L235" s="371"/>
      <c r="M235" s="371"/>
      <c r="N235" s="371"/>
      <c r="O235" s="371"/>
      <c r="P235" s="371"/>
      <c r="Q235" s="378"/>
    </row>
    <row r="236" spans="5:17">
      <c r="E236" s="371"/>
      <c r="F236" s="371"/>
      <c r="G236" s="371"/>
      <c r="H236" s="371"/>
      <c r="I236" s="371"/>
      <c r="J236" s="371"/>
      <c r="K236" s="371"/>
      <c r="L236" s="371"/>
      <c r="M236" s="371"/>
      <c r="N236" s="371"/>
      <c r="O236" s="371"/>
      <c r="P236" s="371"/>
      <c r="Q236" s="378"/>
    </row>
    <row r="237" spans="5:17">
      <c r="F237" s="371"/>
      <c r="G237" s="371"/>
      <c r="H237" s="371"/>
      <c r="I237" s="371"/>
      <c r="J237" s="371"/>
      <c r="K237" s="371"/>
      <c r="L237" s="371"/>
      <c r="M237" s="371"/>
      <c r="N237" s="371"/>
      <c r="O237" s="371"/>
      <c r="P237" s="371"/>
      <c r="Q237" s="378"/>
    </row>
    <row r="238" spans="5:17">
      <c r="F238" s="371"/>
      <c r="G238" s="371"/>
      <c r="H238" s="371"/>
      <c r="I238" s="371"/>
      <c r="J238" s="371"/>
      <c r="K238" s="371"/>
      <c r="L238" s="371"/>
      <c r="M238" s="371"/>
      <c r="N238" s="371"/>
      <c r="O238" s="371"/>
      <c r="P238" s="371"/>
      <c r="Q238" s="378"/>
    </row>
    <row r="239" spans="5:17">
      <c r="F239" s="371"/>
      <c r="G239" s="371"/>
      <c r="H239" s="371"/>
      <c r="I239" s="371"/>
      <c r="J239" s="371"/>
      <c r="K239" s="371"/>
      <c r="L239" s="371"/>
      <c r="M239" s="371"/>
      <c r="N239" s="371"/>
      <c r="O239" s="371"/>
      <c r="P239" s="371"/>
      <c r="Q239" s="378"/>
    </row>
    <row r="240" spans="5:17">
      <c r="F240" s="371"/>
      <c r="G240" s="371"/>
      <c r="H240" s="371"/>
      <c r="I240" s="371"/>
      <c r="J240" s="371"/>
      <c r="K240" s="371"/>
      <c r="L240" s="371"/>
      <c r="M240" s="371"/>
      <c r="N240" s="371"/>
      <c r="O240" s="371"/>
      <c r="P240" s="371"/>
      <c r="Q240" s="378"/>
    </row>
    <row r="241" spans="6:17">
      <c r="F241" s="371"/>
      <c r="G241" s="371"/>
      <c r="H241" s="371"/>
      <c r="I241" s="371"/>
      <c r="J241" s="371"/>
      <c r="K241" s="371"/>
      <c r="L241" s="371"/>
      <c r="M241" s="371"/>
      <c r="N241" s="371"/>
      <c r="O241" s="371"/>
      <c r="P241" s="371"/>
      <c r="Q241" s="378"/>
    </row>
    <row r="242" spans="6:17">
      <c r="F242" s="371"/>
      <c r="G242" s="371"/>
      <c r="H242" s="371"/>
      <c r="I242" s="371"/>
      <c r="J242" s="371"/>
      <c r="K242" s="371"/>
      <c r="L242" s="371"/>
      <c r="M242" s="371"/>
      <c r="N242" s="371"/>
      <c r="O242" s="371"/>
      <c r="P242" s="371"/>
      <c r="Q242" s="378"/>
    </row>
    <row r="243" spans="6:17">
      <c r="F243" s="371"/>
      <c r="G243" s="371"/>
      <c r="H243" s="371"/>
      <c r="I243" s="371"/>
      <c r="J243" s="371"/>
      <c r="K243" s="371"/>
      <c r="L243" s="371"/>
      <c r="M243" s="371"/>
      <c r="N243" s="371"/>
      <c r="O243" s="371"/>
      <c r="P243" s="371"/>
      <c r="Q243" s="378"/>
    </row>
    <row r="244" spans="6:17">
      <c r="F244" s="371"/>
      <c r="G244" s="371"/>
      <c r="H244" s="371"/>
      <c r="I244" s="371"/>
      <c r="J244" s="371"/>
      <c r="K244" s="371"/>
      <c r="L244" s="371"/>
      <c r="M244" s="371"/>
      <c r="N244" s="371"/>
      <c r="O244" s="371"/>
      <c r="P244" s="371"/>
      <c r="Q244" s="378"/>
    </row>
    <row r="245" spans="6:17">
      <c r="F245" s="371"/>
      <c r="G245" s="371"/>
      <c r="H245" s="371"/>
      <c r="I245" s="371"/>
      <c r="J245" s="371"/>
      <c r="K245" s="371"/>
      <c r="L245" s="371"/>
      <c r="M245" s="371"/>
      <c r="N245" s="371"/>
      <c r="O245" s="371"/>
      <c r="P245" s="371"/>
      <c r="Q245" s="378"/>
    </row>
    <row r="246" spans="6:17">
      <c r="F246" s="371"/>
      <c r="G246" s="371"/>
      <c r="H246" s="371"/>
      <c r="I246" s="371"/>
      <c r="J246" s="371"/>
      <c r="K246" s="371"/>
      <c r="L246" s="371"/>
      <c r="M246" s="371"/>
      <c r="N246" s="371"/>
      <c r="O246" s="371"/>
      <c r="P246" s="371"/>
      <c r="Q246" s="378"/>
    </row>
    <row r="247" spans="6:17">
      <c r="F247" s="371"/>
      <c r="G247" s="371"/>
      <c r="H247" s="371"/>
      <c r="I247" s="371"/>
      <c r="J247" s="371"/>
      <c r="K247" s="371"/>
      <c r="L247" s="371"/>
      <c r="M247" s="371"/>
      <c r="N247" s="371"/>
      <c r="O247" s="371"/>
      <c r="P247" s="371"/>
      <c r="Q247" s="378"/>
    </row>
    <row r="248" spans="6:17">
      <c r="F248" s="371"/>
      <c r="G248" s="371"/>
      <c r="H248" s="371"/>
      <c r="I248" s="371"/>
      <c r="J248" s="371"/>
      <c r="K248" s="371"/>
      <c r="L248" s="371"/>
      <c r="M248" s="371"/>
      <c r="N248" s="371"/>
      <c r="O248" s="371"/>
      <c r="P248" s="371"/>
      <c r="Q248" s="378"/>
    </row>
    <row r="249" spans="6:17">
      <c r="F249" s="371"/>
      <c r="G249" s="371"/>
      <c r="H249" s="371"/>
      <c r="I249" s="371"/>
      <c r="J249" s="371"/>
      <c r="K249" s="371"/>
      <c r="L249" s="371"/>
      <c r="M249" s="371"/>
      <c r="N249" s="371"/>
      <c r="O249" s="371"/>
      <c r="P249" s="371"/>
      <c r="Q249" s="378"/>
    </row>
    <row r="250" spans="6:17">
      <c r="F250" s="371"/>
      <c r="G250" s="371"/>
      <c r="H250" s="371"/>
      <c r="I250" s="371"/>
      <c r="J250" s="371"/>
      <c r="K250" s="371"/>
      <c r="L250" s="371"/>
      <c r="M250" s="371"/>
      <c r="N250" s="371"/>
      <c r="O250" s="371"/>
      <c r="P250" s="371"/>
      <c r="Q250" s="378"/>
    </row>
    <row r="251" spans="6:17">
      <c r="F251" s="371"/>
      <c r="G251" s="371"/>
      <c r="H251" s="371"/>
      <c r="I251" s="371"/>
      <c r="J251" s="371"/>
      <c r="K251" s="371"/>
      <c r="L251" s="371"/>
      <c r="M251" s="371"/>
      <c r="N251" s="371"/>
      <c r="O251" s="371"/>
      <c r="P251" s="371"/>
      <c r="Q251" s="378"/>
    </row>
    <row r="252" spans="6:17">
      <c r="F252" s="371"/>
      <c r="G252" s="371"/>
      <c r="H252" s="371"/>
      <c r="I252" s="371"/>
      <c r="J252" s="371"/>
      <c r="K252" s="371"/>
      <c r="L252" s="371"/>
      <c r="M252" s="371"/>
      <c r="N252" s="371"/>
      <c r="O252" s="371"/>
      <c r="P252" s="371"/>
      <c r="Q252" s="378"/>
    </row>
    <row r="253" spans="6:17">
      <c r="F253" s="371"/>
      <c r="G253" s="371"/>
      <c r="H253" s="371"/>
      <c r="I253" s="371"/>
      <c r="J253" s="371"/>
      <c r="K253" s="371"/>
      <c r="L253" s="371"/>
      <c r="M253" s="371"/>
      <c r="N253" s="371"/>
      <c r="O253" s="371"/>
      <c r="P253" s="371"/>
      <c r="Q253" s="378"/>
    </row>
    <row r="254" spans="6:17">
      <c r="F254" s="371"/>
      <c r="G254" s="371"/>
      <c r="H254" s="371"/>
      <c r="I254" s="371"/>
      <c r="J254" s="371"/>
      <c r="K254" s="371"/>
      <c r="L254" s="371"/>
      <c r="M254" s="371"/>
      <c r="N254" s="371"/>
      <c r="O254" s="371"/>
      <c r="P254" s="371"/>
      <c r="Q254" s="378"/>
    </row>
    <row r="255" spans="6:17">
      <c r="F255" s="371"/>
      <c r="G255" s="371"/>
      <c r="H255" s="371"/>
      <c r="I255" s="371"/>
      <c r="J255" s="371"/>
      <c r="K255" s="371"/>
      <c r="L255" s="371"/>
      <c r="M255" s="371"/>
      <c r="N255" s="371"/>
      <c r="O255" s="371"/>
      <c r="P255" s="371"/>
      <c r="Q255" s="378"/>
    </row>
    <row r="256" spans="6:17">
      <c r="F256" s="371"/>
      <c r="G256" s="371"/>
      <c r="H256" s="371"/>
      <c r="I256" s="371"/>
      <c r="J256" s="371"/>
      <c r="K256" s="371"/>
      <c r="L256" s="371"/>
      <c r="M256" s="371"/>
      <c r="N256" s="371"/>
      <c r="O256" s="371"/>
      <c r="P256" s="371"/>
      <c r="Q256" s="378"/>
    </row>
    <row r="257" spans="6:17">
      <c r="F257" s="371"/>
      <c r="G257" s="371"/>
      <c r="H257" s="371"/>
      <c r="I257" s="371"/>
      <c r="J257" s="371"/>
      <c r="K257" s="371"/>
      <c r="L257" s="371"/>
      <c r="M257" s="371"/>
      <c r="N257" s="371"/>
      <c r="O257" s="371"/>
      <c r="P257" s="371"/>
      <c r="Q257" s="378"/>
    </row>
    <row r="258" spans="6:17">
      <c r="F258" s="371"/>
      <c r="G258" s="371"/>
      <c r="H258" s="371"/>
      <c r="I258" s="371"/>
      <c r="J258" s="371"/>
      <c r="K258" s="371"/>
      <c r="L258" s="371"/>
      <c r="M258" s="371"/>
      <c r="N258" s="371"/>
      <c r="O258" s="371"/>
      <c r="P258" s="371"/>
      <c r="Q258" s="378"/>
    </row>
    <row r="259" spans="6:17">
      <c r="F259" s="371"/>
      <c r="G259" s="371"/>
      <c r="H259" s="371"/>
      <c r="I259" s="371"/>
      <c r="J259" s="371"/>
      <c r="K259" s="371"/>
      <c r="L259" s="371"/>
      <c r="M259" s="371"/>
      <c r="N259" s="371"/>
      <c r="O259" s="371"/>
      <c r="P259" s="371"/>
      <c r="Q259" s="378"/>
    </row>
    <row r="260" spans="6:17">
      <c r="F260" s="371"/>
      <c r="G260" s="371"/>
      <c r="H260" s="371"/>
      <c r="I260" s="371"/>
      <c r="J260" s="371"/>
      <c r="K260" s="371"/>
      <c r="L260" s="371"/>
      <c r="M260" s="371"/>
      <c r="N260" s="371"/>
      <c r="O260" s="371"/>
      <c r="P260" s="371"/>
      <c r="Q260" s="378"/>
    </row>
    <row r="261" spans="6:17">
      <c r="F261" s="371"/>
      <c r="G261" s="371"/>
      <c r="H261" s="371"/>
      <c r="I261" s="371"/>
      <c r="J261" s="371"/>
      <c r="K261" s="371"/>
      <c r="L261" s="371"/>
      <c r="M261" s="371"/>
      <c r="N261" s="371"/>
      <c r="O261" s="371"/>
      <c r="P261" s="371"/>
      <c r="Q261" s="378"/>
    </row>
    <row r="262" spans="6:17">
      <c r="F262" s="371"/>
      <c r="G262" s="371"/>
      <c r="H262" s="371"/>
      <c r="I262" s="371"/>
      <c r="J262" s="371"/>
      <c r="K262" s="371"/>
      <c r="L262" s="371"/>
      <c r="M262" s="371"/>
      <c r="N262" s="371"/>
      <c r="O262" s="371"/>
      <c r="P262" s="371"/>
      <c r="Q262" s="378"/>
    </row>
    <row r="263" spans="6:17">
      <c r="F263" s="371"/>
      <c r="G263" s="371"/>
      <c r="H263" s="371"/>
      <c r="I263" s="371"/>
      <c r="J263" s="371"/>
      <c r="K263" s="371"/>
      <c r="L263" s="371"/>
      <c r="M263" s="371"/>
      <c r="N263" s="371"/>
      <c r="O263" s="371"/>
      <c r="P263" s="371"/>
      <c r="Q263" s="378"/>
    </row>
    <row r="264" spans="6:17">
      <c r="F264" s="371"/>
      <c r="G264" s="371"/>
      <c r="H264" s="371"/>
      <c r="I264" s="371"/>
      <c r="J264" s="371"/>
      <c r="K264" s="371"/>
      <c r="L264" s="371"/>
      <c r="M264" s="371"/>
      <c r="N264" s="371"/>
      <c r="O264" s="371"/>
      <c r="P264" s="371"/>
      <c r="Q264" s="378"/>
    </row>
    <row r="265" spans="6:17">
      <c r="F265" s="371"/>
      <c r="G265" s="371"/>
      <c r="H265" s="371"/>
      <c r="I265" s="371"/>
      <c r="J265" s="371"/>
      <c r="K265" s="371"/>
      <c r="L265" s="371"/>
      <c r="M265" s="371"/>
      <c r="N265" s="371"/>
      <c r="O265" s="371"/>
      <c r="P265" s="371"/>
      <c r="Q265" s="378"/>
    </row>
    <row r="266" spans="6:17">
      <c r="F266" s="371"/>
      <c r="G266" s="371"/>
      <c r="H266" s="371"/>
      <c r="I266" s="371"/>
      <c r="J266" s="371"/>
      <c r="K266" s="371"/>
      <c r="L266" s="371"/>
      <c r="M266" s="371"/>
      <c r="N266" s="371"/>
      <c r="O266" s="371"/>
      <c r="P266" s="371"/>
      <c r="Q266" s="378"/>
    </row>
    <row r="267" spans="6:17">
      <c r="F267" s="371"/>
      <c r="G267" s="371"/>
      <c r="H267" s="371"/>
      <c r="I267" s="371"/>
      <c r="J267" s="371"/>
      <c r="K267" s="371"/>
      <c r="L267" s="371"/>
      <c r="M267" s="371"/>
      <c r="N267" s="371"/>
      <c r="O267" s="371"/>
      <c r="P267" s="371"/>
      <c r="Q267" s="378"/>
    </row>
    <row r="268" spans="6:17">
      <c r="F268" s="371"/>
      <c r="G268" s="371"/>
      <c r="H268" s="371"/>
      <c r="I268" s="371"/>
      <c r="J268" s="371"/>
      <c r="K268" s="371"/>
      <c r="L268" s="371"/>
      <c r="M268" s="371"/>
      <c r="N268" s="371"/>
      <c r="O268" s="371"/>
      <c r="P268" s="371"/>
      <c r="Q268" s="378"/>
    </row>
    <row r="269" spans="6:17">
      <c r="F269" s="371"/>
      <c r="G269" s="371"/>
      <c r="H269" s="371"/>
      <c r="I269" s="371"/>
      <c r="J269" s="371"/>
      <c r="K269" s="371"/>
      <c r="L269" s="371"/>
      <c r="M269" s="371"/>
      <c r="N269" s="371"/>
      <c r="O269" s="371"/>
      <c r="P269" s="371"/>
      <c r="Q269" s="378"/>
    </row>
    <row r="270" spans="6:17">
      <c r="F270" s="371"/>
      <c r="G270" s="371"/>
      <c r="H270" s="371"/>
      <c r="I270" s="371"/>
      <c r="J270" s="371"/>
      <c r="K270" s="371"/>
      <c r="L270" s="371"/>
      <c r="M270" s="371"/>
      <c r="N270" s="371"/>
      <c r="O270" s="371"/>
      <c r="P270" s="371"/>
      <c r="Q270" s="378"/>
    </row>
    <row r="271" spans="6:17">
      <c r="F271" s="371"/>
      <c r="G271" s="371"/>
      <c r="H271" s="371"/>
      <c r="I271" s="371"/>
      <c r="J271" s="371"/>
      <c r="K271" s="371"/>
      <c r="L271" s="371"/>
      <c r="M271" s="371"/>
      <c r="N271" s="371"/>
      <c r="O271" s="371"/>
      <c r="P271" s="371"/>
      <c r="Q271" s="378"/>
    </row>
    <row r="272" spans="6:17">
      <c r="F272" s="371"/>
      <c r="G272" s="371"/>
      <c r="H272" s="371"/>
      <c r="I272" s="371"/>
      <c r="J272" s="371"/>
      <c r="K272" s="371"/>
      <c r="L272" s="371"/>
      <c r="M272" s="371"/>
      <c r="N272" s="371"/>
      <c r="O272" s="371"/>
      <c r="P272" s="371"/>
      <c r="Q272" s="378"/>
    </row>
    <row r="273" spans="6:17">
      <c r="F273" s="371"/>
      <c r="G273" s="371"/>
      <c r="H273" s="371"/>
      <c r="I273" s="371"/>
      <c r="J273" s="371"/>
      <c r="K273" s="371"/>
      <c r="L273" s="371"/>
      <c r="M273" s="371"/>
      <c r="N273" s="371"/>
      <c r="O273" s="371"/>
      <c r="P273" s="371"/>
      <c r="Q273" s="378"/>
    </row>
    <row r="274" spans="6:17">
      <c r="F274" s="371"/>
      <c r="G274" s="371"/>
      <c r="H274" s="371"/>
      <c r="I274" s="371"/>
      <c r="J274" s="371"/>
      <c r="K274" s="371"/>
      <c r="L274" s="371"/>
      <c r="M274" s="371"/>
      <c r="N274" s="371"/>
      <c r="O274" s="371"/>
      <c r="P274" s="371"/>
      <c r="Q274" s="378"/>
    </row>
    <row r="275" spans="6:17">
      <c r="F275" s="371"/>
      <c r="G275" s="371"/>
      <c r="H275" s="371"/>
      <c r="I275" s="371"/>
      <c r="J275" s="371"/>
      <c r="K275" s="371"/>
      <c r="L275" s="371"/>
      <c r="M275" s="371"/>
      <c r="N275" s="371"/>
      <c r="O275" s="371"/>
      <c r="P275" s="371"/>
      <c r="Q275" s="378"/>
    </row>
    <row r="276" spans="6:17">
      <c r="F276" s="371"/>
      <c r="G276" s="371"/>
      <c r="H276" s="371"/>
      <c r="I276" s="371"/>
      <c r="J276" s="371"/>
      <c r="K276" s="371"/>
      <c r="L276" s="371"/>
      <c r="M276" s="371"/>
      <c r="N276" s="371"/>
      <c r="O276" s="371"/>
      <c r="P276" s="371"/>
      <c r="Q276" s="378"/>
    </row>
    <row r="277" spans="6:17">
      <c r="F277" s="371"/>
      <c r="G277" s="371"/>
      <c r="H277" s="371"/>
      <c r="I277" s="371"/>
      <c r="J277" s="371"/>
      <c r="K277" s="371"/>
      <c r="L277" s="371"/>
      <c r="M277" s="371"/>
      <c r="N277" s="371"/>
      <c r="O277" s="371"/>
      <c r="P277" s="371"/>
      <c r="Q277" s="378"/>
    </row>
    <row r="278" spans="6:17">
      <c r="F278" s="371"/>
      <c r="G278" s="371"/>
      <c r="H278" s="371"/>
      <c r="I278" s="371"/>
      <c r="J278" s="371"/>
      <c r="K278" s="371"/>
      <c r="L278" s="371"/>
      <c r="M278" s="371"/>
      <c r="N278" s="371"/>
      <c r="O278" s="371"/>
      <c r="P278" s="371"/>
      <c r="Q278" s="378"/>
    </row>
    <row r="279" spans="6:17">
      <c r="F279" s="371"/>
      <c r="G279" s="371"/>
      <c r="H279" s="371"/>
      <c r="I279" s="371"/>
      <c r="J279" s="371"/>
      <c r="K279" s="371"/>
      <c r="L279" s="371"/>
      <c r="M279" s="371"/>
      <c r="N279" s="371"/>
      <c r="O279" s="371"/>
      <c r="P279" s="371"/>
      <c r="Q279" s="378"/>
    </row>
    <row r="280" spans="6:17">
      <c r="F280" s="371"/>
      <c r="G280" s="371"/>
      <c r="H280" s="371"/>
      <c r="I280" s="371"/>
      <c r="J280" s="371"/>
      <c r="K280" s="371"/>
      <c r="L280" s="371"/>
      <c r="M280" s="371"/>
      <c r="N280" s="371"/>
      <c r="O280" s="371"/>
      <c r="P280" s="371"/>
      <c r="Q280" s="378"/>
    </row>
    <row r="281" spans="6:17">
      <c r="F281" s="371"/>
      <c r="G281" s="371"/>
      <c r="H281" s="371"/>
      <c r="I281" s="371"/>
      <c r="J281" s="371"/>
      <c r="K281" s="371"/>
      <c r="L281" s="371"/>
      <c r="M281" s="371"/>
      <c r="N281" s="371"/>
      <c r="O281" s="371"/>
      <c r="P281" s="371"/>
      <c r="Q281" s="378"/>
    </row>
    <row r="282" spans="6:17">
      <c r="F282" s="371"/>
      <c r="G282" s="371"/>
      <c r="H282" s="371"/>
      <c r="I282" s="371"/>
      <c r="J282" s="371"/>
      <c r="K282" s="371"/>
      <c r="L282" s="371"/>
      <c r="M282" s="371"/>
      <c r="N282" s="371"/>
      <c r="O282" s="371"/>
      <c r="P282" s="371"/>
      <c r="Q282" s="378"/>
    </row>
    <row r="283" spans="6:17">
      <c r="F283" s="371"/>
      <c r="G283" s="371"/>
      <c r="H283" s="371"/>
      <c r="I283" s="371"/>
      <c r="J283" s="371"/>
      <c r="K283" s="371"/>
      <c r="L283" s="371"/>
      <c r="M283" s="371"/>
      <c r="N283" s="371"/>
      <c r="O283" s="371"/>
      <c r="P283" s="371"/>
      <c r="Q283" s="378"/>
    </row>
    <row r="284" spans="6:17">
      <c r="F284" s="371"/>
      <c r="G284" s="371"/>
      <c r="H284" s="371"/>
      <c r="I284" s="371"/>
      <c r="J284" s="371"/>
      <c r="K284" s="371"/>
      <c r="L284" s="371"/>
      <c r="M284" s="371"/>
      <c r="N284" s="371"/>
      <c r="O284" s="371"/>
      <c r="P284" s="371"/>
      <c r="Q284" s="378"/>
    </row>
    <row r="285" spans="6:17">
      <c r="F285" s="371"/>
      <c r="G285" s="371"/>
      <c r="H285" s="371"/>
      <c r="I285" s="371"/>
      <c r="J285" s="371"/>
      <c r="K285" s="371"/>
      <c r="L285" s="371"/>
      <c r="M285" s="371"/>
      <c r="N285" s="371"/>
      <c r="O285" s="371"/>
      <c r="P285" s="371"/>
      <c r="Q285" s="378"/>
    </row>
    <row r="286" spans="6:17">
      <c r="F286" s="371"/>
      <c r="G286" s="371"/>
      <c r="H286" s="371"/>
      <c r="I286" s="371"/>
      <c r="J286" s="371"/>
      <c r="K286" s="371"/>
      <c r="L286" s="371"/>
      <c r="M286" s="371"/>
      <c r="N286" s="371"/>
      <c r="O286" s="371"/>
      <c r="P286" s="371"/>
      <c r="Q286" s="378"/>
    </row>
    <row r="287" spans="6:17">
      <c r="F287" s="371"/>
      <c r="G287" s="371"/>
      <c r="H287" s="371"/>
      <c r="I287" s="371"/>
      <c r="J287" s="371"/>
      <c r="K287" s="371"/>
      <c r="L287" s="371"/>
      <c r="M287" s="371"/>
      <c r="N287" s="371"/>
      <c r="O287" s="371"/>
      <c r="P287" s="371"/>
      <c r="Q287" s="378"/>
    </row>
    <row r="288" spans="6:17">
      <c r="F288" s="371"/>
      <c r="G288" s="371"/>
      <c r="H288" s="371"/>
      <c r="I288" s="371"/>
      <c r="J288" s="371"/>
      <c r="K288" s="371"/>
      <c r="L288" s="371"/>
      <c r="M288" s="371"/>
      <c r="N288" s="371"/>
      <c r="O288" s="371"/>
      <c r="P288" s="371"/>
      <c r="Q288" s="378"/>
    </row>
    <row r="289" spans="6:17">
      <c r="F289" s="371"/>
      <c r="G289" s="371"/>
      <c r="H289" s="371"/>
      <c r="I289" s="371"/>
      <c r="J289" s="371"/>
      <c r="K289" s="371"/>
      <c r="L289" s="371"/>
      <c r="M289" s="371"/>
      <c r="N289" s="371"/>
      <c r="O289" s="371"/>
      <c r="P289" s="371"/>
      <c r="Q289" s="378"/>
    </row>
    <row r="290" spans="6:17">
      <c r="F290" s="371"/>
      <c r="G290" s="371"/>
      <c r="H290" s="371"/>
      <c r="I290" s="371"/>
      <c r="J290" s="371"/>
      <c r="K290" s="371"/>
      <c r="L290" s="371"/>
      <c r="M290" s="371"/>
      <c r="N290" s="371"/>
      <c r="O290" s="371"/>
      <c r="P290" s="371"/>
      <c r="Q290" s="378"/>
    </row>
    <row r="291" spans="6:17">
      <c r="F291" s="371"/>
      <c r="G291" s="371"/>
      <c r="H291" s="371"/>
      <c r="I291" s="371"/>
      <c r="J291" s="371"/>
      <c r="K291" s="371"/>
      <c r="L291" s="371"/>
      <c r="M291" s="371"/>
      <c r="N291" s="371"/>
      <c r="O291" s="371"/>
      <c r="P291" s="371"/>
      <c r="Q291" s="378"/>
    </row>
    <row r="292" spans="6:17">
      <c r="F292" s="371"/>
      <c r="G292" s="371"/>
      <c r="H292" s="371"/>
      <c r="I292" s="371"/>
      <c r="J292" s="371"/>
      <c r="K292" s="371"/>
      <c r="L292" s="371"/>
      <c r="M292" s="371"/>
      <c r="N292" s="371"/>
      <c r="O292" s="371"/>
      <c r="P292" s="371"/>
      <c r="Q292" s="378"/>
    </row>
    <row r="293" spans="6:17">
      <c r="F293" s="371"/>
      <c r="G293" s="371"/>
      <c r="H293" s="371"/>
      <c r="I293" s="371"/>
      <c r="J293" s="371"/>
      <c r="K293" s="371"/>
      <c r="L293" s="371"/>
      <c r="M293" s="371"/>
      <c r="N293" s="371"/>
      <c r="O293" s="371"/>
      <c r="P293" s="371"/>
      <c r="Q293" s="378"/>
    </row>
    <row r="294" spans="6:17">
      <c r="F294" s="371"/>
      <c r="G294" s="371"/>
      <c r="H294" s="371"/>
      <c r="I294" s="371"/>
      <c r="J294" s="371"/>
      <c r="K294" s="371"/>
      <c r="L294" s="371"/>
      <c r="M294" s="371"/>
      <c r="N294" s="371"/>
      <c r="O294" s="371"/>
      <c r="P294" s="371"/>
      <c r="Q294" s="378"/>
    </row>
    <row r="295" spans="6:17">
      <c r="F295" s="371"/>
      <c r="G295" s="371"/>
      <c r="H295" s="371"/>
      <c r="I295" s="371"/>
      <c r="J295" s="371"/>
      <c r="K295" s="371"/>
      <c r="L295" s="371"/>
      <c r="M295" s="371"/>
      <c r="N295" s="371"/>
      <c r="O295" s="371"/>
      <c r="P295" s="371"/>
      <c r="Q295" s="378"/>
    </row>
    <row r="296" spans="6:17">
      <c r="F296" s="371"/>
      <c r="G296" s="371"/>
      <c r="H296" s="371"/>
      <c r="I296" s="371"/>
      <c r="J296" s="371"/>
      <c r="K296" s="371"/>
      <c r="L296" s="371"/>
      <c r="M296" s="371"/>
      <c r="N296" s="371"/>
      <c r="O296" s="371"/>
      <c r="P296" s="371"/>
      <c r="Q296" s="378"/>
    </row>
    <row r="297" spans="6:17">
      <c r="F297" s="371"/>
      <c r="G297" s="371"/>
      <c r="H297" s="371"/>
      <c r="I297" s="371"/>
      <c r="J297" s="371"/>
      <c r="K297" s="371"/>
      <c r="L297" s="371"/>
      <c r="M297" s="371"/>
      <c r="N297" s="371"/>
      <c r="O297" s="371"/>
      <c r="P297" s="371"/>
      <c r="Q297" s="378"/>
    </row>
    <row r="298" spans="6:17">
      <c r="F298" s="371"/>
      <c r="G298" s="371"/>
      <c r="H298" s="371"/>
      <c r="I298" s="371"/>
      <c r="J298" s="371"/>
      <c r="K298" s="371"/>
      <c r="L298" s="371"/>
      <c r="M298" s="371"/>
      <c r="N298" s="371"/>
      <c r="O298" s="371"/>
      <c r="P298" s="371"/>
      <c r="Q298" s="378"/>
    </row>
    <row r="299" spans="6:17">
      <c r="F299" s="371"/>
      <c r="G299" s="371"/>
      <c r="H299" s="371"/>
      <c r="I299" s="371"/>
      <c r="J299" s="371"/>
      <c r="K299" s="371"/>
      <c r="L299" s="371"/>
      <c r="M299" s="371"/>
      <c r="N299" s="371"/>
      <c r="O299" s="371"/>
      <c r="P299" s="371"/>
      <c r="Q299" s="378"/>
    </row>
    <row r="300" spans="6:17">
      <c r="F300" s="371"/>
      <c r="G300" s="371"/>
      <c r="H300" s="371"/>
      <c r="I300" s="371"/>
      <c r="J300" s="371"/>
      <c r="K300" s="371"/>
      <c r="L300" s="371"/>
      <c r="M300" s="371"/>
      <c r="N300" s="371"/>
      <c r="O300" s="371"/>
      <c r="P300" s="371"/>
      <c r="Q300" s="378"/>
    </row>
    <row r="301" spans="6:17">
      <c r="F301" s="371"/>
      <c r="G301" s="371"/>
      <c r="H301" s="371"/>
      <c r="I301" s="371"/>
      <c r="J301" s="371"/>
      <c r="K301" s="371"/>
      <c r="L301" s="371"/>
      <c r="M301" s="371"/>
      <c r="N301" s="371"/>
      <c r="O301" s="371"/>
      <c r="P301" s="371"/>
      <c r="Q301" s="378"/>
    </row>
    <row r="302" spans="6:17">
      <c r="F302" s="371"/>
      <c r="G302" s="371"/>
      <c r="H302" s="371"/>
      <c r="I302" s="371"/>
      <c r="J302" s="371"/>
      <c r="K302" s="371"/>
      <c r="L302" s="371"/>
      <c r="M302" s="371"/>
      <c r="N302" s="371"/>
      <c r="O302" s="371"/>
      <c r="P302" s="371"/>
      <c r="Q302" s="378"/>
    </row>
    <row r="303" spans="6:17">
      <c r="F303" s="371"/>
      <c r="G303" s="371"/>
      <c r="H303" s="371"/>
      <c r="I303" s="371"/>
      <c r="J303" s="371"/>
      <c r="K303" s="371"/>
      <c r="L303" s="371"/>
      <c r="M303" s="371"/>
      <c r="N303" s="371"/>
      <c r="O303" s="371"/>
      <c r="P303" s="371"/>
      <c r="Q303" s="378"/>
    </row>
    <row r="304" spans="6:17">
      <c r="F304" s="371"/>
      <c r="G304" s="371"/>
      <c r="H304" s="371"/>
      <c r="I304" s="371"/>
      <c r="J304" s="371"/>
      <c r="K304" s="371"/>
      <c r="L304" s="371"/>
      <c r="M304" s="371"/>
      <c r="N304" s="371"/>
      <c r="O304" s="371"/>
      <c r="P304" s="371"/>
      <c r="Q304" s="378"/>
    </row>
    <row r="305" spans="6:17">
      <c r="F305" s="371"/>
      <c r="G305" s="371"/>
      <c r="H305" s="371"/>
      <c r="I305" s="371"/>
      <c r="J305" s="371"/>
      <c r="K305" s="371"/>
      <c r="L305" s="371"/>
      <c r="M305" s="371"/>
      <c r="N305" s="371"/>
      <c r="O305" s="371"/>
      <c r="P305" s="371"/>
      <c r="Q305" s="378"/>
    </row>
    <row r="306" spans="6:17">
      <c r="F306" s="371"/>
      <c r="G306" s="371"/>
      <c r="H306" s="371"/>
      <c r="I306" s="371"/>
      <c r="J306" s="371"/>
      <c r="K306" s="371"/>
      <c r="L306" s="371"/>
      <c r="M306" s="371"/>
      <c r="N306" s="371"/>
      <c r="O306" s="371"/>
      <c r="P306" s="371"/>
      <c r="Q306" s="378"/>
    </row>
    <row r="307" spans="6:17">
      <c r="F307" s="371"/>
      <c r="G307" s="371"/>
      <c r="H307" s="371"/>
      <c r="I307" s="371"/>
      <c r="J307" s="371"/>
      <c r="K307" s="371"/>
      <c r="L307" s="371"/>
      <c r="M307" s="371"/>
      <c r="N307" s="371"/>
      <c r="O307" s="371"/>
      <c r="P307" s="371"/>
      <c r="Q307" s="378"/>
    </row>
    <row r="308" spans="6:17">
      <c r="F308" s="371"/>
      <c r="G308" s="371"/>
      <c r="H308" s="371"/>
      <c r="I308" s="371"/>
      <c r="J308" s="371"/>
      <c r="K308" s="371"/>
      <c r="L308" s="371"/>
      <c r="M308" s="371"/>
      <c r="N308" s="371"/>
      <c r="O308" s="371"/>
      <c r="P308" s="371"/>
      <c r="Q308" s="378"/>
    </row>
    <row r="309" spans="6:17">
      <c r="F309" s="371"/>
      <c r="G309" s="371"/>
      <c r="H309" s="371"/>
      <c r="I309" s="371"/>
      <c r="J309" s="371"/>
      <c r="K309" s="371"/>
      <c r="L309" s="371"/>
      <c r="M309" s="371"/>
      <c r="N309" s="371"/>
      <c r="O309" s="371"/>
      <c r="P309" s="371"/>
      <c r="Q309" s="378"/>
    </row>
    <row r="310" spans="6:17">
      <c r="F310" s="371"/>
      <c r="G310" s="371"/>
      <c r="H310" s="371"/>
      <c r="I310" s="371"/>
      <c r="J310" s="371"/>
      <c r="K310" s="371"/>
      <c r="L310" s="371"/>
      <c r="M310" s="371"/>
      <c r="N310" s="371"/>
      <c r="O310" s="371"/>
      <c r="P310" s="371"/>
      <c r="Q310" s="378"/>
    </row>
    <row r="311" spans="6:17">
      <c r="F311" s="371"/>
      <c r="G311" s="371"/>
      <c r="H311" s="371"/>
      <c r="I311" s="371"/>
      <c r="J311" s="371"/>
      <c r="K311" s="371"/>
      <c r="L311" s="371"/>
      <c r="M311" s="371"/>
      <c r="N311" s="371"/>
      <c r="O311" s="371"/>
      <c r="P311" s="371"/>
      <c r="Q311" s="378"/>
    </row>
    <row r="312" spans="6:17">
      <c r="F312" s="371"/>
      <c r="G312" s="371"/>
      <c r="H312" s="371"/>
      <c r="I312" s="371"/>
      <c r="J312" s="371"/>
      <c r="K312" s="371"/>
      <c r="L312" s="371"/>
      <c r="M312" s="371"/>
      <c r="N312" s="371"/>
      <c r="O312" s="371"/>
      <c r="P312" s="371"/>
      <c r="Q312" s="378"/>
    </row>
    <row r="313" spans="6:17">
      <c r="F313" s="371"/>
      <c r="G313" s="371"/>
      <c r="H313" s="371"/>
      <c r="I313" s="371"/>
      <c r="J313" s="371"/>
      <c r="K313" s="371"/>
      <c r="L313" s="371"/>
      <c r="M313" s="371"/>
      <c r="N313" s="371"/>
      <c r="O313" s="371"/>
      <c r="P313" s="371"/>
      <c r="Q313" s="378"/>
    </row>
    <row r="314" spans="6:17">
      <c r="F314" s="371"/>
      <c r="G314" s="371"/>
      <c r="H314" s="371"/>
      <c r="I314" s="371"/>
      <c r="J314" s="371"/>
      <c r="K314" s="371"/>
      <c r="L314" s="371"/>
      <c r="M314" s="371"/>
      <c r="N314" s="371"/>
      <c r="O314" s="371"/>
      <c r="P314" s="371"/>
      <c r="Q314" s="378"/>
    </row>
    <row r="315" spans="6:17">
      <c r="F315" s="371"/>
      <c r="G315" s="371"/>
      <c r="H315" s="371"/>
      <c r="I315" s="371"/>
      <c r="J315" s="371"/>
      <c r="K315" s="371"/>
      <c r="L315" s="371"/>
      <c r="M315" s="371"/>
      <c r="N315" s="371"/>
      <c r="O315" s="371"/>
      <c r="P315" s="371"/>
      <c r="Q315" s="378"/>
    </row>
    <row r="316" spans="6:17">
      <c r="F316" s="371"/>
      <c r="G316" s="371"/>
      <c r="H316" s="371"/>
      <c r="I316" s="371"/>
      <c r="J316" s="371"/>
      <c r="K316" s="371"/>
      <c r="L316" s="371"/>
      <c r="M316" s="371"/>
      <c r="N316" s="371"/>
      <c r="O316" s="371"/>
      <c r="P316" s="371"/>
      <c r="Q316" s="378"/>
    </row>
    <row r="317" spans="6:17">
      <c r="F317" s="371"/>
      <c r="G317" s="371"/>
      <c r="H317" s="371"/>
      <c r="I317" s="371"/>
      <c r="J317" s="371"/>
      <c r="K317" s="371"/>
      <c r="L317" s="371"/>
      <c r="M317" s="371"/>
      <c r="N317" s="371"/>
      <c r="O317" s="371"/>
      <c r="P317" s="371"/>
      <c r="Q317" s="378"/>
    </row>
    <row r="318" spans="6:17">
      <c r="F318" s="371"/>
      <c r="G318" s="371"/>
      <c r="H318" s="371"/>
      <c r="I318" s="371"/>
      <c r="J318" s="371"/>
      <c r="K318" s="371"/>
      <c r="L318" s="371"/>
      <c r="M318" s="371"/>
      <c r="N318" s="371"/>
      <c r="O318" s="371"/>
      <c r="P318" s="371"/>
      <c r="Q318" s="378"/>
    </row>
    <row r="319" spans="6:17">
      <c r="F319" s="371"/>
      <c r="G319" s="371"/>
      <c r="H319" s="371"/>
      <c r="I319" s="371"/>
      <c r="J319" s="371"/>
      <c r="K319" s="371"/>
      <c r="L319" s="371"/>
      <c r="M319" s="371"/>
      <c r="N319" s="371"/>
      <c r="O319" s="371"/>
      <c r="P319" s="371"/>
      <c r="Q319" s="378"/>
    </row>
    <row r="320" spans="6:17">
      <c r="F320" s="371"/>
      <c r="G320" s="371"/>
      <c r="H320" s="371"/>
      <c r="I320" s="371"/>
      <c r="J320" s="371"/>
      <c r="K320" s="371"/>
      <c r="L320" s="371"/>
      <c r="M320" s="371"/>
      <c r="N320" s="371"/>
      <c r="O320" s="371"/>
      <c r="P320" s="371"/>
      <c r="Q320" s="378"/>
    </row>
    <row r="321" spans="6:17">
      <c r="F321" s="371"/>
      <c r="G321" s="371"/>
      <c r="H321" s="371"/>
      <c r="I321" s="371"/>
      <c r="J321" s="371"/>
      <c r="K321" s="371"/>
      <c r="L321" s="371"/>
      <c r="M321" s="371"/>
      <c r="N321" s="371"/>
      <c r="O321" s="371"/>
      <c r="P321" s="371"/>
      <c r="Q321" s="378"/>
    </row>
    <row r="322" spans="6:17">
      <c r="F322" s="371"/>
      <c r="G322" s="371"/>
      <c r="H322" s="371"/>
      <c r="I322" s="371"/>
      <c r="J322" s="371"/>
      <c r="K322" s="371"/>
      <c r="L322" s="371"/>
      <c r="M322" s="371"/>
      <c r="N322" s="371"/>
      <c r="O322" s="371"/>
      <c r="P322" s="371"/>
      <c r="Q322" s="378"/>
    </row>
    <row r="323" spans="6:17">
      <c r="F323" s="371"/>
      <c r="G323" s="371"/>
      <c r="H323" s="371"/>
      <c r="I323" s="371"/>
      <c r="J323" s="371"/>
      <c r="K323" s="371"/>
      <c r="L323" s="371"/>
      <c r="M323" s="371"/>
      <c r="N323" s="371"/>
      <c r="O323" s="371"/>
      <c r="P323" s="371"/>
      <c r="Q323" s="378"/>
    </row>
    <row r="324" spans="6:17">
      <c r="F324" s="371"/>
      <c r="G324" s="371"/>
      <c r="H324" s="371"/>
      <c r="I324" s="371"/>
      <c r="J324" s="371"/>
      <c r="K324" s="371"/>
      <c r="L324" s="371"/>
      <c r="M324" s="371"/>
      <c r="N324" s="371"/>
      <c r="O324" s="371"/>
      <c r="P324" s="371"/>
      <c r="Q324" s="378"/>
    </row>
    <row r="325" spans="6:17">
      <c r="F325" s="371"/>
      <c r="G325" s="371"/>
      <c r="H325" s="371"/>
      <c r="I325" s="371"/>
      <c r="J325" s="371"/>
      <c r="K325" s="371"/>
      <c r="L325" s="371"/>
      <c r="M325" s="371"/>
      <c r="N325" s="371"/>
      <c r="O325" s="371"/>
      <c r="P325" s="371"/>
      <c r="Q325" s="378"/>
    </row>
    <row r="326" spans="6:17">
      <c r="F326" s="371"/>
      <c r="G326" s="371"/>
      <c r="H326" s="371"/>
      <c r="I326" s="371"/>
      <c r="J326" s="371"/>
      <c r="K326" s="371"/>
      <c r="L326" s="371"/>
      <c r="M326" s="371"/>
      <c r="N326" s="371"/>
      <c r="O326" s="371"/>
      <c r="P326" s="371"/>
      <c r="Q326" s="378"/>
    </row>
    <row r="327" spans="6:17">
      <c r="F327" s="371"/>
      <c r="G327" s="371"/>
      <c r="H327" s="371"/>
      <c r="I327" s="371"/>
      <c r="J327" s="371"/>
      <c r="K327" s="371"/>
      <c r="L327" s="371"/>
      <c r="M327" s="371"/>
      <c r="N327" s="371"/>
      <c r="O327" s="371"/>
      <c r="P327" s="371"/>
      <c r="Q327" s="378"/>
    </row>
    <row r="328" spans="6:17">
      <c r="F328" s="371"/>
      <c r="G328" s="371"/>
      <c r="H328" s="371"/>
      <c r="I328" s="371"/>
      <c r="J328" s="371"/>
      <c r="K328" s="371"/>
      <c r="L328" s="371"/>
      <c r="M328" s="371"/>
      <c r="N328" s="371"/>
      <c r="O328" s="371"/>
      <c r="P328" s="371"/>
      <c r="Q328" s="378"/>
    </row>
    <row r="329" spans="6:17">
      <c r="F329" s="371"/>
      <c r="G329" s="371"/>
      <c r="H329" s="371"/>
      <c r="I329" s="371"/>
      <c r="J329" s="371"/>
      <c r="K329" s="371"/>
      <c r="L329" s="371"/>
      <c r="M329" s="371"/>
      <c r="N329" s="371"/>
      <c r="O329" s="371"/>
      <c r="P329" s="371"/>
      <c r="Q329" s="378"/>
    </row>
    <row r="330" spans="6:17">
      <c r="F330" s="371"/>
      <c r="G330" s="371"/>
      <c r="H330" s="371"/>
      <c r="I330" s="371"/>
      <c r="J330" s="371"/>
      <c r="K330" s="371"/>
      <c r="L330" s="371"/>
      <c r="M330" s="371"/>
      <c r="N330" s="371"/>
      <c r="O330" s="371"/>
      <c r="P330" s="371"/>
      <c r="Q330" s="378"/>
    </row>
    <row r="331" spans="6:17">
      <c r="F331" s="371"/>
      <c r="G331" s="371"/>
      <c r="H331" s="371"/>
      <c r="I331" s="371"/>
      <c r="J331" s="371"/>
      <c r="K331" s="371"/>
      <c r="L331" s="371"/>
      <c r="M331" s="371"/>
      <c r="N331" s="371"/>
      <c r="O331" s="371"/>
      <c r="P331" s="371"/>
      <c r="Q331" s="378"/>
    </row>
    <row r="332" spans="6:17">
      <c r="F332" s="371"/>
      <c r="G332" s="371"/>
      <c r="H332" s="371"/>
      <c r="I332" s="371"/>
      <c r="J332" s="371"/>
      <c r="K332" s="371"/>
      <c r="L332" s="371"/>
      <c r="M332" s="371"/>
      <c r="N332" s="371"/>
      <c r="O332" s="371"/>
      <c r="P332" s="371"/>
      <c r="Q332" s="378"/>
    </row>
    <row r="333" spans="6:17">
      <c r="F333" s="371"/>
      <c r="G333" s="371"/>
      <c r="H333" s="371"/>
      <c r="I333" s="371"/>
      <c r="J333" s="371"/>
      <c r="K333" s="371"/>
      <c r="L333" s="371"/>
      <c r="M333" s="371"/>
      <c r="N333" s="371"/>
      <c r="O333" s="371"/>
      <c r="P333" s="371"/>
      <c r="Q333" s="378"/>
    </row>
    <row r="334" spans="6:17">
      <c r="F334" s="371"/>
      <c r="G334" s="371"/>
      <c r="H334" s="371"/>
      <c r="I334" s="371"/>
      <c r="J334" s="371"/>
      <c r="K334" s="371"/>
      <c r="L334" s="371"/>
      <c r="M334" s="371"/>
      <c r="N334" s="371"/>
      <c r="O334" s="371"/>
      <c r="P334" s="371"/>
      <c r="Q334" s="378"/>
    </row>
    <row r="335" spans="6:17">
      <c r="F335" s="371"/>
      <c r="G335" s="371"/>
      <c r="H335" s="371"/>
      <c r="I335" s="371"/>
      <c r="J335" s="371"/>
      <c r="K335" s="371"/>
      <c r="L335" s="371"/>
      <c r="M335" s="371"/>
      <c r="N335" s="371"/>
      <c r="O335" s="371"/>
      <c r="P335" s="371"/>
      <c r="Q335" s="378"/>
    </row>
    <row r="336" spans="6:17">
      <c r="F336" s="371"/>
      <c r="G336" s="371"/>
      <c r="H336" s="371"/>
      <c r="I336" s="371"/>
      <c r="J336" s="371"/>
      <c r="K336" s="371"/>
      <c r="L336" s="371"/>
      <c r="M336" s="371"/>
      <c r="N336" s="371"/>
      <c r="O336" s="371"/>
      <c r="P336" s="371"/>
      <c r="Q336" s="378"/>
    </row>
    <row r="337" spans="6:17">
      <c r="F337" s="371"/>
      <c r="G337" s="371"/>
      <c r="H337" s="371"/>
      <c r="I337" s="371"/>
      <c r="J337" s="371"/>
      <c r="K337" s="371"/>
      <c r="L337" s="371"/>
      <c r="M337" s="371"/>
      <c r="N337" s="371"/>
      <c r="O337" s="371"/>
      <c r="P337" s="371"/>
      <c r="Q337" s="378"/>
    </row>
    <row r="338" spans="6:17">
      <c r="F338" s="371"/>
      <c r="G338" s="371"/>
      <c r="H338" s="371"/>
      <c r="I338" s="371"/>
      <c r="J338" s="371"/>
      <c r="K338" s="371"/>
      <c r="L338" s="371"/>
      <c r="M338" s="371"/>
      <c r="N338" s="371"/>
      <c r="O338" s="371"/>
      <c r="P338" s="371"/>
      <c r="Q338" s="378"/>
    </row>
    <row r="339" spans="6:17">
      <c r="F339" s="371"/>
      <c r="G339" s="371"/>
      <c r="H339" s="371"/>
      <c r="I339" s="371"/>
      <c r="J339" s="371"/>
      <c r="K339" s="371"/>
      <c r="L339" s="371"/>
      <c r="M339" s="371"/>
      <c r="N339" s="371"/>
      <c r="O339" s="371"/>
      <c r="P339" s="371"/>
      <c r="Q339" s="378"/>
    </row>
    <row r="340" spans="6:17">
      <c r="F340" s="371"/>
      <c r="G340" s="371"/>
      <c r="H340" s="371"/>
      <c r="I340" s="371"/>
      <c r="J340" s="371"/>
      <c r="K340" s="371"/>
      <c r="L340" s="371"/>
      <c r="M340" s="371"/>
      <c r="N340" s="371"/>
      <c r="O340" s="371"/>
      <c r="P340" s="371"/>
      <c r="Q340" s="378"/>
    </row>
    <row r="341" spans="6:17">
      <c r="F341" s="371"/>
      <c r="G341" s="371"/>
      <c r="H341" s="371"/>
      <c r="I341" s="371"/>
      <c r="J341" s="371"/>
      <c r="K341" s="371"/>
      <c r="L341" s="371"/>
      <c r="M341" s="371"/>
      <c r="N341" s="371"/>
      <c r="O341" s="371"/>
      <c r="P341" s="371"/>
      <c r="Q341" s="378"/>
    </row>
    <row r="342" spans="6:17">
      <c r="F342" s="371"/>
      <c r="G342" s="371"/>
      <c r="H342" s="371"/>
      <c r="I342" s="371"/>
      <c r="J342" s="371"/>
      <c r="K342" s="371"/>
      <c r="L342" s="371"/>
      <c r="M342" s="371"/>
      <c r="N342" s="371"/>
      <c r="O342" s="371"/>
      <c r="P342" s="371"/>
      <c r="Q342" s="378"/>
    </row>
    <row r="343" spans="6:17">
      <c r="F343" s="371"/>
      <c r="G343" s="371"/>
      <c r="H343" s="371"/>
      <c r="I343" s="371"/>
      <c r="J343" s="371"/>
      <c r="K343" s="371"/>
      <c r="L343" s="371"/>
      <c r="M343" s="371"/>
      <c r="N343" s="371"/>
      <c r="O343" s="371"/>
      <c r="P343" s="371"/>
      <c r="Q343" s="378"/>
    </row>
    <row r="344" spans="6:17">
      <c r="F344" s="371"/>
      <c r="G344" s="371"/>
      <c r="H344" s="371"/>
      <c r="I344" s="371"/>
      <c r="J344" s="371"/>
      <c r="K344" s="371"/>
      <c r="L344" s="371"/>
      <c r="M344" s="371"/>
      <c r="N344" s="371"/>
      <c r="O344" s="371"/>
      <c r="P344" s="371"/>
      <c r="Q344" s="378"/>
    </row>
    <row r="345" spans="6:17">
      <c r="F345" s="371"/>
      <c r="G345" s="371"/>
      <c r="H345" s="371"/>
      <c r="I345" s="371"/>
      <c r="J345" s="371"/>
      <c r="K345" s="371"/>
      <c r="L345" s="371"/>
      <c r="M345" s="371"/>
      <c r="N345" s="371"/>
      <c r="O345" s="371"/>
      <c r="P345" s="371"/>
      <c r="Q345" s="378"/>
    </row>
    <row r="346" spans="6:17">
      <c r="F346" s="371"/>
      <c r="G346" s="371"/>
      <c r="H346" s="371"/>
      <c r="I346" s="371"/>
      <c r="J346" s="371"/>
      <c r="K346" s="371"/>
      <c r="L346" s="371"/>
      <c r="M346" s="371"/>
      <c r="N346" s="371"/>
      <c r="O346" s="371"/>
      <c r="P346" s="371"/>
      <c r="Q346" s="378"/>
    </row>
    <row r="347" spans="6:17">
      <c r="F347" s="371"/>
      <c r="G347" s="371"/>
      <c r="H347" s="371"/>
      <c r="I347" s="371"/>
      <c r="J347" s="371"/>
      <c r="K347" s="371"/>
      <c r="L347" s="371"/>
      <c r="M347" s="371"/>
      <c r="N347" s="371"/>
      <c r="O347" s="371"/>
      <c r="P347" s="371"/>
      <c r="Q347" s="378"/>
    </row>
    <row r="348" spans="6:17">
      <c r="F348" s="371"/>
      <c r="G348" s="371"/>
      <c r="H348" s="371"/>
      <c r="I348" s="371"/>
      <c r="J348" s="371"/>
      <c r="K348" s="371"/>
      <c r="L348" s="371"/>
      <c r="M348" s="371"/>
      <c r="N348" s="371"/>
      <c r="O348" s="371"/>
      <c r="P348" s="371"/>
      <c r="Q348" s="378"/>
    </row>
    <row r="349" spans="6:17">
      <c r="F349" s="371"/>
      <c r="G349" s="371"/>
      <c r="H349" s="371"/>
      <c r="I349" s="371"/>
      <c r="J349" s="371"/>
      <c r="K349" s="371"/>
      <c r="L349" s="371"/>
      <c r="M349" s="371"/>
      <c r="N349" s="371"/>
      <c r="O349" s="371"/>
      <c r="P349" s="371"/>
      <c r="Q349" s="378"/>
    </row>
    <row r="350" spans="6:17">
      <c r="F350" s="371"/>
      <c r="G350" s="371"/>
      <c r="H350" s="371"/>
      <c r="I350" s="371"/>
      <c r="J350" s="371"/>
      <c r="K350" s="371"/>
      <c r="L350" s="371"/>
      <c r="M350" s="371"/>
      <c r="N350" s="371"/>
      <c r="O350" s="371"/>
      <c r="P350" s="371"/>
      <c r="Q350" s="378"/>
    </row>
    <row r="351" spans="6:17">
      <c r="F351" s="371"/>
      <c r="G351" s="371"/>
      <c r="H351" s="371"/>
      <c r="I351" s="371"/>
      <c r="J351" s="371"/>
      <c r="K351" s="371"/>
      <c r="L351" s="371"/>
      <c r="M351" s="371"/>
      <c r="N351" s="371"/>
      <c r="O351" s="371"/>
      <c r="P351" s="371"/>
      <c r="Q351" s="378"/>
    </row>
    <row r="352" spans="6:17">
      <c r="F352" s="371"/>
      <c r="G352" s="371"/>
      <c r="H352" s="371"/>
      <c r="I352" s="371"/>
      <c r="J352" s="371"/>
      <c r="K352" s="371"/>
      <c r="L352" s="371"/>
      <c r="M352" s="371"/>
      <c r="N352" s="371"/>
      <c r="O352" s="371"/>
      <c r="P352" s="371"/>
      <c r="Q352" s="378"/>
    </row>
    <row r="353" spans="6:17">
      <c r="F353" s="371"/>
      <c r="G353" s="371"/>
      <c r="H353" s="371"/>
      <c r="I353" s="371"/>
      <c r="J353" s="371"/>
      <c r="K353" s="371"/>
      <c r="L353" s="371"/>
      <c r="M353" s="371"/>
      <c r="N353" s="371"/>
      <c r="O353" s="371"/>
      <c r="P353" s="371"/>
      <c r="Q353" s="378"/>
    </row>
    <row r="354" spans="6:17">
      <c r="F354" s="371"/>
      <c r="G354" s="371"/>
      <c r="H354" s="371"/>
      <c r="I354" s="371"/>
      <c r="J354" s="371"/>
      <c r="K354" s="371"/>
      <c r="L354" s="371"/>
      <c r="M354" s="371"/>
      <c r="N354" s="371"/>
      <c r="O354" s="371"/>
      <c r="P354" s="371"/>
      <c r="Q354" s="378"/>
    </row>
    <row r="355" spans="6:17">
      <c r="F355" s="371"/>
      <c r="G355" s="371"/>
      <c r="H355" s="371"/>
      <c r="I355" s="371"/>
      <c r="J355" s="371"/>
      <c r="K355" s="371"/>
      <c r="L355" s="371"/>
      <c r="M355" s="371"/>
      <c r="N355" s="371"/>
      <c r="O355" s="371"/>
      <c r="P355" s="371"/>
      <c r="Q355" s="378"/>
    </row>
    <row r="356" spans="6:17">
      <c r="F356" s="371"/>
      <c r="G356" s="371"/>
      <c r="H356" s="371"/>
      <c r="I356" s="371"/>
      <c r="J356" s="371"/>
      <c r="K356" s="371"/>
      <c r="L356" s="371"/>
      <c r="M356" s="371"/>
      <c r="N356" s="371"/>
      <c r="O356" s="371"/>
      <c r="P356" s="371"/>
      <c r="Q356" s="378"/>
    </row>
    <row r="357" spans="6:17">
      <c r="F357" s="371"/>
      <c r="G357" s="371"/>
      <c r="H357" s="371"/>
      <c r="I357" s="371"/>
      <c r="J357" s="371"/>
      <c r="K357" s="371"/>
      <c r="L357" s="371"/>
      <c r="M357" s="371"/>
      <c r="N357" s="371"/>
      <c r="O357" s="371"/>
      <c r="P357" s="371"/>
      <c r="Q357" s="378"/>
    </row>
    <row r="358" spans="6:17">
      <c r="F358" s="371"/>
      <c r="G358" s="371"/>
      <c r="H358" s="371"/>
      <c r="I358" s="371"/>
      <c r="J358" s="371"/>
      <c r="K358" s="371"/>
      <c r="L358" s="371"/>
      <c r="M358" s="371"/>
      <c r="N358" s="371"/>
      <c r="O358" s="371"/>
      <c r="P358" s="371"/>
      <c r="Q358" s="378"/>
    </row>
    <row r="359" spans="6:17">
      <c r="F359" s="371"/>
      <c r="G359" s="371"/>
      <c r="H359" s="371"/>
      <c r="I359" s="371"/>
      <c r="J359" s="371"/>
      <c r="K359" s="371"/>
      <c r="L359" s="371"/>
      <c r="M359" s="371"/>
      <c r="N359" s="371"/>
      <c r="O359" s="371"/>
      <c r="P359" s="371"/>
      <c r="Q359" s="378"/>
    </row>
    <row r="360" spans="6:17">
      <c r="F360" s="371"/>
      <c r="G360" s="371"/>
      <c r="H360" s="371"/>
      <c r="I360" s="371"/>
      <c r="J360" s="371"/>
      <c r="K360" s="371"/>
      <c r="L360" s="371"/>
      <c r="M360" s="371"/>
      <c r="N360" s="371"/>
      <c r="O360" s="371"/>
      <c r="P360" s="371"/>
      <c r="Q360" s="378"/>
    </row>
    <row r="361" spans="6:17">
      <c r="F361" s="371"/>
      <c r="G361" s="371"/>
      <c r="H361" s="371"/>
      <c r="I361" s="371"/>
      <c r="J361" s="371"/>
      <c r="K361" s="371"/>
      <c r="L361" s="371"/>
      <c r="M361" s="371"/>
      <c r="N361" s="371"/>
      <c r="O361" s="371"/>
      <c r="P361" s="371"/>
      <c r="Q361" s="378"/>
    </row>
    <row r="362" spans="6:17">
      <c r="F362" s="371"/>
      <c r="G362" s="371"/>
      <c r="H362" s="371"/>
      <c r="I362" s="371"/>
      <c r="J362" s="371"/>
      <c r="K362" s="371"/>
      <c r="L362" s="371"/>
      <c r="M362" s="371"/>
      <c r="N362" s="371"/>
      <c r="O362" s="371"/>
      <c r="P362" s="371"/>
      <c r="Q362" s="378"/>
    </row>
    <row r="363" spans="6:17">
      <c r="F363" s="371"/>
      <c r="G363" s="371"/>
      <c r="H363" s="371"/>
      <c r="I363" s="371"/>
      <c r="J363" s="371"/>
      <c r="K363" s="371"/>
      <c r="L363" s="371"/>
      <c r="M363" s="371"/>
      <c r="N363" s="371"/>
      <c r="O363" s="371"/>
      <c r="P363" s="371"/>
      <c r="Q363" s="378"/>
    </row>
    <row r="364" spans="6:17">
      <c r="F364" s="371"/>
      <c r="G364" s="371"/>
      <c r="H364" s="371"/>
      <c r="I364" s="371"/>
      <c r="J364" s="371"/>
      <c r="K364" s="371"/>
      <c r="L364" s="371"/>
      <c r="M364" s="371"/>
      <c r="N364" s="371"/>
      <c r="O364" s="371"/>
      <c r="P364" s="371"/>
      <c r="Q364" s="378"/>
    </row>
    <row r="365" spans="6:17">
      <c r="F365" s="371"/>
      <c r="G365" s="371"/>
      <c r="H365" s="371"/>
      <c r="I365" s="371"/>
      <c r="J365" s="371"/>
      <c r="K365" s="371"/>
      <c r="L365" s="371"/>
      <c r="M365" s="371"/>
      <c r="N365" s="371"/>
      <c r="O365" s="371"/>
      <c r="P365" s="371"/>
      <c r="Q365" s="378"/>
    </row>
    <row r="366" spans="6:17">
      <c r="F366" s="371"/>
      <c r="G366" s="371"/>
      <c r="H366" s="371"/>
      <c r="I366" s="371"/>
      <c r="J366" s="371"/>
      <c r="K366" s="371"/>
      <c r="L366" s="371"/>
      <c r="M366" s="371"/>
      <c r="N366" s="371"/>
      <c r="O366" s="371"/>
      <c r="P366" s="371"/>
      <c r="Q366" s="378"/>
    </row>
    <row r="367" spans="6:17">
      <c r="F367" s="371"/>
      <c r="G367" s="371"/>
      <c r="H367" s="371"/>
      <c r="I367" s="371"/>
      <c r="J367" s="371"/>
      <c r="K367" s="371"/>
      <c r="L367" s="371"/>
      <c r="M367" s="371"/>
      <c r="N367" s="371"/>
      <c r="O367" s="371"/>
      <c r="P367" s="371"/>
      <c r="Q367" s="378"/>
    </row>
    <row r="368" spans="6:17">
      <c r="F368" s="371"/>
      <c r="G368" s="371"/>
      <c r="H368" s="371"/>
      <c r="I368" s="371"/>
      <c r="J368" s="371"/>
      <c r="K368" s="371"/>
      <c r="L368" s="371"/>
      <c r="M368" s="371"/>
      <c r="N368" s="371"/>
      <c r="O368" s="371"/>
      <c r="P368" s="371"/>
      <c r="Q368" s="378"/>
    </row>
    <row r="369" spans="6:17">
      <c r="F369" s="371"/>
      <c r="G369" s="371"/>
      <c r="H369" s="371"/>
      <c r="I369" s="371"/>
      <c r="J369" s="371"/>
      <c r="K369" s="371"/>
      <c r="L369" s="371"/>
      <c r="M369" s="371"/>
      <c r="N369" s="371"/>
      <c r="O369" s="371"/>
      <c r="P369" s="371"/>
      <c r="Q369" s="378"/>
    </row>
    <row r="370" spans="6:17">
      <c r="F370" s="371"/>
      <c r="G370" s="371"/>
      <c r="H370" s="371"/>
      <c r="I370" s="371"/>
      <c r="J370" s="371"/>
      <c r="K370" s="371"/>
      <c r="L370" s="371"/>
      <c r="M370" s="371"/>
      <c r="N370" s="371"/>
      <c r="O370" s="371"/>
      <c r="P370" s="371"/>
      <c r="Q370" s="378"/>
    </row>
    <row r="371" spans="6:17">
      <c r="F371" s="371"/>
      <c r="G371" s="371"/>
      <c r="H371" s="371"/>
      <c r="I371" s="371"/>
      <c r="J371" s="371"/>
      <c r="K371" s="371"/>
      <c r="L371" s="371"/>
      <c r="M371" s="371"/>
      <c r="N371" s="371"/>
      <c r="O371" s="371"/>
      <c r="P371" s="371"/>
      <c r="Q371" s="378"/>
    </row>
    <row r="372" spans="6:17">
      <c r="F372" s="371"/>
      <c r="G372" s="371"/>
      <c r="H372" s="371"/>
      <c r="I372" s="371"/>
      <c r="J372" s="371"/>
      <c r="K372" s="371"/>
      <c r="L372" s="371"/>
      <c r="M372" s="371"/>
      <c r="N372" s="371"/>
      <c r="O372" s="371"/>
      <c r="P372" s="371"/>
      <c r="Q372" s="378"/>
    </row>
    <row r="373" spans="6:17">
      <c r="F373" s="371"/>
      <c r="G373" s="371"/>
      <c r="H373" s="371"/>
      <c r="I373" s="371"/>
      <c r="J373" s="371"/>
      <c r="K373" s="371"/>
      <c r="L373" s="371"/>
      <c r="M373" s="371"/>
      <c r="N373" s="371"/>
      <c r="O373" s="371"/>
      <c r="P373" s="371"/>
      <c r="Q373" s="378"/>
    </row>
    <row r="374" spans="6:17">
      <c r="F374" s="371"/>
      <c r="G374" s="371"/>
      <c r="H374" s="371"/>
      <c r="I374" s="371"/>
      <c r="J374" s="371"/>
      <c r="K374" s="371"/>
      <c r="L374" s="371"/>
      <c r="M374" s="371"/>
      <c r="N374" s="371"/>
      <c r="O374" s="371"/>
      <c r="P374" s="371"/>
      <c r="Q374" s="378"/>
    </row>
    <row r="375" spans="6:17">
      <c r="F375" s="371"/>
      <c r="G375" s="371"/>
      <c r="H375" s="371"/>
      <c r="I375" s="371"/>
      <c r="J375" s="371"/>
      <c r="K375" s="371"/>
      <c r="L375" s="371"/>
      <c r="M375" s="371"/>
      <c r="N375" s="371"/>
      <c r="O375" s="371"/>
      <c r="P375" s="371"/>
      <c r="Q375" s="378"/>
    </row>
    <row r="376" spans="6:17">
      <c r="F376" s="371"/>
      <c r="G376" s="371"/>
      <c r="H376" s="371"/>
      <c r="I376" s="371"/>
      <c r="J376" s="371"/>
      <c r="K376" s="371"/>
      <c r="L376" s="371"/>
      <c r="M376" s="371"/>
      <c r="N376" s="371"/>
      <c r="O376" s="371"/>
      <c r="P376" s="371"/>
      <c r="Q376" s="378"/>
    </row>
    <row r="377" spans="6:17">
      <c r="F377" s="371"/>
      <c r="G377" s="371"/>
      <c r="H377" s="371"/>
      <c r="I377" s="371"/>
      <c r="J377" s="371"/>
      <c r="K377" s="371"/>
      <c r="L377" s="371"/>
      <c r="M377" s="371"/>
      <c r="N377" s="371"/>
      <c r="O377" s="371"/>
      <c r="P377" s="371"/>
      <c r="Q377" s="378"/>
    </row>
    <row r="378" spans="6:17">
      <c r="F378" s="371"/>
      <c r="G378" s="371"/>
      <c r="H378" s="371"/>
      <c r="I378" s="371"/>
      <c r="J378" s="371"/>
      <c r="K378" s="371"/>
      <c r="L378" s="371"/>
      <c r="M378" s="371"/>
      <c r="N378" s="371"/>
      <c r="O378" s="371"/>
      <c r="P378" s="371"/>
      <c r="Q378" s="378"/>
    </row>
    <row r="379" spans="6:17">
      <c r="F379" s="371"/>
      <c r="G379" s="371"/>
      <c r="H379" s="371"/>
      <c r="I379" s="371"/>
      <c r="J379" s="371"/>
      <c r="K379" s="371"/>
      <c r="L379" s="371"/>
      <c r="M379" s="371"/>
      <c r="N379" s="371"/>
      <c r="O379" s="371"/>
      <c r="P379" s="371"/>
      <c r="Q379" s="378"/>
    </row>
    <row r="380" spans="6:17">
      <c r="F380" s="371"/>
      <c r="G380" s="371"/>
      <c r="H380" s="371"/>
      <c r="I380" s="371"/>
      <c r="J380" s="371"/>
      <c r="K380" s="371"/>
      <c r="L380" s="371"/>
      <c r="M380" s="371"/>
      <c r="N380" s="371"/>
      <c r="O380" s="371"/>
      <c r="P380" s="371"/>
      <c r="Q380" s="378"/>
    </row>
    <row r="381" spans="6:17">
      <c r="F381" s="371"/>
      <c r="G381" s="371"/>
      <c r="H381" s="371"/>
      <c r="I381" s="371"/>
      <c r="J381" s="371"/>
      <c r="K381" s="371"/>
      <c r="L381" s="371"/>
      <c r="M381" s="371"/>
      <c r="N381" s="371"/>
      <c r="O381" s="371"/>
      <c r="P381" s="371"/>
      <c r="Q381" s="378"/>
    </row>
    <row r="382" spans="6:17">
      <c r="F382" s="371"/>
      <c r="G382" s="371"/>
      <c r="H382" s="371"/>
      <c r="I382" s="371"/>
      <c r="J382" s="371"/>
      <c r="K382" s="371"/>
      <c r="L382" s="371"/>
      <c r="M382" s="371"/>
      <c r="N382" s="371"/>
      <c r="O382" s="371"/>
      <c r="P382" s="371"/>
      <c r="Q382" s="378"/>
    </row>
    <row r="383" spans="6:17">
      <c r="F383" s="371"/>
      <c r="G383" s="371"/>
      <c r="H383" s="371"/>
      <c r="I383" s="371"/>
      <c r="J383" s="371"/>
      <c r="K383" s="371"/>
      <c r="L383" s="371"/>
      <c r="M383" s="371"/>
      <c r="N383" s="371"/>
      <c r="O383" s="371"/>
      <c r="P383" s="371"/>
      <c r="Q383" s="378"/>
    </row>
    <row r="384" spans="6:17">
      <c r="F384" s="371"/>
      <c r="G384" s="371"/>
      <c r="H384" s="371"/>
      <c r="I384" s="371"/>
      <c r="J384" s="371"/>
      <c r="K384" s="371"/>
      <c r="L384" s="371"/>
      <c r="M384" s="371"/>
      <c r="N384" s="371"/>
      <c r="O384" s="371"/>
      <c r="P384" s="371"/>
      <c r="Q384" s="378"/>
    </row>
    <row r="385" spans="6:17">
      <c r="F385" s="371"/>
      <c r="G385" s="371"/>
      <c r="H385" s="371"/>
      <c r="I385" s="371"/>
      <c r="J385" s="371"/>
      <c r="K385" s="371"/>
      <c r="L385" s="371"/>
      <c r="M385" s="371"/>
      <c r="N385" s="371"/>
      <c r="O385" s="371"/>
      <c r="P385" s="371"/>
      <c r="Q385" s="378"/>
    </row>
    <row r="386" spans="6:17">
      <c r="F386" s="371"/>
      <c r="G386" s="371"/>
      <c r="H386" s="371"/>
      <c r="I386" s="371"/>
      <c r="J386" s="371"/>
      <c r="K386" s="371"/>
      <c r="L386" s="371"/>
      <c r="M386" s="371"/>
      <c r="N386" s="371"/>
      <c r="O386" s="371"/>
      <c r="P386" s="371"/>
      <c r="Q386" s="378"/>
    </row>
    <row r="387" spans="6:17">
      <c r="F387" s="371"/>
      <c r="G387" s="371"/>
      <c r="H387" s="371"/>
      <c r="I387" s="371"/>
      <c r="J387" s="371"/>
      <c r="K387" s="371"/>
      <c r="L387" s="371"/>
      <c r="M387" s="371"/>
      <c r="N387" s="371"/>
      <c r="O387" s="371"/>
      <c r="P387" s="371"/>
      <c r="Q387" s="378"/>
    </row>
    <row r="388" spans="6:17">
      <c r="F388" s="371"/>
      <c r="G388" s="371"/>
      <c r="H388" s="371"/>
      <c r="I388" s="371"/>
      <c r="J388" s="371"/>
      <c r="K388" s="371"/>
      <c r="L388" s="371"/>
      <c r="M388" s="371"/>
      <c r="N388" s="371"/>
      <c r="O388" s="371"/>
      <c r="P388" s="371"/>
      <c r="Q388" s="378"/>
    </row>
    <row r="389" spans="6:17">
      <c r="F389" s="371"/>
      <c r="G389" s="371"/>
      <c r="H389" s="371"/>
      <c r="I389" s="371"/>
      <c r="J389" s="371"/>
      <c r="K389" s="371"/>
      <c r="L389" s="371"/>
      <c r="M389" s="371"/>
      <c r="N389" s="371"/>
      <c r="O389" s="371"/>
      <c r="P389" s="371"/>
      <c r="Q389" s="378"/>
    </row>
    <row r="390" spans="6:17">
      <c r="F390" s="371"/>
      <c r="G390" s="371"/>
      <c r="H390" s="371"/>
      <c r="I390" s="371"/>
      <c r="J390" s="371"/>
      <c r="K390" s="371"/>
      <c r="L390" s="371"/>
      <c r="M390" s="371"/>
      <c r="N390" s="371"/>
      <c r="O390" s="371"/>
      <c r="P390" s="371"/>
      <c r="Q390" s="378"/>
    </row>
    <row r="391" spans="6:17">
      <c r="F391" s="371"/>
      <c r="G391" s="371"/>
      <c r="H391" s="371"/>
      <c r="I391" s="371"/>
      <c r="J391" s="371"/>
      <c r="K391" s="371"/>
      <c r="L391" s="371"/>
      <c r="M391" s="371"/>
      <c r="N391" s="371"/>
      <c r="O391" s="371"/>
      <c r="P391" s="371"/>
      <c r="Q391" s="378"/>
    </row>
    <row r="392" spans="6:17">
      <c r="F392" s="371"/>
      <c r="G392" s="371"/>
      <c r="H392" s="371"/>
      <c r="I392" s="371"/>
      <c r="J392" s="371"/>
      <c r="K392" s="371"/>
      <c r="L392" s="371"/>
      <c r="M392" s="371"/>
      <c r="N392" s="371"/>
      <c r="O392" s="371"/>
      <c r="P392" s="371"/>
      <c r="Q392" s="378"/>
    </row>
    <row r="393" spans="6:17">
      <c r="F393" s="371"/>
      <c r="G393" s="371"/>
      <c r="H393" s="371"/>
      <c r="I393" s="371"/>
      <c r="J393" s="371"/>
      <c r="K393" s="371"/>
      <c r="L393" s="371"/>
      <c r="M393" s="371"/>
      <c r="N393" s="371"/>
      <c r="O393" s="371"/>
      <c r="P393" s="371"/>
      <c r="Q393" s="378"/>
    </row>
    <row r="394" spans="6:17">
      <c r="F394" s="371"/>
      <c r="G394" s="371"/>
      <c r="H394" s="371"/>
      <c r="I394" s="371"/>
      <c r="J394" s="371"/>
      <c r="K394" s="371"/>
      <c r="L394" s="371"/>
      <c r="M394" s="371"/>
      <c r="N394" s="371"/>
      <c r="O394" s="371"/>
      <c r="P394" s="371"/>
      <c r="Q394" s="378"/>
    </row>
    <row r="395" spans="6:17">
      <c r="F395" s="371"/>
      <c r="G395" s="371"/>
      <c r="H395" s="371"/>
      <c r="I395" s="371"/>
      <c r="J395" s="371"/>
      <c r="K395" s="371"/>
      <c r="L395" s="371"/>
      <c r="M395" s="371"/>
      <c r="N395" s="371"/>
      <c r="O395" s="371"/>
      <c r="P395" s="371"/>
      <c r="Q395" s="378"/>
    </row>
    <row r="396" spans="6:17">
      <c r="F396" s="371"/>
      <c r="G396" s="371"/>
      <c r="H396" s="371"/>
      <c r="I396" s="371"/>
      <c r="J396" s="371"/>
      <c r="K396" s="371"/>
      <c r="L396" s="371"/>
      <c r="M396" s="371"/>
      <c r="N396" s="371"/>
      <c r="O396" s="371"/>
      <c r="P396" s="371"/>
      <c r="Q396" s="378"/>
    </row>
    <row r="397" spans="6:17">
      <c r="F397" s="371"/>
      <c r="G397" s="371"/>
      <c r="H397" s="371"/>
      <c r="I397" s="371"/>
      <c r="J397" s="371"/>
      <c r="K397" s="371"/>
      <c r="L397" s="371"/>
      <c r="M397" s="371"/>
      <c r="N397" s="371"/>
      <c r="O397" s="371"/>
      <c r="P397" s="371"/>
      <c r="Q397" s="378"/>
    </row>
    <row r="398" spans="6:17">
      <c r="F398" s="371"/>
      <c r="G398" s="371"/>
      <c r="H398" s="371"/>
      <c r="I398" s="371"/>
      <c r="J398" s="371"/>
      <c r="K398" s="371"/>
      <c r="L398" s="371"/>
      <c r="M398" s="371"/>
      <c r="N398" s="371"/>
      <c r="O398" s="371"/>
      <c r="P398" s="371"/>
      <c r="Q398" s="378"/>
    </row>
    <row r="399" spans="6:17">
      <c r="F399" s="371"/>
      <c r="G399" s="371"/>
      <c r="H399" s="371"/>
      <c r="I399" s="371"/>
      <c r="J399" s="371"/>
      <c r="K399" s="371"/>
      <c r="L399" s="371"/>
      <c r="M399" s="371"/>
      <c r="N399" s="371"/>
      <c r="O399" s="371"/>
      <c r="P399" s="371"/>
      <c r="Q399" s="378"/>
    </row>
    <row r="400" spans="6:17">
      <c r="F400" s="371"/>
      <c r="G400" s="371"/>
      <c r="H400" s="371"/>
      <c r="I400" s="371"/>
      <c r="J400" s="371"/>
      <c r="K400" s="371"/>
      <c r="L400" s="371"/>
      <c r="M400" s="371"/>
      <c r="N400" s="371"/>
      <c r="O400" s="371"/>
      <c r="P400" s="371"/>
      <c r="Q400" s="378"/>
    </row>
    <row r="401" spans="6:17">
      <c r="F401" s="371"/>
      <c r="G401" s="371"/>
      <c r="H401" s="371"/>
      <c r="I401" s="371"/>
      <c r="J401" s="371"/>
      <c r="K401" s="371"/>
      <c r="L401" s="371"/>
      <c r="M401" s="371"/>
      <c r="N401" s="371"/>
      <c r="O401" s="371"/>
      <c r="P401" s="371"/>
      <c r="Q401" s="378"/>
    </row>
    <row r="402" spans="6:17">
      <c r="F402" s="371"/>
      <c r="G402" s="371"/>
      <c r="H402" s="371"/>
      <c r="I402" s="371"/>
      <c r="J402" s="371"/>
      <c r="K402" s="371"/>
      <c r="L402" s="371"/>
      <c r="M402" s="371"/>
      <c r="N402" s="371"/>
      <c r="O402" s="371"/>
      <c r="P402" s="371"/>
      <c r="Q402" s="378"/>
    </row>
    <row r="403" spans="6:17">
      <c r="F403" s="371"/>
      <c r="G403" s="371"/>
      <c r="H403" s="371"/>
      <c r="I403" s="371"/>
      <c r="J403" s="371"/>
      <c r="K403" s="371"/>
      <c r="L403" s="371"/>
      <c r="M403" s="371"/>
      <c r="N403" s="371"/>
      <c r="O403" s="371"/>
      <c r="P403" s="371"/>
      <c r="Q403" s="378"/>
    </row>
    <row r="404" spans="6:17">
      <c r="F404" s="371"/>
      <c r="G404" s="371"/>
      <c r="H404" s="371"/>
      <c r="I404" s="371"/>
      <c r="J404" s="371"/>
      <c r="K404" s="371"/>
      <c r="L404" s="371"/>
      <c r="M404" s="371"/>
      <c r="N404" s="371"/>
      <c r="O404" s="371"/>
      <c r="P404" s="371"/>
      <c r="Q404" s="378"/>
    </row>
    <row r="405" spans="6:17">
      <c r="F405" s="371"/>
      <c r="G405" s="371"/>
      <c r="H405" s="371"/>
      <c r="I405" s="371"/>
      <c r="J405" s="371"/>
      <c r="K405" s="371"/>
      <c r="L405" s="371"/>
      <c r="M405" s="371"/>
      <c r="N405" s="371"/>
      <c r="O405" s="371"/>
      <c r="P405" s="371"/>
      <c r="Q405" s="378"/>
    </row>
    <row r="406" spans="6:17">
      <c r="F406" s="371"/>
      <c r="G406" s="371"/>
      <c r="H406" s="371"/>
      <c r="I406" s="371"/>
      <c r="J406" s="371"/>
      <c r="K406" s="371"/>
      <c r="L406" s="371"/>
      <c r="M406" s="371"/>
      <c r="N406" s="371"/>
      <c r="O406" s="371"/>
      <c r="P406" s="371"/>
      <c r="Q406" s="378"/>
    </row>
    <row r="407" spans="6:17">
      <c r="F407" s="371"/>
      <c r="G407" s="371"/>
      <c r="H407" s="371"/>
      <c r="I407" s="371"/>
      <c r="J407" s="371"/>
      <c r="K407" s="371"/>
      <c r="L407" s="371"/>
      <c r="M407" s="371"/>
      <c r="N407" s="371"/>
      <c r="O407" s="371"/>
      <c r="P407" s="371"/>
      <c r="Q407" s="378"/>
    </row>
    <row r="408" spans="6:17">
      <c r="F408" s="371"/>
      <c r="G408" s="371"/>
      <c r="H408" s="371"/>
      <c r="I408" s="371"/>
      <c r="J408" s="371"/>
      <c r="K408" s="371"/>
      <c r="L408" s="371"/>
      <c r="M408" s="371"/>
      <c r="N408" s="371"/>
      <c r="O408" s="371"/>
      <c r="P408" s="371"/>
      <c r="Q408" s="378"/>
    </row>
    <row r="409" spans="6:17">
      <c r="F409" s="371"/>
      <c r="G409" s="371"/>
      <c r="H409" s="371"/>
      <c r="I409" s="371"/>
      <c r="J409" s="371"/>
      <c r="K409" s="371"/>
      <c r="L409" s="371"/>
      <c r="M409" s="371"/>
      <c r="N409" s="371"/>
      <c r="O409" s="371"/>
      <c r="P409" s="371"/>
      <c r="Q409" s="378"/>
    </row>
    <row r="410" spans="6:17">
      <c r="F410" s="371"/>
      <c r="G410" s="371"/>
      <c r="H410" s="371"/>
      <c r="I410" s="371"/>
      <c r="J410" s="371"/>
      <c r="K410" s="371"/>
      <c r="L410" s="371"/>
      <c r="M410" s="371"/>
      <c r="N410" s="371"/>
      <c r="O410" s="371"/>
      <c r="P410" s="371"/>
      <c r="Q410" s="378"/>
    </row>
    <row r="411" spans="6:17">
      <c r="F411" s="371"/>
      <c r="G411" s="371"/>
      <c r="H411" s="371"/>
      <c r="I411" s="371"/>
      <c r="J411" s="371"/>
      <c r="K411" s="371"/>
      <c r="L411" s="371"/>
      <c r="M411" s="371"/>
      <c r="N411" s="371"/>
      <c r="O411" s="371"/>
      <c r="P411" s="371"/>
      <c r="Q411" s="378"/>
    </row>
    <row r="412" spans="6:17">
      <c r="F412" s="371"/>
      <c r="G412" s="371"/>
      <c r="H412" s="371"/>
      <c r="I412" s="371"/>
      <c r="J412" s="371"/>
      <c r="K412" s="371"/>
      <c r="L412" s="371"/>
      <c r="M412" s="371"/>
      <c r="N412" s="371"/>
      <c r="O412" s="371"/>
      <c r="P412" s="371"/>
      <c r="Q412" s="378"/>
    </row>
    <row r="413" spans="6:17">
      <c r="F413" s="371"/>
      <c r="G413" s="371"/>
      <c r="H413" s="371"/>
      <c r="I413" s="371"/>
      <c r="J413" s="371"/>
      <c r="K413" s="371"/>
      <c r="L413" s="371"/>
      <c r="M413" s="371"/>
      <c r="N413" s="371"/>
      <c r="O413" s="371"/>
      <c r="P413" s="371"/>
      <c r="Q413" s="378"/>
    </row>
    <row r="414" spans="6:17">
      <c r="F414" s="371"/>
      <c r="G414" s="371"/>
      <c r="H414" s="371"/>
      <c r="I414" s="371"/>
      <c r="J414" s="371"/>
      <c r="K414" s="371"/>
      <c r="L414" s="371"/>
      <c r="M414" s="371"/>
      <c r="N414" s="371"/>
      <c r="O414" s="371"/>
      <c r="P414" s="371"/>
      <c r="Q414" s="378"/>
    </row>
    <row r="415" spans="6:17">
      <c r="F415" s="371"/>
      <c r="G415" s="371"/>
      <c r="H415" s="371"/>
      <c r="I415" s="371"/>
      <c r="J415" s="371"/>
      <c r="K415" s="371"/>
      <c r="L415" s="371"/>
      <c r="M415" s="371"/>
      <c r="N415" s="371"/>
      <c r="O415" s="371"/>
      <c r="P415" s="371"/>
      <c r="Q415" s="378"/>
    </row>
    <row r="416" spans="6:17">
      <c r="F416" s="371"/>
      <c r="G416" s="371"/>
      <c r="H416" s="371"/>
      <c r="I416" s="371"/>
      <c r="J416" s="371"/>
      <c r="K416" s="371"/>
      <c r="L416" s="371"/>
      <c r="M416" s="371"/>
      <c r="N416" s="371"/>
      <c r="O416" s="371"/>
      <c r="P416" s="371"/>
      <c r="Q416" s="378"/>
    </row>
    <row r="417" spans="6:17">
      <c r="F417" s="371"/>
      <c r="G417" s="371"/>
      <c r="H417" s="371"/>
      <c r="I417" s="371"/>
      <c r="J417" s="371"/>
      <c r="K417" s="371"/>
      <c r="L417" s="371"/>
      <c r="M417" s="371"/>
      <c r="N417" s="371"/>
      <c r="O417" s="371"/>
      <c r="P417" s="371"/>
      <c r="Q417" s="378"/>
    </row>
    <row r="418" spans="6:17">
      <c r="F418" s="371"/>
      <c r="G418" s="371"/>
      <c r="H418" s="371"/>
      <c r="I418" s="371"/>
      <c r="J418" s="371"/>
      <c r="K418" s="371"/>
      <c r="L418" s="371"/>
      <c r="M418" s="371"/>
      <c r="N418" s="371"/>
      <c r="O418" s="371"/>
      <c r="P418" s="371"/>
      <c r="Q418" s="378"/>
    </row>
    <row r="419" spans="6:17">
      <c r="F419" s="371"/>
      <c r="G419" s="371"/>
      <c r="H419" s="371"/>
      <c r="I419" s="371"/>
      <c r="J419" s="371"/>
      <c r="K419" s="371"/>
      <c r="L419" s="371"/>
      <c r="M419" s="371"/>
      <c r="N419" s="371"/>
      <c r="O419" s="371"/>
      <c r="P419" s="371"/>
      <c r="Q419" s="378"/>
    </row>
    <row r="420" spans="6:17">
      <c r="F420" s="371"/>
      <c r="G420" s="371"/>
      <c r="H420" s="371"/>
      <c r="I420" s="371"/>
      <c r="J420" s="371"/>
      <c r="K420" s="371"/>
      <c r="L420" s="371"/>
      <c r="M420" s="371"/>
      <c r="N420" s="371"/>
      <c r="O420" s="371"/>
      <c r="P420" s="371"/>
      <c r="Q420" s="378"/>
    </row>
    <row r="421" spans="6:17">
      <c r="F421" s="371"/>
      <c r="G421" s="371"/>
      <c r="H421" s="371"/>
      <c r="I421" s="371"/>
      <c r="J421" s="371"/>
      <c r="K421" s="371"/>
      <c r="L421" s="371"/>
      <c r="M421" s="371"/>
      <c r="N421" s="371"/>
      <c r="O421" s="371"/>
      <c r="P421" s="371"/>
      <c r="Q421" s="378"/>
    </row>
    <row r="422" spans="6:17">
      <c r="F422" s="371"/>
      <c r="G422" s="371"/>
      <c r="H422" s="371"/>
      <c r="I422" s="371"/>
      <c r="J422" s="371"/>
      <c r="K422" s="371"/>
      <c r="L422" s="371"/>
      <c r="M422" s="371"/>
      <c r="N422" s="371"/>
      <c r="O422" s="371"/>
      <c r="P422" s="371"/>
      <c r="Q422" s="378"/>
    </row>
    <row r="423" spans="6:17">
      <c r="F423" s="371"/>
      <c r="G423" s="371"/>
      <c r="H423" s="371"/>
      <c r="I423" s="371"/>
      <c r="J423" s="371"/>
      <c r="K423" s="371"/>
      <c r="L423" s="371"/>
      <c r="M423" s="371"/>
      <c r="N423" s="371"/>
      <c r="O423" s="371"/>
      <c r="P423" s="371"/>
      <c r="Q423" s="378"/>
    </row>
    <row r="424" spans="6:17">
      <c r="F424" s="371"/>
      <c r="G424" s="371"/>
      <c r="H424" s="371"/>
      <c r="I424" s="371"/>
      <c r="J424" s="371"/>
      <c r="K424" s="371"/>
      <c r="L424" s="371"/>
      <c r="M424" s="371"/>
      <c r="N424" s="371"/>
      <c r="O424" s="371"/>
      <c r="P424" s="371"/>
      <c r="Q424" s="378"/>
    </row>
    <row r="425" spans="6:17">
      <c r="F425" s="371"/>
      <c r="G425" s="371"/>
      <c r="H425" s="371"/>
      <c r="I425" s="371"/>
      <c r="J425" s="371"/>
      <c r="K425" s="371"/>
      <c r="L425" s="371"/>
      <c r="M425" s="371"/>
      <c r="N425" s="371"/>
      <c r="O425" s="371"/>
      <c r="P425" s="371"/>
      <c r="Q425" s="378"/>
    </row>
    <row r="426" spans="6:17">
      <c r="F426" s="371"/>
      <c r="G426" s="371"/>
      <c r="H426" s="371"/>
      <c r="I426" s="371"/>
      <c r="J426" s="371"/>
      <c r="K426" s="371"/>
      <c r="L426" s="371"/>
      <c r="M426" s="371"/>
      <c r="N426" s="371"/>
      <c r="O426" s="371"/>
      <c r="P426" s="371"/>
      <c r="Q426" s="378"/>
    </row>
    <row r="427" spans="6:17">
      <c r="F427" s="371"/>
      <c r="G427" s="371"/>
      <c r="H427" s="371"/>
      <c r="I427" s="371"/>
      <c r="J427" s="371"/>
      <c r="K427" s="371"/>
      <c r="L427" s="371"/>
      <c r="M427" s="371"/>
      <c r="N427" s="371"/>
      <c r="O427" s="371"/>
      <c r="P427" s="371"/>
      <c r="Q427" s="378"/>
    </row>
    <row r="428" spans="6:17">
      <c r="F428" s="371"/>
      <c r="G428" s="371"/>
      <c r="H428" s="371"/>
      <c r="I428" s="371"/>
      <c r="J428" s="371"/>
      <c r="K428" s="371"/>
      <c r="L428" s="371"/>
      <c r="M428" s="371"/>
      <c r="N428" s="371"/>
      <c r="O428" s="371"/>
      <c r="P428" s="371"/>
      <c r="Q428" s="378"/>
    </row>
    <row r="429" spans="6:17">
      <c r="F429" s="371"/>
      <c r="G429" s="371"/>
      <c r="H429" s="371"/>
      <c r="I429" s="371"/>
      <c r="J429" s="371"/>
      <c r="K429" s="371"/>
      <c r="L429" s="371"/>
      <c r="M429" s="371"/>
      <c r="N429" s="371"/>
      <c r="O429" s="371"/>
      <c r="P429" s="371"/>
      <c r="Q429" s="378"/>
    </row>
    <row r="430" spans="6:17">
      <c r="F430" s="371"/>
      <c r="G430" s="371"/>
      <c r="H430" s="371"/>
      <c r="I430" s="371"/>
      <c r="J430" s="371"/>
      <c r="K430" s="371"/>
      <c r="L430" s="371"/>
      <c r="M430" s="371"/>
      <c r="N430" s="371"/>
      <c r="O430" s="371"/>
      <c r="P430" s="371"/>
      <c r="Q430" s="378"/>
    </row>
    <row r="431" spans="6:17">
      <c r="F431" s="371"/>
      <c r="G431" s="371"/>
      <c r="H431" s="371"/>
      <c r="I431" s="371"/>
      <c r="J431" s="371"/>
      <c r="K431" s="371"/>
      <c r="L431" s="371"/>
      <c r="M431" s="371"/>
      <c r="N431" s="371"/>
      <c r="O431" s="371"/>
      <c r="P431" s="371"/>
      <c r="Q431" s="378"/>
    </row>
    <row r="432" spans="6:17">
      <c r="F432" s="371"/>
      <c r="G432" s="371"/>
      <c r="H432" s="371"/>
      <c r="I432" s="371"/>
      <c r="J432" s="371"/>
      <c r="K432" s="371"/>
      <c r="L432" s="371"/>
      <c r="M432" s="371"/>
      <c r="N432" s="371"/>
      <c r="O432" s="371"/>
      <c r="P432" s="371"/>
      <c r="Q432" s="378"/>
    </row>
    <row r="433" spans="6:17">
      <c r="F433" s="371"/>
      <c r="G433" s="371"/>
      <c r="H433" s="371"/>
      <c r="I433" s="371"/>
      <c r="J433" s="371"/>
      <c r="K433" s="371"/>
      <c r="L433" s="371"/>
      <c r="M433" s="371"/>
      <c r="N433" s="371"/>
      <c r="O433" s="371"/>
      <c r="P433" s="371"/>
      <c r="Q433" s="378"/>
    </row>
    <row r="434" spans="6:17">
      <c r="F434" s="371"/>
      <c r="G434" s="371"/>
      <c r="H434" s="371"/>
      <c r="I434" s="371"/>
      <c r="J434" s="371"/>
      <c r="K434" s="371"/>
      <c r="L434" s="371"/>
      <c r="M434" s="371"/>
      <c r="N434" s="371"/>
      <c r="O434" s="371"/>
      <c r="P434" s="371"/>
      <c r="Q434" s="378"/>
    </row>
    <row r="435" spans="6:17">
      <c r="F435" s="371"/>
      <c r="G435" s="371"/>
      <c r="H435" s="371"/>
      <c r="I435" s="371"/>
      <c r="J435" s="371"/>
      <c r="K435" s="371"/>
      <c r="L435" s="371"/>
      <c r="M435" s="371"/>
      <c r="N435" s="371"/>
      <c r="O435" s="371"/>
      <c r="P435" s="371"/>
      <c r="Q435" s="378"/>
    </row>
    <row r="436" spans="6:17">
      <c r="F436" s="371"/>
      <c r="G436" s="371"/>
      <c r="H436" s="371"/>
      <c r="I436" s="371"/>
      <c r="J436" s="371"/>
      <c r="K436" s="371"/>
      <c r="L436" s="371"/>
      <c r="M436" s="371"/>
      <c r="N436" s="371"/>
      <c r="O436" s="371"/>
      <c r="P436" s="371"/>
      <c r="Q436" s="378"/>
    </row>
    <row r="437" spans="6:17">
      <c r="F437" s="371"/>
      <c r="G437" s="371"/>
      <c r="H437" s="371"/>
      <c r="I437" s="371"/>
      <c r="J437" s="371"/>
      <c r="K437" s="371"/>
      <c r="L437" s="371"/>
      <c r="M437" s="371"/>
      <c r="N437" s="371"/>
      <c r="O437" s="371"/>
      <c r="P437" s="371"/>
      <c r="Q437" s="378"/>
    </row>
    <row r="438" spans="6:17">
      <c r="F438" s="371"/>
      <c r="G438" s="371"/>
      <c r="H438" s="371"/>
      <c r="I438" s="371"/>
      <c r="J438" s="371"/>
      <c r="K438" s="371"/>
      <c r="L438" s="371"/>
      <c r="M438" s="371"/>
      <c r="N438" s="371"/>
      <c r="O438" s="371"/>
      <c r="P438" s="371"/>
      <c r="Q438" s="378"/>
    </row>
    <row r="439" spans="6:17">
      <c r="F439" s="371"/>
      <c r="G439" s="371"/>
      <c r="H439" s="371"/>
      <c r="I439" s="371"/>
      <c r="J439" s="371"/>
      <c r="K439" s="371"/>
      <c r="L439" s="371"/>
      <c r="M439" s="371"/>
      <c r="N439" s="371"/>
      <c r="O439" s="371"/>
      <c r="P439" s="371"/>
      <c r="Q439" s="378"/>
    </row>
    <row r="440" spans="6:17">
      <c r="F440" s="371"/>
      <c r="G440" s="371"/>
      <c r="H440" s="371"/>
      <c r="I440" s="371"/>
      <c r="J440" s="371"/>
      <c r="K440" s="371"/>
      <c r="L440" s="371"/>
      <c r="M440" s="371"/>
      <c r="N440" s="371"/>
      <c r="O440" s="371"/>
      <c r="P440" s="371"/>
      <c r="Q440" s="378"/>
    </row>
    <row r="441" spans="6:17">
      <c r="F441" s="371"/>
      <c r="G441" s="371"/>
      <c r="H441" s="371"/>
      <c r="I441" s="371"/>
      <c r="J441" s="371"/>
      <c r="K441" s="371"/>
      <c r="L441" s="371"/>
      <c r="M441" s="371"/>
      <c r="N441" s="371"/>
      <c r="O441" s="371"/>
      <c r="P441" s="371"/>
      <c r="Q441" s="378"/>
    </row>
    <row r="442" spans="6:17">
      <c r="F442" s="371"/>
      <c r="G442" s="371"/>
      <c r="H442" s="371"/>
      <c r="I442" s="371"/>
      <c r="J442" s="371"/>
      <c r="K442" s="371"/>
      <c r="L442" s="371"/>
      <c r="M442" s="371"/>
      <c r="N442" s="371"/>
      <c r="O442" s="371"/>
      <c r="P442" s="371"/>
      <c r="Q442" s="378"/>
    </row>
    <row r="443" spans="6:17">
      <c r="F443" s="371"/>
      <c r="G443" s="371"/>
      <c r="H443" s="371"/>
      <c r="I443" s="371"/>
      <c r="J443" s="371"/>
      <c r="K443" s="371"/>
      <c r="L443" s="371"/>
      <c r="M443" s="371"/>
      <c r="N443" s="371"/>
      <c r="O443" s="371"/>
      <c r="P443" s="371"/>
      <c r="Q443" s="378"/>
    </row>
    <row r="444" spans="6:17">
      <c r="F444" s="371"/>
      <c r="G444" s="371"/>
      <c r="H444" s="371"/>
      <c r="I444" s="371"/>
      <c r="J444" s="371"/>
      <c r="K444" s="371"/>
      <c r="L444" s="371"/>
      <c r="M444" s="371"/>
      <c r="N444" s="371"/>
      <c r="O444" s="371"/>
      <c r="P444" s="371"/>
      <c r="Q444" s="378"/>
    </row>
    <row r="445" spans="6:17">
      <c r="F445" s="371"/>
      <c r="G445" s="371"/>
      <c r="H445" s="371"/>
      <c r="I445" s="371"/>
      <c r="J445" s="371"/>
      <c r="K445" s="371"/>
      <c r="L445" s="371"/>
      <c r="M445" s="371"/>
      <c r="N445" s="371"/>
      <c r="O445" s="371"/>
      <c r="P445" s="371"/>
      <c r="Q445" s="378"/>
    </row>
    <row r="446" spans="6:17">
      <c r="F446" s="371"/>
      <c r="G446" s="371"/>
      <c r="H446" s="371"/>
      <c r="I446" s="371"/>
      <c r="J446" s="371"/>
      <c r="K446" s="371"/>
      <c r="L446" s="371"/>
      <c r="M446" s="371"/>
      <c r="N446" s="371"/>
      <c r="O446" s="371"/>
      <c r="P446" s="371"/>
      <c r="Q446" s="378"/>
    </row>
    <row r="447" spans="6:17">
      <c r="F447" s="371"/>
      <c r="G447" s="371"/>
      <c r="H447" s="371"/>
      <c r="I447" s="371"/>
      <c r="J447" s="371"/>
      <c r="K447" s="371"/>
      <c r="L447" s="371"/>
      <c r="M447" s="371"/>
      <c r="N447" s="371"/>
      <c r="O447" s="371"/>
      <c r="P447" s="371"/>
      <c r="Q447" s="378"/>
    </row>
    <row r="448" spans="6:17">
      <c r="F448" s="371"/>
      <c r="G448" s="371"/>
      <c r="H448" s="371"/>
      <c r="I448" s="371"/>
      <c r="J448" s="371"/>
      <c r="K448" s="371"/>
      <c r="L448" s="371"/>
      <c r="M448" s="371"/>
      <c r="N448" s="371"/>
      <c r="O448" s="371"/>
      <c r="P448" s="371"/>
      <c r="Q448" s="378"/>
    </row>
    <row r="449" spans="6:17">
      <c r="F449" s="371"/>
      <c r="G449" s="371"/>
      <c r="H449" s="371"/>
      <c r="I449" s="371"/>
      <c r="J449" s="371"/>
      <c r="K449" s="371"/>
      <c r="L449" s="371"/>
      <c r="M449" s="371"/>
      <c r="N449" s="371"/>
      <c r="O449" s="371"/>
      <c r="P449" s="371"/>
      <c r="Q449" s="378"/>
    </row>
    <row r="450" spans="6:17">
      <c r="F450" s="371"/>
      <c r="G450" s="371"/>
      <c r="H450" s="371"/>
      <c r="I450" s="371"/>
      <c r="J450" s="371"/>
      <c r="K450" s="371"/>
      <c r="L450" s="371"/>
      <c r="M450" s="371"/>
      <c r="N450" s="371"/>
      <c r="O450" s="371"/>
      <c r="P450" s="371"/>
      <c r="Q450" s="378"/>
    </row>
    <row r="451" spans="6:17">
      <c r="F451" s="371"/>
      <c r="G451" s="371"/>
      <c r="H451" s="371"/>
      <c r="I451" s="371"/>
      <c r="J451" s="371"/>
      <c r="K451" s="371"/>
      <c r="L451" s="371"/>
      <c r="M451" s="371"/>
      <c r="N451" s="371"/>
      <c r="O451" s="371"/>
      <c r="P451" s="371"/>
      <c r="Q451" s="378"/>
    </row>
    <row r="452" spans="6:17">
      <c r="F452" s="371"/>
      <c r="G452" s="371"/>
      <c r="H452" s="371"/>
      <c r="I452" s="371"/>
      <c r="J452" s="371"/>
      <c r="K452" s="371"/>
      <c r="L452" s="371"/>
      <c r="M452" s="371"/>
      <c r="N452" s="371"/>
      <c r="O452" s="371"/>
      <c r="P452" s="371"/>
      <c r="Q452" s="378"/>
    </row>
    <row r="453" spans="6:17">
      <c r="F453" s="371"/>
      <c r="G453" s="371"/>
      <c r="H453" s="371"/>
      <c r="I453" s="371"/>
      <c r="J453" s="371"/>
      <c r="K453" s="371"/>
      <c r="L453" s="371"/>
      <c r="M453" s="371"/>
      <c r="N453" s="371"/>
      <c r="O453" s="371"/>
      <c r="P453" s="371"/>
      <c r="Q453" s="378"/>
    </row>
    <row r="454" spans="6:17">
      <c r="F454" s="371"/>
      <c r="G454" s="371"/>
      <c r="H454" s="371"/>
      <c r="I454" s="371"/>
      <c r="J454" s="371"/>
      <c r="K454" s="371"/>
      <c r="L454" s="371"/>
      <c r="M454" s="371"/>
      <c r="N454" s="371"/>
      <c r="O454" s="371"/>
      <c r="P454" s="371"/>
      <c r="Q454" s="378"/>
    </row>
    <row r="455" spans="6:17">
      <c r="F455" s="371"/>
      <c r="G455" s="371"/>
      <c r="H455" s="371"/>
      <c r="I455" s="371"/>
      <c r="J455" s="371"/>
      <c r="K455" s="371"/>
      <c r="L455" s="371"/>
      <c r="M455" s="371"/>
      <c r="N455" s="371"/>
      <c r="O455" s="371"/>
      <c r="P455" s="371"/>
      <c r="Q455" s="378"/>
    </row>
    <row r="456" spans="6:17">
      <c r="F456" s="371"/>
      <c r="G456" s="371"/>
      <c r="H456" s="371"/>
      <c r="I456" s="371"/>
      <c r="J456" s="371"/>
      <c r="K456" s="371"/>
      <c r="L456" s="371"/>
      <c r="M456" s="371"/>
      <c r="N456" s="371"/>
      <c r="O456" s="371"/>
      <c r="P456" s="371"/>
      <c r="Q456" s="378"/>
    </row>
    <row r="457" spans="6:17">
      <c r="F457" s="371"/>
      <c r="G457" s="371"/>
      <c r="H457" s="371"/>
      <c r="I457" s="371"/>
      <c r="J457" s="371"/>
      <c r="K457" s="371"/>
      <c r="L457" s="371"/>
      <c r="M457" s="371"/>
      <c r="N457" s="371"/>
      <c r="O457" s="371"/>
      <c r="P457" s="371"/>
      <c r="Q457" s="378"/>
    </row>
    <row r="458" spans="6:17">
      <c r="F458" s="371"/>
      <c r="G458" s="371"/>
      <c r="H458" s="371"/>
      <c r="I458" s="371"/>
      <c r="J458" s="371"/>
      <c r="K458" s="371"/>
      <c r="L458" s="371"/>
      <c r="M458" s="371"/>
      <c r="N458" s="371"/>
      <c r="O458" s="371"/>
      <c r="P458" s="371"/>
      <c r="Q458" s="378"/>
    </row>
    <row r="459" spans="6:17">
      <c r="F459" s="371"/>
      <c r="G459" s="371"/>
      <c r="H459" s="371"/>
      <c r="I459" s="371"/>
      <c r="J459" s="371"/>
      <c r="K459" s="371"/>
      <c r="L459" s="371"/>
      <c r="M459" s="371"/>
      <c r="N459" s="371"/>
      <c r="O459" s="371"/>
      <c r="P459" s="371"/>
      <c r="Q459" s="378"/>
    </row>
    <row r="460" spans="6:17">
      <c r="F460" s="371"/>
      <c r="G460" s="371"/>
      <c r="H460" s="371"/>
      <c r="I460" s="371"/>
      <c r="J460" s="371"/>
      <c r="K460" s="371"/>
      <c r="L460" s="371"/>
      <c r="M460" s="371"/>
      <c r="N460" s="371"/>
      <c r="O460" s="371"/>
      <c r="P460" s="371"/>
      <c r="Q460" s="378"/>
    </row>
    <row r="461" spans="6:17">
      <c r="F461" s="371"/>
      <c r="G461" s="371"/>
      <c r="H461" s="371"/>
      <c r="I461" s="371"/>
      <c r="J461" s="371"/>
      <c r="K461" s="371"/>
      <c r="L461" s="371"/>
      <c r="M461" s="371"/>
      <c r="N461" s="371"/>
      <c r="O461" s="371"/>
      <c r="P461" s="371"/>
      <c r="Q461" s="378"/>
    </row>
    <row r="462" spans="6:17">
      <c r="F462" s="371"/>
      <c r="G462" s="371"/>
      <c r="H462" s="371"/>
      <c r="I462" s="371"/>
      <c r="J462" s="371"/>
      <c r="K462" s="371"/>
      <c r="L462" s="371"/>
      <c r="M462" s="371"/>
      <c r="N462" s="371"/>
      <c r="O462" s="371"/>
      <c r="P462" s="371"/>
      <c r="Q462" s="378"/>
    </row>
    <row r="463" spans="6:17">
      <c r="F463" s="371"/>
      <c r="G463" s="371"/>
      <c r="H463" s="371"/>
      <c r="I463" s="371"/>
      <c r="J463" s="371"/>
      <c r="K463" s="371"/>
      <c r="L463" s="371"/>
      <c r="M463" s="371"/>
      <c r="N463" s="371"/>
      <c r="O463" s="371"/>
      <c r="P463" s="371"/>
      <c r="Q463" s="378"/>
    </row>
    <row r="464" spans="6:17">
      <c r="F464" s="371"/>
      <c r="G464" s="371"/>
      <c r="H464" s="371"/>
      <c r="I464" s="371"/>
      <c r="J464" s="371"/>
      <c r="K464" s="371"/>
      <c r="L464" s="371"/>
      <c r="M464" s="371"/>
      <c r="N464" s="371"/>
      <c r="O464" s="371"/>
      <c r="P464" s="371"/>
      <c r="Q464" s="378"/>
    </row>
    <row r="465" spans="6:17">
      <c r="F465" s="371"/>
      <c r="G465" s="371"/>
      <c r="H465" s="371"/>
      <c r="I465" s="371"/>
      <c r="J465" s="371"/>
      <c r="K465" s="371"/>
      <c r="L465" s="371"/>
      <c r="M465" s="371"/>
      <c r="N465" s="371"/>
      <c r="O465" s="371"/>
      <c r="P465" s="371"/>
      <c r="Q465" s="378"/>
    </row>
    <row r="466" spans="6:17">
      <c r="F466" s="371"/>
      <c r="G466" s="371"/>
      <c r="H466" s="371"/>
      <c r="I466" s="371"/>
      <c r="J466" s="371"/>
      <c r="K466" s="371"/>
      <c r="L466" s="371"/>
      <c r="M466" s="371"/>
      <c r="N466" s="371"/>
      <c r="O466" s="371"/>
      <c r="P466" s="371"/>
      <c r="Q466" s="378"/>
    </row>
    <row r="467" spans="6:17">
      <c r="F467" s="371"/>
      <c r="G467" s="371"/>
      <c r="H467" s="371"/>
      <c r="I467" s="371"/>
      <c r="J467" s="371"/>
      <c r="K467" s="371"/>
      <c r="L467" s="371"/>
      <c r="M467" s="371"/>
      <c r="N467" s="371"/>
      <c r="O467" s="371"/>
      <c r="P467" s="371"/>
      <c r="Q467" s="378"/>
    </row>
    <row r="468" spans="6:17">
      <c r="F468" s="371"/>
      <c r="G468" s="371"/>
      <c r="H468" s="371"/>
      <c r="I468" s="371"/>
      <c r="J468" s="371"/>
      <c r="K468" s="371"/>
      <c r="L468" s="371"/>
      <c r="M468" s="371"/>
      <c r="N468" s="371"/>
      <c r="O468" s="371"/>
      <c r="P468" s="371"/>
      <c r="Q468" s="378"/>
    </row>
    <row r="469" spans="6:17">
      <c r="F469" s="371"/>
      <c r="G469" s="371"/>
      <c r="H469" s="371"/>
      <c r="I469" s="371"/>
      <c r="J469" s="371"/>
      <c r="K469" s="371"/>
      <c r="L469" s="371"/>
      <c r="M469" s="371"/>
      <c r="N469" s="371"/>
      <c r="O469" s="371"/>
      <c r="P469" s="371"/>
      <c r="Q469" s="378"/>
    </row>
    <row r="470" spans="6:17">
      <c r="F470" s="371"/>
      <c r="G470" s="371"/>
      <c r="H470" s="371"/>
      <c r="I470" s="371"/>
      <c r="J470" s="371"/>
      <c r="K470" s="371"/>
      <c r="L470" s="371"/>
      <c r="M470" s="371"/>
      <c r="N470" s="371"/>
      <c r="O470" s="371"/>
      <c r="P470" s="371"/>
      <c r="Q470" s="378"/>
    </row>
    <row r="471" spans="6:17">
      <c r="F471" s="371"/>
      <c r="G471" s="371"/>
      <c r="H471" s="371"/>
      <c r="I471" s="371"/>
      <c r="J471" s="371"/>
      <c r="K471" s="371"/>
      <c r="L471" s="371"/>
      <c r="M471" s="371"/>
      <c r="N471" s="371"/>
      <c r="O471" s="371"/>
      <c r="P471" s="371"/>
      <c r="Q471" s="378"/>
    </row>
    <row r="472" spans="6:17">
      <c r="F472" s="371"/>
      <c r="G472" s="371"/>
      <c r="H472" s="371"/>
      <c r="I472" s="371"/>
      <c r="J472" s="371"/>
      <c r="K472" s="371"/>
      <c r="L472" s="371"/>
      <c r="M472" s="371"/>
      <c r="N472" s="371"/>
      <c r="O472" s="371"/>
      <c r="P472" s="371"/>
      <c r="Q472" s="378"/>
    </row>
    <row r="473" spans="6:17">
      <c r="F473" s="371"/>
      <c r="G473" s="371"/>
      <c r="H473" s="371"/>
      <c r="I473" s="371"/>
      <c r="J473" s="371"/>
      <c r="K473" s="371"/>
      <c r="L473" s="371"/>
      <c r="M473" s="371"/>
      <c r="N473" s="371"/>
      <c r="O473" s="371"/>
      <c r="P473" s="371"/>
      <c r="Q473" s="378"/>
    </row>
    <row r="474" spans="6:17">
      <c r="F474" s="371"/>
      <c r="G474" s="371"/>
      <c r="H474" s="371"/>
      <c r="I474" s="371"/>
      <c r="J474" s="371"/>
      <c r="K474" s="371"/>
      <c r="L474" s="371"/>
      <c r="M474" s="371"/>
      <c r="N474" s="371"/>
      <c r="O474" s="371"/>
      <c r="P474" s="371"/>
      <c r="Q474" s="378"/>
    </row>
    <row r="475" spans="6:17">
      <c r="F475" s="371"/>
      <c r="G475" s="371"/>
      <c r="H475" s="371"/>
      <c r="I475" s="371"/>
      <c r="J475" s="371"/>
      <c r="K475" s="371"/>
      <c r="L475" s="371"/>
      <c r="M475" s="371"/>
      <c r="N475" s="371"/>
      <c r="O475" s="371"/>
      <c r="P475" s="371"/>
      <c r="Q475" s="378"/>
    </row>
    <row r="476" spans="6:17">
      <c r="F476" s="371"/>
      <c r="G476" s="371"/>
      <c r="H476" s="371"/>
      <c r="I476" s="371"/>
      <c r="J476" s="371"/>
      <c r="K476" s="371"/>
      <c r="L476" s="371"/>
      <c r="M476" s="371"/>
      <c r="N476" s="371"/>
      <c r="O476" s="371"/>
      <c r="P476" s="371"/>
      <c r="Q476" s="378"/>
    </row>
    <row r="477" spans="6:17">
      <c r="F477" s="371"/>
      <c r="G477" s="371"/>
      <c r="H477" s="371"/>
      <c r="I477" s="371"/>
      <c r="J477" s="371"/>
      <c r="K477" s="371"/>
      <c r="L477" s="371"/>
      <c r="M477" s="371"/>
      <c r="N477" s="371"/>
      <c r="O477" s="371"/>
      <c r="P477" s="371"/>
      <c r="Q477" s="378"/>
    </row>
    <row r="478" spans="6:17">
      <c r="F478" s="371"/>
      <c r="G478" s="371"/>
      <c r="H478" s="371"/>
      <c r="I478" s="371"/>
      <c r="J478" s="371"/>
      <c r="K478" s="371"/>
      <c r="L478" s="371"/>
      <c r="M478" s="371"/>
      <c r="N478" s="371"/>
      <c r="O478" s="371"/>
      <c r="P478" s="371"/>
      <c r="Q478" s="378"/>
    </row>
    <row r="479" spans="6:17">
      <c r="F479" s="371"/>
      <c r="G479" s="371"/>
      <c r="H479" s="371"/>
      <c r="I479" s="371"/>
      <c r="J479" s="371"/>
      <c r="K479" s="371"/>
      <c r="L479" s="371"/>
      <c r="M479" s="371"/>
      <c r="N479" s="371"/>
      <c r="O479" s="371"/>
      <c r="P479" s="371"/>
      <c r="Q479" s="378"/>
    </row>
    <row r="480" spans="6:17">
      <c r="F480" s="371"/>
      <c r="G480" s="371"/>
      <c r="H480" s="371"/>
      <c r="I480" s="371"/>
      <c r="J480" s="371"/>
      <c r="K480" s="371"/>
      <c r="L480" s="371"/>
      <c r="M480" s="371"/>
      <c r="N480" s="371"/>
      <c r="O480" s="371"/>
      <c r="P480" s="371"/>
      <c r="Q480" s="378"/>
    </row>
    <row r="481" spans="6:17">
      <c r="F481" s="371"/>
      <c r="G481" s="371"/>
      <c r="H481" s="371"/>
      <c r="I481" s="371"/>
      <c r="J481" s="371"/>
      <c r="K481" s="371"/>
      <c r="L481" s="371"/>
      <c r="M481" s="371"/>
      <c r="N481" s="371"/>
      <c r="O481" s="371"/>
      <c r="P481" s="371"/>
      <c r="Q481" s="378"/>
    </row>
    <row r="482" spans="6:17">
      <c r="F482" s="371"/>
      <c r="G482" s="371"/>
      <c r="H482" s="371"/>
      <c r="I482" s="371"/>
      <c r="J482" s="371"/>
      <c r="K482" s="371"/>
      <c r="L482" s="371"/>
      <c r="M482" s="371"/>
      <c r="N482" s="371"/>
      <c r="O482" s="371"/>
      <c r="P482" s="371"/>
      <c r="Q482" s="378"/>
    </row>
    <row r="483" spans="6:17">
      <c r="F483" s="371"/>
      <c r="G483" s="371"/>
      <c r="H483" s="371"/>
      <c r="I483" s="371"/>
      <c r="J483" s="371"/>
      <c r="K483" s="371"/>
      <c r="L483" s="371"/>
      <c r="M483" s="371"/>
      <c r="N483" s="371"/>
      <c r="O483" s="371"/>
      <c r="P483" s="371"/>
      <c r="Q483" s="378"/>
    </row>
    <row r="484" spans="6:17">
      <c r="F484" s="371"/>
      <c r="G484" s="371"/>
      <c r="H484" s="371"/>
      <c r="I484" s="371"/>
      <c r="J484" s="371"/>
      <c r="K484" s="371"/>
      <c r="L484" s="371"/>
      <c r="M484" s="371"/>
      <c r="N484" s="371"/>
      <c r="O484" s="371"/>
      <c r="P484" s="371"/>
      <c r="Q484" s="378"/>
    </row>
    <row r="485" spans="6:17">
      <c r="F485" s="371"/>
      <c r="G485" s="371"/>
      <c r="H485" s="371"/>
      <c r="I485" s="371"/>
      <c r="J485" s="371"/>
      <c r="K485" s="371"/>
      <c r="L485" s="371"/>
      <c r="M485" s="371"/>
      <c r="N485" s="371"/>
      <c r="O485" s="371"/>
      <c r="P485" s="371"/>
      <c r="Q485" s="378"/>
    </row>
    <row r="486" spans="6:17">
      <c r="F486" s="371"/>
      <c r="G486" s="371"/>
      <c r="H486" s="371"/>
      <c r="I486" s="371"/>
      <c r="J486" s="371"/>
      <c r="K486" s="371"/>
      <c r="L486" s="371"/>
      <c r="M486" s="371"/>
      <c r="N486" s="371"/>
      <c r="O486" s="371"/>
      <c r="P486" s="371"/>
      <c r="Q486" s="378"/>
    </row>
    <row r="487" spans="6:17">
      <c r="F487" s="371"/>
      <c r="G487" s="371"/>
      <c r="H487" s="371"/>
      <c r="I487" s="371"/>
      <c r="J487" s="371"/>
      <c r="K487" s="371"/>
      <c r="L487" s="371"/>
      <c r="M487" s="371"/>
      <c r="N487" s="371"/>
      <c r="O487" s="371"/>
      <c r="P487" s="371"/>
      <c r="Q487" s="378"/>
    </row>
    <row r="488" spans="6:17">
      <c r="F488" s="371"/>
      <c r="G488" s="371"/>
      <c r="H488" s="371"/>
      <c r="I488" s="371"/>
      <c r="J488" s="371"/>
      <c r="K488" s="371"/>
      <c r="L488" s="371"/>
      <c r="M488" s="371"/>
      <c r="N488" s="371"/>
      <c r="O488" s="371"/>
      <c r="P488" s="371"/>
      <c r="Q488" s="378"/>
    </row>
    <row r="489" spans="6:17">
      <c r="F489" s="371"/>
      <c r="G489" s="371"/>
      <c r="H489" s="371"/>
      <c r="I489" s="371"/>
      <c r="J489" s="371"/>
      <c r="K489" s="371"/>
      <c r="L489" s="371"/>
      <c r="M489" s="371"/>
      <c r="N489" s="371"/>
      <c r="O489" s="371"/>
      <c r="P489" s="371"/>
      <c r="Q489" s="378"/>
    </row>
    <row r="490" spans="6:17">
      <c r="F490" s="371"/>
      <c r="G490" s="371"/>
      <c r="H490" s="371"/>
      <c r="I490" s="371"/>
      <c r="J490" s="371"/>
      <c r="K490" s="371"/>
      <c r="L490" s="371"/>
      <c r="M490" s="371"/>
      <c r="N490" s="371"/>
      <c r="O490" s="371"/>
      <c r="P490" s="371"/>
      <c r="Q490" s="378"/>
    </row>
    <row r="491" spans="6:17">
      <c r="F491" s="371"/>
      <c r="G491" s="371"/>
      <c r="H491" s="371"/>
      <c r="I491" s="371"/>
      <c r="J491" s="371"/>
      <c r="K491" s="371"/>
      <c r="L491" s="371"/>
      <c r="M491" s="371"/>
      <c r="N491" s="371"/>
      <c r="O491" s="371"/>
      <c r="P491" s="371"/>
      <c r="Q491" s="378"/>
    </row>
    <row r="492" spans="6:17">
      <c r="F492" s="371"/>
      <c r="G492" s="371"/>
      <c r="H492" s="371"/>
      <c r="I492" s="371"/>
      <c r="J492" s="371"/>
      <c r="K492" s="371"/>
      <c r="L492" s="371"/>
      <c r="M492" s="371"/>
      <c r="N492" s="371"/>
      <c r="O492" s="371"/>
      <c r="P492" s="371"/>
      <c r="Q492" s="378"/>
    </row>
    <row r="493" spans="6:17">
      <c r="F493" s="371"/>
      <c r="G493" s="371"/>
      <c r="H493" s="371"/>
      <c r="I493" s="371"/>
      <c r="J493" s="371"/>
      <c r="K493" s="371"/>
      <c r="L493" s="371"/>
      <c r="M493" s="371"/>
      <c r="N493" s="371"/>
      <c r="O493" s="371"/>
      <c r="P493" s="371"/>
      <c r="Q493" s="378"/>
    </row>
    <row r="494" spans="6:17">
      <c r="F494" s="371"/>
      <c r="G494" s="371"/>
      <c r="H494" s="371"/>
      <c r="I494" s="371"/>
      <c r="J494" s="371"/>
      <c r="K494" s="371"/>
      <c r="L494" s="371"/>
      <c r="M494" s="371"/>
      <c r="N494" s="371"/>
      <c r="O494" s="371"/>
      <c r="P494" s="371"/>
      <c r="Q494" s="378"/>
    </row>
    <row r="495" spans="6:17">
      <c r="F495" s="371"/>
      <c r="G495" s="371"/>
      <c r="H495" s="371"/>
      <c r="I495" s="371"/>
      <c r="J495" s="371"/>
      <c r="K495" s="371"/>
      <c r="L495" s="371"/>
      <c r="M495" s="371"/>
      <c r="N495" s="371"/>
      <c r="O495" s="371"/>
      <c r="P495" s="371"/>
      <c r="Q495" s="378"/>
    </row>
    <row r="496" spans="6:17">
      <c r="F496" s="371"/>
      <c r="G496" s="371"/>
      <c r="H496" s="371"/>
      <c r="I496" s="371"/>
      <c r="J496" s="371"/>
      <c r="K496" s="371"/>
      <c r="L496" s="371"/>
      <c r="M496" s="371"/>
      <c r="N496" s="371"/>
      <c r="O496" s="371"/>
      <c r="P496" s="371"/>
      <c r="Q496" s="378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60" fitToHeight="2" orientation="landscape" r:id="rId1"/>
  <headerFooter alignWithMargins="0">
    <oddFooter>&amp;L&amp;F - &amp;D&amp;R&amp;P</oddFooter>
  </headerFooter>
  <rowBreaks count="1" manualBreakCount="1">
    <brk id="91" max="17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zoomScale="80" zoomScaleNormal="80" workbookViewId="0">
      <selection activeCell="C14" sqref="C14"/>
    </sheetView>
  </sheetViews>
  <sheetFormatPr defaultColWidth="7.7109375" defaultRowHeight="15"/>
  <cols>
    <col min="1" max="1" width="32.42578125" style="321" customWidth="1"/>
    <col min="2" max="2" width="15.7109375" style="321" bestFit="1" customWidth="1"/>
    <col min="3" max="3" width="15.85546875" style="321" bestFit="1" customWidth="1"/>
    <col min="4" max="4" width="15.140625" style="321" bestFit="1" customWidth="1"/>
    <col min="5" max="5" width="16.42578125" style="321" bestFit="1" customWidth="1"/>
    <col min="6" max="6" width="16.5703125" style="321" bestFit="1" customWidth="1"/>
    <col min="7" max="7" width="15" style="321" bestFit="1" customWidth="1"/>
    <col min="8" max="8" width="15.140625" style="321" bestFit="1" customWidth="1"/>
    <col min="9" max="9" width="16.42578125" style="321" bestFit="1" customWidth="1"/>
    <col min="10" max="10" width="15" style="321" bestFit="1" customWidth="1"/>
    <col min="11" max="11" width="15.140625" style="321" bestFit="1" customWidth="1"/>
    <col min="12" max="12" width="15.5703125" style="321" customWidth="1"/>
    <col min="13" max="13" width="15" style="321" bestFit="1" customWidth="1"/>
    <col min="14" max="14" width="17" style="321" bestFit="1" customWidth="1"/>
    <col min="15" max="15" width="7.7109375" style="321"/>
    <col min="16" max="16" width="23" style="321" bestFit="1" customWidth="1"/>
    <col min="17" max="17" width="10.85546875" style="321" bestFit="1" customWidth="1"/>
    <col min="18" max="16384" width="7.7109375" style="321"/>
  </cols>
  <sheetData>
    <row r="1" spans="1:17" ht="15.75">
      <c r="A1" s="431" t="s">
        <v>220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</row>
    <row r="2" spans="1:17" ht="20.25">
      <c r="A2" s="432" t="s">
        <v>325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7" ht="23.25">
      <c r="A3" s="433" t="s">
        <v>387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7" ht="15.75">
      <c r="A4" s="434"/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</row>
    <row r="7" spans="1:17" ht="27" customHeight="1">
      <c r="A7" s="322" t="s">
        <v>326</v>
      </c>
      <c r="B7" s="323">
        <v>43131</v>
      </c>
      <c r="C7" s="323">
        <f>EOMONTH(B7,1)</f>
        <v>43159</v>
      </c>
      <c r="D7" s="323">
        <f t="shared" ref="D7:M7" si="0">EOMONTH(C7,1)</f>
        <v>43190</v>
      </c>
      <c r="E7" s="323">
        <f t="shared" si="0"/>
        <v>43220</v>
      </c>
      <c r="F7" s="323">
        <f t="shared" si="0"/>
        <v>43251</v>
      </c>
      <c r="G7" s="323">
        <f t="shared" si="0"/>
        <v>43281</v>
      </c>
      <c r="H7" s="323">
        <f t="shared" si="0"/>
        <v>43312</v>
      </c>
      <c r="I7" s="323">
        <f t="shared" si="0"/>
        <v>43343</v>
      </c>
      <c r="J7" s="323">
        <f t="shared" si="0"/>
        <v>43373</v>
      </c>
      <c r="K7" s="323">
        <f t="shared" si="0"/>
        <v>43404</v>
      </c>
      <c r="L7" s="323">
        <f t="shared" si="0"/>
        <v>43434</v>
      </c>
      <c r="M7" s="323">
        <f t="shared" si="0"/>
        <v>43465</v>
      </c>
      <c r="N7" s="324" t="s">
        <v>319</v>
      </c>
    </row>
    <row r="8" spans="1:17" ht="24.95" customHeight="1">
      <c r="A8" s="325" t="s">
        <v>296</v>
      </c>
      <c r="B8" s="326">
        <f>'Input Tab'!C53</f>
        <v>574460</v>
      </c>
      <c r="C8" s="326">
        <f>'Input Tab'!D53</f>
        <v>485123</v>
      </c>
      <c r="D8" s="326">
        <f>'Input Tab'!E53</f>
        <v>466253</v>
      </c>
      <c r="E8" s="326">
        <f>'Input Tab'!F53</f>
        <v>456157</v>
      </c>
      <c r="F8" s="326">
        <f>'Input Tab'!G53</f>
        <v>380976</v>
      </c>
      <c r="G8" s="326">
        <f>'Input Tab'!H53</f>
        <v>422918</v>
      </c>
      <c r="H8" s="326">
        <f>'Input Tab'!I53</f>
        <v>442082</v>
      </c>
      <c r="I8" s="326">
        <f>'Input Tab'!J53</f>
        <v>510132</v>
      </c>
      <c r="J8" s="326">
        <f>'Input Tab'!K53</f>
        <v>452187</v>
      </c>
      <c r="K8" s="326">
        <f>'Input Tab'!L53</f>
        <v>0</v>
      </c>
      <c r="L8" s="326">
        <f>'Input Tab'!M53</f>
        <v>0</v>
      </c>
      <c r="M8" s="326">
        <f>'Input Tab'!N53</f>
        <v>0</v>
      </c>
      <c r="N8" s="221">
        <f t="shared" ref="N8:N13" si="1">SUM(B8:M8)</f>
        <v>4190288</v>
      </c>
      <c r="P8" s="327"/>
    </row>
    <row r="9" spans="1:17" ht="24.95" customHeight="1">
      <c r="A9" s="328" t="s">
        <v>320</v>
      </c>
      <c r="B9" s="326">
        <f>-261455979/1000</f>
        <v>-261456</v>
      </c>
      <c r="C9" s="329">
        <f>IF(C8=0,0,-B10)</f>
        <v>-232280</v>
      </c>
      <c r="D9" s="329">
        <f t="shared" ref="D9:M9" si="2">IF(D8=0,0,-C10)</f>
        <v>-228151</v>
      </c>
      <c r="E9" s="329">
        <f t="shared" si="2"/>
        <v>-250554</v>
      </c>
      <c r="F9" s="329">
        <f t="shared" si="2"/>
        <v>-228167</v>
      </c>
      <c r="G9" s="329">
        <f t="shared" si="2"/>
        <v>-264393</v>
      </c>
      <c r="H9" s="329">
        <f t="shared" si="2"/>
        <v>-261603</v>
      </c>
      <c r="I9" s="329">
        <f t="shared" si="2"/>
        <v>-303871</v>
      </c>
      <c r="J9" s="329">
        <f t="shared" si="2"/>
        <v>-290570</v>
      </c>
      <c r="K9" s="329">
        <f t="shared" si="2"/>
        <v>0</v>
      </c>
      <c r="L9" s="329">
        <f t="shared" si="2"/>
        <v>0</v>
      </c>
      <c r="M9" s="329">
        <f t="shared" si="2"/>
        <v>0</v>
      </c>
      <c r="N9" s="221">
        <f t="shared" si="1"/>
        <v>-2321045</v>
      </c>
    </row>
    <row r="10" spans="1:17" ht="24.95" customHeight="1">
      <c r="A10" s="328" t="s">
        <v>321</v>
      </c>
      <c r="B10" s="326">
        <f>'Input Tab'!C54</f>
        <v>232280</v>
      </c>
      <c r="C10" s="326">
        <f>'Input Tab'!D54</f>
        <v>228151</v>
      </c>
      <c r="D10" s="326">
        <f>'Input Tab'!E54</f>
        <v>250554</v>
      </c>
      <c r="E10" s="326">
        <f>'Input Tab'!F54</f>
        <v>228167</v>
      </c>
      <c r="F10" s="326">
        <f>'Input Tab'!G54</f>
        <v>264393</v>
      </c>
      <c r="G10" s="326">
        <f>'Input Tab'!H54</f>
        <v>261603</v>
      </c>
      <c r="H10" s="326">
        <f>'Input Tab'!I54</f>
        <v>303871</v>
      </c>
      <c r="I10" s="326">
        <f>'Input Tab'!J54</f>
        <v>290570</v>
      </c>
      <c r="J10" s="326">
        <f>'Input Tab'!K54</f>
        <v>237419</v>
      </c>
      <c r="K10" s="326">
        <f>'Input Tab'!L54</f>
        <v>0</v>
      </c>
      <c r="L10" s="326">
        <f>'Input Tab'!M54</f>
        <v>0</v>
      </c>
      <c r="M10" s="326">
        <f>'Input Tab'!N54</f>
        <v>0</v>
      </c>
      <c r="N10" s="221">
        <f t="shared" si="1"/>
        <v>2297008</v>
      </c>
      <c r="P10" s="330"/>
      <c r="Q10" s="330"/>
    </row>
    <row r="11" spans="1:17" ht="30.75" customHeight="1">
      <c r="A11" s="331" t="s">
        <v>327</v>
      </c>
      <c r="B11" s="332">
        <f t="shared" ref="B11:L11" si="3">SUM(B8:B10)</f>
        <v>545284</v>
      </c>
      <c r="C11" s="332">
        <f t="shared" si="3"/>
        <v>480994</v>
      </c>
      <c r="D11" s="332">
        <f t="shared" si="3"/>
        <v>488656</v>
      </c>
      <c r="E11" s="332">
        <f t="shared" si="3"/>
        <v>433770</v>
      </c>
      <c r="F11" s="332">
        <f t="shared" si="3"/>
        <v>417202</v>
      </c>
      <c r="G11" s="332">
        <f t="shared" si="3"/>
        <v>420128</v>
      </c>
      <c r="H11" s="332">
        <f t="shared" si="3"/>
        <v>484350</v>
      </c>
      <c r="I11" s="332">
        <f t="shared" si="3"/>
        <v>496831</v>
      </c>
      <c r="J11" s="332">
        <f t="shared" si="3"/>
        <v>399036</v>
      </c>
      <c r="K11" s="332">
        <f t="shared" si="3"/>
        <v>0</v>
      </c>
      <c r="L11" s="332">
        <f t="shared" si="3"/>
        <v>0</v>
      </c>
      <c r="M11" s="332">
        <f>SUM(M8:M10)</f>
        <v>0</v>
      </c>
      <c r="N11" s="333">
        <f t="shared" si="1"/>
        <v>4166251</v>
      </c>
      <c r="P11" s="334"/>
      <c r="Q11" s="327"/>
    </row>
    <row r="12" spans="1:17" ht="32.25" customHeight="1">
      <c r="A12" s="335" t="s">
        <v>328</v>
      </c>
      <c r="B12" s="336">
        <f>'Input Tab'!C55</f>
        <v>555937</v>
      </c>
      <c r="C12" s="336">
        <f>'Input Tab'!D55</f>
        <v>498647</v>
      </c>
      <c r="D12" s="336">
        <f>'Input Tab'!E55</f>
        <v>492113</v>
      </c>
      <c r="E12" s="336">
        <f>'Input Tab'!F55</f>
        <v>431145</v>
      </c>
      <c r="F12" s="336">
        <f>'Input Tab'!G55</f>
        <v>432473</v>
      </c>
      <c r="G12" s="336">
        <f>'Input Tab'!H55</f>
        <v>424693</v>
      </c>
      <c r="H12" s="336">
        <f>'Input Tab'!I55</f>
        <v>490670</v>
      </c>
      <c r="I12" s="336">
        <f>'Input Tab'!J55</f>
        <v>464617</v>
      </c>
      <c r="J12" s="336">
        <f>'Input Tab'!K55</f>
        <v>435934</v>
      </c>
      <c r="K12" s="336">
        <f>'Input Tab'!L55</f>
        <v>436959</v>
      </c>
      <c r="L12" s="336">
        <f>'Input Tab'!M55</f>
        <v>468856</v>
      </c>
      <c r="M12" s="336">
        <f>'Input Tab'!N55</f>
        <v>553150</v>
      </c>
      <c r="N12" s="337">
        <f>SUM(B12:J12)</f>
        <v>4226229</v>
      </c>
      <c r="P12" s="338" t="s">
        <v>343</v>
      </c>
    </row>
    <row r="13" spans="1:17" ht="38.25" customHeight="1">
      <c r="A13" s="339" t="s">
        <v>322</v>
      </c>
      <c r="B13" s="222">
        <f>B11-B12</f>
        <v>-10653</v>
      </c>
      <c r="C13" s="222">
        <f>IF(C8=0," ",C11-C12)</f>
        <v>-17653</v>
      </c>
      <c r="D13" s="222">
        <f t="shared" ref="D13:M13" si="4">IF(D8=0," ",D11-D12)</f>
        <v>-3457</v>
      </c>
      <c r="E13" s="222">
        <f t="shared" si="4"/>
        <v>2625</v>
      </c>
      <c r="F13" s="222">
        <f t="shared" si="4"/>
        <v>-15271</v>
      </c>
      <c r="G13" s="222">
        <f t="shared" si="4"/>
        <v>-4565</v>
      </c>
      <c r="H13" s="222">
        <f t="shared" si="4"/>
        <v>-6320</v>
      </c>
      <c r="I13" s="222">
        <f t="shared" si="4"/>
        <v>32214</v>
      </c>
      <c r="J13" s="222">
        <f t="shared" si="4"/>
        <v>-36898</v>
      </c>
      <c r="K13" s="222" t="str">
        <f t="shared" si="4"/>
        <v xml:space="preserve"> </v>
      </c>
      <c r="L13" s="222" t="str">
        <f t="shared" si="4"/>
        <v xml:space="preserve"> </v>
      </c>
      <c r="M13" s="222" t="str">
        <f t="shared" si="4"/>
        <v xml:space="preserve"> </v>
      </c>
      <c r="N13" s="340">
        <f t="shared" si="1"/>
        <v>-59978</v>
      </c>
    </row>
    <row r="14" spans="1:17" ht="42.75" customHeight="1">
      <c r="A14" s="339" t="s">
        <v>329</v>
      </c>
      <c r="B14" s="341">
        <f>'Input Tab'!C56</f>
        <v>15.66</v>
      </c>
      <c r="C14" s="341">
        <f>'Input Tab'!D56</f>
        <v>15.66</v>
      </c>
      <c r="D14" s="341">
        <f>'Input Tab'!E56</f>
        <v>15.66</v>
      </c>
      <c r="E14" s="341">
        <f>'Input Tab'!F56</f>
        <v>15.66</v>
      </c>
      <c r="F14" s="341">
        <f>'Input Tab'!G56</f>
        <v>18.11</v>
      </c>
      <c r="G14" s="341">
        <f>'Input Tab'!H56</f>
        <v>18.11</v>
      </c>
      <c r="H14" s="341">
        <f>'Input Tab'!I56</f>
        <v>18.11</v>
      </c>
      <c r="I14" s="341">
        <f>'Input Tab'!J56</f>
        <v>18.11</v>
      </c>
      <c r="J14" s="341">
        <f>'Input Tab'!K56</f>
        <v>18.11</v>
      </c>
      <c r="K14" s="341">
        <f>'Input Tab'!L56</f>
        <v>18.11</v>
      </c>
      <c r="L14" s="341">
        <f>'Input Tab'!M56</f>
        <v>18.11</v>
      </c>
      <c r="M14" s="341">
        <f>'Input Tab'!N56</f>
        <v>18.11</v>
      </c>
      <c r="N14" s="221"/>
    </row>
    <row r="15" spans="1:17" ht="30.75" customHeight="1" thickBot="1">
      <c r="A15" s="342" t="s">
        <v>330</v>
      </c>
      <c r="B15" s="343">
        <f>B13*B14</f>
        <v>-166826</v>
      </c>
      <c r="C15" s="343">
        <f>IF(C8=0,0,C13*C14)</f>
        <v>-276446</v>
      </c>
      <c r="D15" s="343">
        <f t="shared" ref="D15:M15" si="5">IF(D8=0,0,D13*D14)</f>
        <v>-54137</v>
      </c>
      <c r="E15" s="343">
        <f t="shared" si="5"/>
        <v>41108</v>
      </c>
      <c r="F15" s="343">
        <f t="shared" si="5"/>
        <v>-276558</v>
      </c>
      <c r="G15" s="343">
        <f t="shared" si="5"/>
        <v>-82672</v>
      </c>
      <c r="H15" s="343">
        <f t="shared" si="5"/>
        <v>-114455</v>
      </c>
      <c r="I15" s="343">
        <f t="shared" si="5"/>
        <v>583396</v>
      </c>
      <c r="J15" s="343">
        <f t="shared" si="5"/>
        <v>-668223</v>
      </c>
      <c r="K15" s="343">
        <f t="shared" si="5"/>
        <v>0</v>
      </c>
      <c r="L15" s="343">
        <f t="shared" si="5"/>
        <v>0</v>
      </c>
      <c r="M15" s="343">
        <f t="shared" si="5"/>
        <v>0</v>
      </c>
      <c r="N15" s="343">
        <f>SUM(B15:M15)</f>
        <v>-1014813</v>
      </c>
    </row>
    <row r="16" spans="1:17" ht="20.100000000000001" customHeight="1" thickTop="1">
      <c r="G16" s="344"/>
      <c r="N16" s="327"/>
    </row>
    <row r="17" spans="1:16" ht="20.100000000000001" customHeight="1">
      <c r="A17" s="345"/>
      <c r="N17" s="327"/>
    </row>
    <row r="18" spans="1:16" ht="36.75" customHeight="1">
      <c r="A18" s="346" t="s">
        <v>331</v>
      </c>
      <c r="B18" s="347">
        <f>B7</f>
        <v>43131</v>
      </c>
      <c r="C18" s="347">
        <f t="shared" ref="C18:N18" si="6">C7</f>
        <v>43159</v>
      </c>
      <c r="D18" s="347">
        <f t="shared" si="6"/>
        <v>43190</v>
      </c>
      <c r="E18" s="347">
        <f t="shared" si="6"/>
        <v>43220</v>
      </c>
      <c r="F18" s="347">
        <f t="shared" si="6"/>
        <v>43251</v>
      </c>
      <c r="G18" s="347">
        <f t="shared" si="6"/>
        <v>43281</v>
      </c>
      <c r="H18" s="347">
        <f t="shared" si="6"/>
        <v>43312</v>
      </c>
      <c r="I18" s="347">
        <f t="shared" si="6"/>
        <v>43343</v>
      </c>
      <c r="J18" s="347">
        <f t="shared" si="6"/>
        <v>43373</v>
      </c>
      <c r="K18" s="347">
        <f t="shared" si="6"/>
        <v>43404</v>
      </c>
      <c r="L18" s="347">
        <f t="shared" si="6"/>
        <v>43434</v>
      </c>
      <c r="M18" s="347">
        <f t="shared" si="6"/>
        <v>43465</v>
      </c>
      <c r="N18" s="323" t="str">
        <f t="shared" si="6"/>
        <v>YTD</v>
      </c>
    </row>
    <row r="19" spans="1:16" ht="29.25" customHeight="1">
      <c r="A19" s="348" t="s">
        <v>2</v>
      </c>
      <c r="B19" s="349">
        <f>IF(B8=0," ",B15*-1)</f>
        <v>166826</v>
      </c>
      <c r="C19" s="349">
        <f>IF(C8=0," ",C15*-1)</f>
        <v>276446</v>
      </c>
      <c r="D19" s="349">
        <f t="shared" ref="D19:M19" si="7">IF(D8=0," ",D15*-1)</f>
        <v>54137</v>
      </c>
      <c r="E19" s="349">
        <f t="shared" si="7"/>
        <v>-41108</v>
      </c>
      <c r="F19" s="349">
        <f t="shared" si="7"/>
        <v>276558</v>
      </c>
      <c r="G19" s="349">
        <f t="shared" si="7"/>
        <v>82672</v>
      </c>
      <c r="H19" s="349">
        <f t="shared" si="7"/>
        <v>114455</v>
      </c>
      <c r="I19" s="349">
        <f t="shared" si="7"/>
        <v>-583396</v>
      </c>
      <c r="J19" s="349">
        <f t="shared" si="7"/>
        <v>668223</v>
      </c>
      <c r="K19" s="349" t="str">
        <f t="shared" si="7"/>
        <v xml:space="preserve"> </v>
      </c>
      <c r="L19" s="349" t="str">
        <f t="shared" si="7"/>
        <v xml:space="preserve"> </v>
      </c>
      <c r="M19" s="349" t="str">
        <f t="shared" si="7"/>
        <v xml:space="preserve"> </v>
      </c>
      <c r="N19" s="349">
        <f>N15*-1</f>
        <v>1014813</v>
      </c>
    </row>
    <row r="20" spans="1:16" ht="15.75">
      <c r="A20" s="350"/>
      <c r="B20" s="351" t="str">
        <f>IF(B19&lt;0,"Rebate","Surcharge")</f>
        <v>Surcharge</v>
      </c>
      <c r="C20" s="351" t="str">
        <f t="shared" ref="C20:N20" si="8">IF(C19&lt;0,"Rebate","Surcharge")</f>
        <v>Surcharge</v>
      </c>
      <c r="D20" s="351" t="str">
        <f t="shared" si="8"/>
        <v>Surcharge</v>
      </c>
      <c r="E20" s="351" t="str">
        <f t="shared" si="8"/>
        <v>Rebate</v>
      </c>
      <c r="F20" s="351" t="str">
        <f t="shared" si="8"/>
        <v>Surcharge</v>
      </c>
      <c r="G20" s="351" t="str">
        <f t="shared" si="8"/>
        <v>Surcharge</v>
      </c>
      <c r="H20" s="351" t="str">
        <f t="shared" si="8"/>
        <v>Surcharge</v>
      </c>
      <c r="I20" s="351" t="str">
        <f t="shared" si="8"/>
        <v>Rebate</v>
      </c>
      <c r="J20" s="351" t="str">
        <f t="shared" si="8"/>
        <v>Surcharge</v>
      </c>
      <c r="K20" s="351" t="str">
        <f t="shared" si="8"/>
        <v>Surcharge</v>
      </c>
      <c r="L20" s="351" t="str">
        <f t="shared" si="8"/>
        <v>Surcharge</v>
      </c>
      <c r="M20" s="351" t="str">
        <f t="shared" si="8"/>
        <v>Surcharge</v>
      </c>
      <c r="N20" s="351" t="str">
        <f t="shared" si="8"/>
        <v>Surcharge</v>
      </c>
    </row>
    <row r="21" spans="1:16" ht="27" customHeight="1">
      <c r="A21" s="352" t="s">
        <v>324</v>
      </c>
      <c r="B21" s="353">
        <f>'Input Tab'!C58</f>
        <v>-37943.33</v>
      </c>
      <c r="C21" s="353">
        <f>'Input Tab'!D58</f>
        <v>339003.31</v>
      </c>
      <c r="D21" s="353">
        <f>'Input Tab'!E58</f>
        <v>187670.73</v>
      </c>
      <c r="E21" s="353">
        <f>'Input Tab'!F58</f>
        <v>-84609.600000000006</v>
      </c>
      <c r="F21" s="353">
        <f>'Input Tab'!G58</f>
        <v>107839.18</v>
      </c>
      <c r="G21" s="353">
        <f>'Input Tab'!H58</f>
        <v>-120586.87</v>
      </c>
      <c r="H21" s="353">
        <f>'Input Tab'!I58</f>
        <v>-749950.95</v>
      </c>
      <c r="I21" s="353">
        <f>'Input Tab'!J58</f>
        <v>-189109.75</v>
      </c>
      <c r="J21" s="353">
        <f>'Input Tab'!K58</f>
        <v>-118698.29</v>
      </c>
      <c r="K21" s="353">
        <f>'Input Tab'!L58</f>
        <v>-79221.710000000006</v>
      </c>
      <c r="L21" s="353">
        <f>'Input Tab'!M58</f>
        <v>-448598.03</v>
      </c>
      <c r="M21" s="353">
        <f>'Input Tab'!N58</f>
        <v>-402928.44</v>
      </c>
      <c r="N21" s="353">
        <f>SUM(B21:M21)</f>
        <v>-1597133.75</v>
      </c>
      <c r="P21" s="71" t="s">
        <v>384</v>
      </c>
    </row>
    <row r="22" spans="1:16">
      <c r="A22" s="344"/>
      <c r="B22" s="354" t="str">
        <f>IF(B21&lt;0,"Rebate","Surcharge")</f>
        <v>Rebate</v>
      </c>
      <c r="C22" s="354" t="str">
        <f t="shared" ref="C22:N22" si="9">IF(C21&lt;0,"Rebate","Surcharge")</f>
        <v>Surcharge</v>
      </c>
      <c r="D22" s="354" t="str">
        <f t="shared" si="9"/>
        <v>Surcharge</v>
      </c>
      <c r="E22" s="354" t="str">
        <f t="shared" si="9"/>
        <v>Rebate</v>
      </c>
      <c r="F22" s="354" t="str">
        <f t="shared" si="9"/>
        <v>Surcharge</v>
      </c>
      <c r="G22" s="354" t="str">
        <f t="shared" si="9"/>
        <v>Rebate</v>
      </c>
      <c r="H22" s="354" t="str">
        <f t="shared" si="9"/>
        <v>Rebate</v>
      </c>
      <c r="I22" s="354" t="str">
        <f t="shared" si="9"/>
        <v>Rebate</v>
      </c>
      <c r="J22" s="354" t="str">
        <f t="shared" si="9"/>
        <v>Rebate</v>
      </c>
      <c r="K22" s="354" t="str">
        <f t="shared" si="9"/>
        <v>Rebate</v>
      </c>
      <c r="L22" s="354" t="str">
        <f t="shared" si="9"/>
        <v>Rebate</v>
      </c>
      <c r="M22" s="354" t="str">
        <f t="shared" si="9"/>
        <v>Rebate</v>
      </c>
      <c r="N22" s="354" t="str">
        <f t="shared" si="9"/>
        <v>Rebate</v>
      </c>
    </row>
    <row r="25" spans="1:16">
      <c r="G25" s="327"/>
    </row>
    <row r="34" spans="1:1">
      <c r="A34" s="355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H52" sqref="H52"/>
    </sheetView>
  </sheetViews>
  <sheetFormatPr defaultRowHeight="12.75"/>
  <cols>
    <col min="1" max="1" width="2.7109375" customWidth="1"/>
    <col min="3" max="3" width="11.42578125" customWidth="1"/>
    <col min="4" max="4" width="13.42578125" bestFit="1" customWidth="1"/>
    <col min="5" max="5" width="10.7109375" bestFit="1" customWidth="1"/>
    <col min="6" max="6" width="9" customWidth="1"/>
    <col min="7" max="7" width="9.28515625" bestFit="1" customWidth="1"/>
  </cols>
  <sheetData>
    <row r="1" spans="1:8">
      <c r="A1" s="437" t="s">
        <v>220</v>
      </c>
      <c r="B1" s="437"/>
      <c r="C1" s="437"/>
      <c r="D1" s="437"/>
      <c r="E1" s="437"/>
      <c r="F1" s="437"/>
      <c r="G1" s="437"/>
      <c r="H1" s="437"/>
    </row>
    <row r="2" spans="1:8" ht="15.75">
      <c r="A2" s="438" t="s">
        <v>334</v>
      </c>
      <c r="B2" s="438"/>
      <c r="C2" s="438"/>
      <c r="D2" s="438"/>
      <c r="E2" s="438"/>
      <c r="F2" s="438"/>
      <c r="G2" s="438"/>
      <c r="H2" s="438"/>
    </row>
    <row r="3" spans="1:8">
      <c r="A3" s="26"/>
    </row>
    <row r="4" spans="1:8" ht="16.5" thickBot="1">
      <c r="A4" s="26"/>
      <c r="B4" s="436" t="s">
        <v>339</v>
      </c>
      <c r="C4" s="436"/>
      <c r="D4" s="436"/>
      <c r="E4" s="436"/>
      <c r="F4" s="436"/>
      <c r="G4" s="436"/>
      <c r="H4" s="436"/>
    </row>
    <row r="5" spans="1:8" ht="38.25">
      <c r="B5" s="225"/>
      <c r="C5" s="226" t="s">
        <v>333</v>
      </c>
      <c r="D5" s="227" t="s">
        <v>2</v>
      </c>
      <c r="E5" s="228" t="s">
        <v>281</v>
      </c>
      <c r="F5" s="228" t="s">
        <v>336</v>
      </c>
      <c r="G5" s="226" t="s">
        <v>337</v>
      </c>
      <c r="H5" s="226" t="s">
        <v>338</v>
      </c>
    </row>
    <row r="6" spans="1:8">
      <c r="A6" s="26"/>
      <c r="B6" s="224">
        <v>41275</v>
      </c>
      <c r="C6" s="21">
        <v>-58333</v>
      </c>
      <c r="D6" s="21">
        <v>-70550</v>
      </c>
      <c r="E6" s="21">
        <f>+C6-D6</f>
        <v>12217</v>
      </c>
      <c r="F6" s="223">
        <v>0.34839999999999999</v>
      </c>
      <c r="G6" s="22">
        <f>+E6*F6</f>
        <v>4256</v>
      </c>
      <c r="H6">
        <f>+G6*0.9</f>
        <v>3830.4</v>
      </c>
    </row>
    <row r="7" spans="1:8">
      <c r="A7" s="26"/>
      <c r="B7" s="224">
        <v>41306</v>
      </c>
      <c r="C7" s="21">
        <v>-58333</v>
      </c>
      <c r="D7" s="21">
        <v>-82772</v>
      </c>
      <c r="E7" s="21">
        <f t="shared" ref="E7:E16" si="0">+C7-D7</f>
        <v>24439</v>
      </c>
      <c r="F7" s="223">
        <v>0.34839999999999999</v>
      </c>
      <c r="G7" s="22">
        <f t="shared" ref="G7:G17" si="1">+E7*F7</f>
        <v>8515</v>
      </c>
      <c r="H7">
        <f t="shared" ref="H7:H17" si="2">+G7*0.9</f>
        <v>7663.5</v>
      </c>
    </row>
    <row r="8" spans="1:8">
      <c r="A8" s="26"/>
      <c r="B8" s="224">
        <v>41334</v>
      </c>
      <c r="C8" s="21">
        <v>-58333</v>
      </c>
      <c r="D8" s="21">
        <v>-213066</v>
      </c>
      <c r="E8" s="21">
        <f t="shared" si="0"/>
        <v>154733</v>
      </c>
      <c r="F8" s="223">
        <v>0.34839999999999999</v>
      </c>
      <c r="G8" s="22">
        <f t="shared" si="1"/>
        <v>53909</v>
      </c>
      <c r="H8">
        <f t="shared" si="2"/>
        <v>48518.1</v>
      </c>
    </row>
    <row r="9" spans="1:8">
      <c r="B9" s="224">
        <v>41365</v>
      </c>
      <c r="C9" s="21">
        <v>-70833</v>
      </c>
      <c r="D9" s="21">
        <v>-408270</v>
      </c>
      <c r="E9" s="21">
        <f t="shared" si="0"/>
        <v>337437</v>
      </c>
      <c r="F9" s="223">
        <v>0.34760000000000002</v>
      </c>
      <c r="G9" s="22">
        <f t="shared" si="1"/>
        <v>117293</v>
      </c>
      <c r="H9">
        <f t="shared" si="2"/>
        <v>105563.7</v>
      </c>
    </row>
    <row r="10" spans="1:8">
      <c r="B10" s="224">
        <v>41395</v>
      </c>
      <c r="C10" s="21">
        <v>-70833</v>
      </c>
      <c r="D10" s="21">
        <v>-448670</v>
      </c>
      <c r="E10" s="21">
        <f t="shared" si="0"/>
        <v>377837</v>
      </c>
      <c r="F10" s="223">
        <v>0.34760000000000002</v>
      </c>
      <c r="G10" s="22">
        <f t="shared" si="1"/>
        <v>131336</v>
      </c>
      <c r="H10">
        <f t="shared" si="2"/>
        <v>118202.4</v>
      </c>
    </row>
    <row r="11" spans="1:8">
      <c r="B11" s="224">
        <v>41426</v>
      </c>
      <c r="C11" s="21">
        <v>-70833</v>
      </c>
      <c r="D11" s="21">
        <v>-277300</v>
      </c>
      <c r="E11" s="21">
        <f t="shared" si="0"/>
        <v>206467</v>
      </c>
      <c r="F11" s="223">
        <v>0.34760000000000002</v>
      </c>
      <c r="G11" s="22">
        <f t="shared" si="1"/>
        <v>71768</v>
      </c>
      <c r="H11">
        <f t="shared" si="2"/>
        <v>64591.199999999997</v>
      </c>
    </row>
    <row r="12" spans="1:8">
      <c r="B12" s="224">
        <v>41456</v>
      </c>
      <c r="C12" s="21">
        <v>-70833</v>
      </c>
      <c r="D12" s="21">
        <v>-46500</v>
      </c>
      <c r="E12" s="21">
        <f t="shared" si="0"/>
        <v>-24333</v>
      </c>
      <c r="F12" s="223">
        <v>0.34760000000000002</v>
      </c>
      <c r="G12" s="22">
        <f t="shared" si="1"/>
        <v>-8458</v>
      </c>
      <c r="H12">
        <f t="shared" si="2"/>
        <v>-7612.2</v>
      </c>
    </row>
    <row r="13" spans="1:8">
      <c r="B13" s="224">
        <v>41487</v>
      </c>
      <c r="C13" s="21">
        <v>-70833</v>
      </c>
      <c r="D13" s="21">
        <v>0</v>
      </c>
      <c r="E13" s="21">
        <f t="shared" si="0"/>
        <v>-70833</v>
      </c>
      <c r="F13" s="223">
        <v>0.34760000000000002</v>
      </c>
      <c r="G13" s="22">
        <f t="shared" si="1"/>
        <v>-24622</v>
      </c>
      <c r="H13">
        <f t="shared" si="2"/>
        <v>-22159.8</v>
      </c>
    </row>
    <row r="14" spans="1:8">
      <c r="B14" s="224">
        <v>41518</v>
      </c>
      <c r="C14" s="21">
        <v>-70833</v>
      </c>
      <c r="D14" s="21">
        <v>-31250</v>
      </c>
      <c r="E14" s="21">
        <f t="shared" si="0"/>
        <v>-39583</v>
      </c>
      <c r="F14" s="223">
        <v>0.34760000000000002</v>
      </c>
      <c r="G14" s="22">
        <f t="shared" si="1"/>
        <v>-13759</v>
      </c>
      <c r="H14">
        <f t="shared" si="2"/>
        <v>-12383.1</v>
      </c>
    </row>
    <row r="15" spans="1:8">
      <c r="B15" s="224">
        <v>41548</v>
      </c>
      <c r="C15" s="21">
        <v>-70833</v>
      </c>
      <c r="D15" s="21">
        <v>-440000</v>
      </c>
      <c r="E15" s="21">
        <f t="shared" si="0"/>
        <v>369167</v>
      </c>
      <c r="F15" s="223">
        <v>0.34760000000000002</v>
      </c>
      <c r="G15" s="22">
        <f t="shared" si="1"/>
        <v>128322</v>
      </c>
      <c r="H15">
        <f t="shared" si="2"/>
        <v>115489.8</v>
      </c>
    </row>
    <row r="16" spans="1:8">
      <c r="B16" s="224">
        <v>41579</v>
      </c>
      <c r="C16" s="21">
        <v>-70833</v>
      </c>
      <c r="D16" s="21">
        <v>-96450</v>
      </c>
      <c r="E16" s="21">
        <f t="shared" si="0"/>
        <v>25617</v>
      </c>
      <c r="F16" s="223">
        <v>0.34760000000000002</v>
      </c>
      <c r="G16" s="22">
        <f t="shared" si="1"/>
        <v>8904</v>
      </c>
      <c r="H16">
        <f t="shared" si="2"/>
        <v>8013.6</v>
      </c>
    </row>
    <row r="17" spans="1:8">
      <c r="B17" s="224">
        <v>41609</v>
      </c>
      <c r="C17" s="21">
        <v>-70833</v>
      </c>
      <c r="D17" s="21">
        <v>-499575</v>
      </c>
      <c r="E17" s="21">
        <f>+C17-D17</f>
        <v>428742</v>
      </c>
      <c r="F17" s="223">
        <v>0.34760000000000002</v>
      </c>
      <c r="G17" s="22">
        <f t="shared" si="1"/>
        <v>149031</v>
      </c>
      <c r="H17">
        <f t="shared" si="2"/>
        <v>134127.9</v>
      </c>
    </row>
    <row r="18" spans="1:8">
      <c r="A18" s="2"/>
      <c r="B18" s="229" t="s">
        <v>214</v>
      </c>
      <c r="C18" s="230">
        <f>SUM(C6:C17)</f>
        <v>-812496</v>
      </c>
      <c r="D18" s="230">
        <f>SUM(D6:D17)</f>
        <v>-2614403</v>
      </c>
      <c r="E18" s="230">
        <f>SUM(E6:E17)</f>
        <v>1801907</v>
      </c>
      <c r="F18" s="230"/>
      <c r="G18" s="230">
        <f>SUM(G6:G17)</f>
        <v>626495</v>
      </c>
      <c r="H18" s="230">
        <f>SUM(H6:H17)</f>
        <v>563846</v>
      </c>
    </row>
    <row r="19" spans="1:8">
      <c r="B19" s="5"/>
      <c r="C19" s="5"/>
      <c r="D19" s="5"/>
      <c r="E19" s="183" t="s">
        <v>335</v>
      </c>
      <c r="F19" s="5"/>
      <c r="G19" s="183" t="s">
        <v>335</v>
      </c>
      <c r="H19" s="183" t="s">
        <v>335</v>
      </c>
    </row>
    <row r="21" spans="1:8" ht="16.5" thickBot="1">
      <c r="B21" s="436" t="s">
        <v>340</v>
      </c>
      <c r="C21" s="436"/>
      <c r="D21" s="436"/>
      <c r="E21" s="436"/>
      <c r="F21" s="436"/>
      <c r="G21" s="436"/>
      <c r="H21" s="436"/>
    </row>
    <row r="22" spans="1:8" ht="38.25">
      <c r="B22" s="225"/>
      <c r="C22" s="226" t="s">
        <v>341</v>
      </c>
      <c r="D22" s="227" t="s">
        <v>2</v>
      </c>
      <c r="E22" s="228" t="s">
        <v>281</v>
      </c>
      <c r="F22" s="228" t="s">
        <v>336</v>
      </c>
      <c r="G22" s="226" t="s">
        <v>337</v>
      </c>
      <c r="H22" s="226" t="s">
        <v>338</v>
      </c>
    </row>
    <row r="23" spans="1:8">
      <c r="B23" s="224">
        <v>41275</v>
      </c>
      <c r="C23" s="21">
        <v>-58333</v>
      </c>
      <c r="D23" s="21">
        <v>-70550</v>
      </c>
      <c r="E23" s="21">
        <f>+C23-D23</f>
        <v>12217</v>
      </c>
      <c r="F23" s="223">
        <v>0.34839999999999999</v>
      </c>
      <c r="G23" s="22">
        <f>+E23*F23</f>
        <v>4256</v>
      </c>
      <c r="H23">
        <f>+G23*0.9</f>
        <v>3830.4</v>
      </c>
    </row>
    <row r="24" spans="1:8">
      <c r="B24" s="224">
        <v>41306</v>
      </c>
      <c r="C24" s="21">
        <v>-58333</v>
      </c>
      <c r="D24" s="21">
        <v>-82772</v>
      </c>
      <c r="E24" s="21">
        <f t="shared" ref="E24:E33" si="3">+C24-D24</f>
        <v>24439</v>
      </c>
      <c r="F24" s="223">
        <v>0.34839999999999999</v>
      </c>
      <c r="G24" s="22">
        <f t="shared" ref="G24:G34" si="4">+E24*F24</f>
        <v>8515</v>
      </c>
      <c r="H24">
        <f t="shared" ref="H24:H34" si="5">+G24*0.9</f>
        <v>7663.5</v>
      </c>
    </row>
    <row r="25" spans="1:8">
      <c r="B25" s="224">
        <v>41334</v>
      </c>
      <c r="C25" s="21">
        <v>-58333</v>
      </c>
      <c r="D25" s="21">
        <v>-213066</v>
      </c>
      <c r="E25" s="21">
        <f t="shared" si="3"/>
        <v>154733</v>
      </c>
      <c r="F25" s="223">
        <v>0.34839999999999999</v>
      </c>
      <c r="G25" s="22">
        <f t="shared" si="4"/>
        <v>53909</v>
      </c>
      <c r="H25">
        <f t="shared" si="5"/>
        <v>48518.1</v>
      </c>
    </row>
    <row r="26" spans="1:8">
      <c r="B26" s="224">
        <v>41365</v>
      </c>
      <c r="C26" s="21">
        <f>+-31500</f>
        <v>-31500</v>
      </c>
      <c r="D26" s="21">
        <v>-408270</v>
      </c>
      <c r="E26" s="21">
        <f t="shared" si="3"/>
        <v>376770</v>
      </c>
      <c r="F26" s="223">
        <v>0.34760000000000002</v>
      </c>
      <c r="G26" s="22">
        <f t="shared" si="4"/>
        <v>130965</v>
      </c>
      <c r="H26">
        <f t="shared" si="5"/>
        <v>117868.5</v>
      </c>
    </row>
    <row r="27" spans="1:8">
      <c r="B27" s="224">
        <v>41395</v>
      </c>
      <c r="C27" s="21">
        <f t="shared" ref="C27:C34" si="6">+-31500</f>
        <v>-31500</v>
      </c>
      <c r="D27" s="21">
        <v>-448670</v>
      </c>
      <c r="E27" s="21">
        <f t="shared" si="3"/>
        <v>417170</v>
      </c>
      <c r="F27" s="223">
        <v>0.34760000000000002</v>
      </c>
      <c r="G27" s="22">
        <f t="shared" si="4"/>
        <v>145008</v>
      </c>
      <c r="H27">
        <f t="shared" si="5"/>
        <v>130507.2</v>
      </c>
    </row>
    <row r="28" spans="1:8">
      <c r="B28" s="224">
        <v>41426</v>
      </c>
      <c r="C28" s="21">
        <f t="shared" si="6"/>
        <v>-31500</v>
      </c>
      <c r="D28" s="21">
        <v>-277300</v>
      </c>
      <c r="E28" s="21">
        <f t="shared" si="3"/>
        <v>245800</v>
      </c>
      <c r="F28" s="223">
        <v>0.34760000000000002</v>
      </c>
      <c r="G28" s="22">
        <f t="shared" si="4"/>
        <v>85440</v>
      </c>
      <c r="H28">
        <f t="shared" si="5"/>
        <v>76896</v>
      </c>
    </row>
    <row r="29" spans="1:8">
      <c r="B29" s="224">
        <v>41456</v>
      </c>
      <c r="C29" s="21">
        <f t="shared" si="6"/>
        <v>-31500</v>
      </c>
      <c r="D29" s="21">
        <v>-46500</v>
      </c>
      <c r="E29" s="21">
        <f t="shared" si="3"/>
        <v>15000</v>
      </c>
      <c r="F29" s="223">
        <v>0.34760000000000002</v>
      </c>
      <c r="G29" s="22">
        <f t="shared" si="4"/>
        <v>5214</v>
      </c>
      <c r="H29">
        <f t="shared" si="5"/>
        <v>4692.6000000000004</v>
      </c>
    </row>
    <row r="30" spans="1:8">
      <c r="B30" s="224">
        <v>41487</v>
      </c>
      <c r="C30" s="21">
        <f t="shared" si="6"/>
        <v>-31500</v>
      </c>
      <c r="D30" s="21">
        <v>0</v>
      </c>
      <c r="E30" s="21">
        <f t="shared" si="3"/>
        <v>-31500</v>
      </c>
      <c r="F30" s="223">
        <v>0.34760000000000002</v>
      </c>
      <c r="G30" s="22">
        <f t="shared" si="4"/>
        <v>-10949</v>
      </c>
      <c r="H30">
        <f t="shared" si="5"/>
        <v>-9854.1</v>
      </c>
    </row>
    <row r="31" spans="1:8">
      <c r="B31" s="224">
        <v>41518</v>
      </c>
      <c r="C31" s="21">
        <f t="shared" si="6"/>
        <v>-31500</v>
      </c>
      <c r="D31" s="21">
        <v>-31250</v>
      </c>
      <c r="E31" s="21">
        <f t="shared" si="3"/>
        <v>-250</v>
      </c>
      <c r="F31" s="223">
        <v>0.34760000000000002</v>
      </c>
      <c r="G31" s="22">
        <f t="shared" si="4"/>
        <v>-87</v>
      </c>
      <c r="H31">
        <f t="shared" si="5"/>
        <v>-78.3</v>
      </c>
    </row>
    <row r="32" spans="1:8">
      <c r="B32" s="224">
        <v>41548</v>
      </c>
      <c r="C32" s="21">
        <f t="shared" si="6"/>
        <v>-31500</v>
      </c>
      <c r="D32" s="21">
        <v>-440000</v>
      </c>
      <c r="E32" s="21">
        <f t="shared" si="3"/>
        <v>408500</v>
      </c>
      <c r="F32" s="223">
        <v>0.34760000000000002</v>
      </c>
      <c r="G32" s="22">
        <f t="shared" si="4"/>
        <v>141995</v>
      </c>
      <c r="H32">
        <f t="shared" si="5"/>
        <v>127795.5</v>
      </c>
    </row>
    <row r="33" spans="2:8">
      <c r="B33" s="224">
        <v>41579</v>
      </c>
      <c r="C33" s="21">
        <f t="shared" si="6"/>
        <v>-31500</v>
      </c>
      <c r="D33" s="21">
        <v>-96450</v>
      </c>
      <c r="E33" s="21">
        <f t="shared" si="3"/>
        <v>64950</v>
      </c>
      <c r="F33" s="223">
        <v>0.34760000000000002</v>
      </c>
      <c r="G33" s="22">
        <f t="shared" si="4"/>
        <v>22577</v>
      </c>
      <c r="H33">
        <f t="shared" si="5"/>
        <v>20319.3</v>
      </c>
    </row>
    <row r="34" spans="2:8">
      <c r="B34" s="224">
        <v>41609</v>
      </c>
      <c r="C34" s="21">
        <f t="shared" si="6"/>
        <v>-31500</v>
      </c>
      <c r="D34" s="21">
        <v>-499575</v>
      </c>
      <c r="E34" s="21">
        <f>+C34-D34</f>
        <v>468075</v>
      </c>
      <c r="F34" s="223">
        <v>0.34760000000000002</v>
      </c>
      <c r="G34" s="22">
        <f t="shared" si="4"/>
        <v>162703</v>
      </c>
      <c r="H34">
        <f t="shared" si="5"/>
        <v>146432.70000000001</v>
      </c>
    </row>
    <row r="35" spans="2:8">
      <c r="B35" s="229" t="s">
        <v>214</v>
      </c>
      <c r="C35" s="230">
        <f>SUM(C23:C34)</f>
        <v>-458499</v>
      </c>
      <c r="D35" s="230">
        <f>SUM(D23:D34)</f>
        <v>-2614403</v>
      </c>
      <c r="E35" s="230">
        <f>SUM(E23:E34)</f>
        <v>2155904</v>
      </c>
      <c r="F35" s="230"/>
      <c r="G35" s="230">
        <f>SUM(G23:G34)</f>
        <v>749546</v>
      </c>
      <c r="H35" s="230">
        <f>SUM(H23:H34)</f>
        <v>674591</v>
      </c>
    </row>
    <row r="36" spans="2:8">
      <c r="B36" s="5"/>
      <c r="C36" s="5"/>
      <c r="D36" s="5"/>
      <c r="E36" s="183" t="s">
        <v>335</v>
      </c>
      <c r="F36" s="5"/>
      <c r="G36" s="183" t="s">
        <v>335</v>
      </c>
      <c r="H36" s="183" t="s">
        <v>335</v>
      </c>
    </row>
    <row r="38" spans="2:8" ht="16.5" thickBot="1">
      <c r="B38" s="436" t="s">
        <v>342</v>
      </c>
      <c r="C38" s="436"/>
      <c r="D38" s="436"/>
      <c r="E38" s="436"/>
      <c r="F38" s="436"/>
      <c r="G38" s="436"/>
      <c r="H38" s="436"/>
    </row>
    <row r="39" spans="2:8" ht="38.25">
      <c r="B39" s="225"/>
      <c r="C39" s="226" t="s">
        <v>341</v>
      </c>
      <c r="D39" s="227" t="s">
        <v>2</v>
      </c>
      <c r="E39" s="228" t="s">
        <v>281</v>
      </c>
      <c r="F39" s="228" t="s">
        <v>336</v>
      </c>
      <c r="G39" s="226" t="s">
        <v>337</v>
      </c>
      <c r="H39" s="226" t="s">
        <v>338</v>
      </c>
    </row>
    <row r="40" spans="2:8">
      <c r="B40" s="224">
        <v>41275</v>
      </c>
      <c r="C40" s="21">
        <f>+C23-C6</f>
        <v>0</v>
      </c>
      <c r="D40" s="21">
        <f>+D23-D6</f>
        <v>0</v>
      </c>
      <c r="E40" s="21">
        <f>+E23-E6</f>
        <v>0</v>
      </c>
      <c r="F40" s="223">
        <v>0.34839999999999999</v>
      </c>
      <c r="G40" s="22">
        <f>+E40*F40</f>
        <v>0</v>
      </c>
      <c r="H40">
        <f>+G40*0.9</f>
        <v>0</v>
      </c>
    </row>
    <row r="41" spans="2:8">
      <c r="B41" s="224">
        <v>41306</v>
      </c>
      <c r="C41" s="21">
        <f t="shared" ref="C41:E51" si="7">+C24-C7</f>
        <v>0</v>
      </c>
      <c r="D41" s="21">
        <f t="shared" si="7"/>
        <v>0</v>
      </c>
      <c r="E41" s="21">
        <f t="shared" si="7"/>
        <v>0</v>
      </c>
      <c r="F41" s="223">
        <v>0.34839999999999999</v>
      </c>
      <c r="G41" s="22">
        <f t="shared" ref="G41:G51" si="8">+E41*F41</f>
        <v>0</v>
      </c>
      <c r="H41">
        <f t="shared" ref="H41:H51" si="9">+G41*0.9</f>
        <v>0</v>
      </c>
    </row>
    <row r="42" spans="2:8">
      <c r="B42" s="224">
        <v>41334</v>
      </c>
      <c r="C42" s="21">
        <f t="shared" si="7"/>
        <v>0</v>
      </c>
      <c r="D42" s="21">
        <f t="shared" si="7"/>
        <v>0</v>
      </c>
      <c r="E42" s="21">
        <f t="shared" si="7"/>
        <v>0</v>
      </c>
      <c r="F42" s="223">
        <v>0.34839999999999999</v>
      </c>
      <c r="G42" s="22">
        <f t="shared" si="8"/>
        <v>0</v>
      </c>
      <c r="H42">
        <f t="shared" si="9"/>
        <v>0</v>
      </c>
    </row>
    <row r="43" spans="2:8">
      <c r="B43" s="224">
        <v>41365</v>
      </c>
      <c r="C43" s="21">
        <f t="shared" si="7"/>
        <v>39333</v>
      </c>
      <c r="D43" s="21">
        <f t="shared" si="7"/>
        <v>0</v>
      </c>
      <c r="E43" s="21">
        <f t="shared" si="7"/>
        <v>39333</v>
      </c>
      <c r="F43" s="223">
        <v>0.34760000000000002</v>
      </c>
      <c r="G43" s="22">
        <f t="shared" si="8"/>
        <v>13672</v>
      </c>
      <c r="H43">
        <f t="shared" si="9"/>
        <v>12304.8</v>
      </c>
    </row>
    <row r="44" spans="2:8">
      <c r="B44" s="224">
        <v>41395</v>
      </c>
      <c r="C44" s="21">
        <f t="shared" si="7"/>
        <v>39333</v>
      </c>
      <c r="D44" s="21">
        <f t="shared" si="7"/>
        <v>0</v>
      </c>
      <c r="E44" s="21">
        <f t="shared" si="7"/>
        <v>39333</v>
      </c>
      <c r="F44" s="223">
        <v>0.34760000000000002</v>
      </c>
      <c r="G44" s="22">
        <f t="shared" si="8"/>
        <v>13672</v>
      </c>
      <c r="H44">
        <f t="shared" si="9"/>
        <v>12304.8</v>
      </c>
    </row>
    <row r="45" spans="2:8">
      <c r="B45" s="224">
        <v>41426</v>
      </c>
      <c r="C45" s="21">
        <f t="shared" si="7"/>
        <v>39333</v>
      </c>
      <c r="D45" s="21">
        <f t="shared" si="7"/>
        <v>0</v>
      </c>
      <c r="E45" s="21">
        <f t="shared" si="7"/>
        <v>39333</v>
      </c>
      <c r="F45" s="223">
        <v>0.34760000000000002</v>
      </c>
      <c r="G45" s="22">
        <f t="shared" si="8"/>
        <v>13672</v>
      </c>
      <c r="H45">
        <f t="shared" si="9"/>
        <v>12304.8</v>
      </c>
    </row>
    <row r="46" spans="2:8">
      <c r="B46" s="224">
        <v>41456</v>
      </c>
      <c r="C46" s="21">
        <f t="shared" si="7"/>
        <v>39333</v>
      </c>
      <c r="D46" s="21">
        <f t="shared" si="7"/>
        <v>0</v>
      </c>
      <c r="E46" s="21">
        <f t="shared" si="7"/>
        <v>39333</v>
      </c>
      <c r="F46" s="223">
        <v>0.34760000000000002</v>
      </c>
      <c r="G46" s="22">
        <f t="shared" si="8"/>
        <v>13672</v>
      </c>
      <c r="H46">
        <f t="shared" si="9"/>
        <v>12304.8</v>
      </c>
    </row>
    <row r="47" spans="2:8">
      <c r="B47" s="224">
        <v>41487</v>
      </c>
      <c r="C47" s="21">
        <f t="shared" si="7"/>
        <v>39333</v>
      </c>
      <c r="D47" s="21">
        <f t="shared" si="7"/>
        <v>0</v>
      </c>
      <c r="E47" s="21">
        <f t="shared" si="7"/>
        <v>39333</v>
      </c>
      <c r="F47" s="223">
        <v>0.34760000000000002</v>
      </c>
      <c r="G47" s="22">
        <f t="shared" si="8"/>
        <v>13672</v>
      </c>
      <c r="H47">
        <f t="shared" si="9"/>
        <v>12304.8</v>
      </c>
    </row>
    <row r="48" spans="2:8">
      <c r="B48" s="224">
        <v>41518</v>
      </c>
      <c r="C48" s="21">
        <f t="shared" si="7"/>
        <v>39333</v>
      </c>
      <c r="D48" s="21">
        <f t="shared" si="7"/>
        <v>0</v>
      </c>
      <c r="E48" s="21">
        <f t="shared" si="7"/>
        <v>39333</v>
      </c>
      <c r="F48" s="223">
        <v>0.34760000000000002</v>
      </c>
      <c r="G48" s="22">
        <f t="shared" si="8"/>
        <v>13672</v>
      </c>
      <c r="H48">
        <f t="shared" si="9"/>
        <v>12304.8</v>
      </c>
    </row>
    <row r="49" spans="2:8">
      <c r="B49" s="224">
        <v>41548</v>
      </c>
      <c r="C49" s="21">
        <f t="shared" si="7"/>
        <v>39333</v>
      </c>
      <c r="D49" s="21">
        <f t="shared" si="7"/>
        <v>0</v>
      </c>
      <c r="E49" s="21">
        <f t="shared" si="7"/>
        <v>39333</v>
      </c>
      <c r="F49" s="223">
        <v>0.34760000000000002</v>
      </c>
      <c r="G49" s="22">
        <f t="shared" si="8"/>
        <v>13672</v>
      </c>
      <c r="H49">
        <f t="shared" si="9"/>
        <v>12304.8</v>
      </c>
    </row>
    <row r="50" spans="2:8">
      <c r="B50" s="224">
        <v>41579</v>
      </c>
      <c r="C50" s="21">
        <f t="shared" si="7"/>
        <v>39333</v>
      </c>
      <c r="D50" s="21">
        <f t="shared" si="7"/>
        <v>0</v>
      </c>
      <c r="E50" s="21">
        <f t="shared" si="7"/>
        <v>39333</v>
      </c>
      <c r="F50" s="223">
        <v>0.34760000000000002</v>
      </c>
      <c r="G50" s="22">
        <f t="shared" si="8"/>
        <v>13672</v>
      </c>
      <c r="H50">
        <f t="shared" si="9"/>
        <v>12304.8</v>
      </c>
    </row>
    <row r="51" spans="2:8">
      <c r="B51" s="224">
        <v>41609</v>
      </c>
      <c r="C51" s="21">
        <f t="shared" si="7"/>
        <v>39333</v>
      </c>
      <c r="D51" s="21">
        <f t="shared" si="7"/>
        <v>0</v>
      </c>
      <c r="E51" s="21">
        <f t="shared" si="7"/>
        <v>39333</v>
      </c>
      <c r="F51" s="223">
        <v>0.34760000000000002</v>
      </c>
      <c r="G51" s="22">
        <f t="shared" si="8"/>
        <v>13672</v>
      </c>
      <c r="H51">
        <f t="shared" si="9"/>
        <v>12304.8</v>
      </c>
    </row>
    <row r="52" spans="2:8">
      <c r="B52" s="229" t="s">
        <v>214</v>
      </c>
      <c r="C52" s="230">
        <f>SUM(C40:C51)</f>
        <v>353997</v>
      </c>
      <c r="D52" s="230">
        <f>SUM(D40:D51)</f>
        <v>0</v>
      </c>
      <c r="E52" s="230">
        <f>SUM(E40:E51)</f>
        <v>353997</v>
      </c>
      <c r="F52" s="230"/>
      <c r="G52" s="230">
        <f>SUM(G40:G51)</f>
        <v>123048</v>
      </c>
      <c r="H52" s="230">
        <f>SUM(H40:H51)</f>
        <v>110743</v>
      </c>
    </row>
    <row r="53" spans="2:8">
      <c r="B53" s="5"/>
      <c r="C53" s="5"/>
      <c r="D53" s="5"/>
      <c r="E53" s="183" t="s">
        <v>335</v>
      </c>
      <c r="F53" s="5"/>
      <c r="G53" s="183" t="s">
        <v>335</v>
      </c>
      <c r="H53" s="183" t="s">
        <v>335</v>
      </c>
    </row>
  </sheetData>
  <mergeCells count="5">
    <mergeCell ref="B4:H4"/>
    <mergeCell ref="B21:H21"/>
    <mergeCell ref="B38:H38"/>
    <mergeCell ref="A1:H1"/>
    <mergeCell ref="A2:H2"/>
  </mergeCells>
  <printOptions horizontalCentered="1"/>
  <pageMargins left="0.7" right="0.7" top="0.5" bottom="0.5" header="0.3" footer="0.3"/>
  <pageSetup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19"/>
  <sheetViews>
    <sheetView workbookViewId="0">
      <selection activeCell="M13" sqref="M13"/>
    </sheetView>
  </sheetViews>
  <sheetFormatPr defaultRowHeight="12.75"/>
  <cols>
    <col min="1" max="1" width="10.140625" bestFit="1" customWidth="1"/>
  </cols>
  <sheetData>
    <row r="1" spans="1:2">
      <c r="A1" s="201">
        <v>40972</v>
      </c>
    </row>
    <row r="3" spans="1:2">
      <c r="A3" s="26" t="s">
        <v>277</v>
      </c>
      <c r="B3" s="26" t="s">
        <v>274</v>
      </c>
    </row>
    <row r="4" spans="1:2">
      <c r="B4" t="s">
        <v>270</v>
      </c>
    </row>
    <row r="5" spans="1:2">
      <c r="B5" t="s">
        <v>265</v>
      </c>
    </row>
    <row r="7" spans="1:2">
      <c r="B7" t="s">
        <v>267</v>
      </c>
    </row>
    <row r="8" spans="1:2">
      <c r="B8" t="s">
        <v>266</v>
      </c>
    </row>
    <row r="9" spans="1:2">
      <c r="B9" t="s">
        <v>268</v>
      </c>
    </row>
    <row r="10" spans="1:2">
      <c r="B10" t="s">
        <v>271</v>
      </c>
    </row>
    <row r="12" spans="1:2">
      <c r="B12" t="s">
        <v>269</v>
      </c>
    </row>
    <row r="13" spans="1:2">
      <c r="B13" t="s">
        <v>273</v>
      </c>
    </row>
    <row r="14" spans="1:2">
      <c r="B14" t="s">
        <v>272</v>
      </c>
    </row>
    <row r="16" spans="1:2">
      <c r="B16" s="26" t="s">
        <v>275</v>
      </c>
    </row>
    <row r="17" spans="1:2">
      <c r="B17" s="26" t="s">
        <v>276</v>
      </c>
    </row>
    <row r="19" spans="1:2">
      <c r="A19" s="26" t="s">
        <v>278</v>
      </c>
      <c r="B19" s="26" t="s">
        <v>279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2018-10-15T07:00:00+00:00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57DC968-1BB5-49FD-BB57-9F204CA6F60F}"/>
</file>

<file path=customXml/itemProps2.xml><?xml version="1.0" encoding="utf-8"?>
<ds:datastoreItem xmlns:ds="http://schemas.openxmlformats.org/officeDocument/2006/customXml" ds:itemID="{FD6633A3-2869-470A-966D-A9898C508D3B}"/>
</file>

<file path=customXml/itemProps3.xml><?xml version="1.0" encoding="utf-8"?>
<ds:datastoreItem xmlns:ds="http://schemas.openxmlformats.org/officeDocument/2006/customXml" ds:itemID="{B7C4BC26-3C24-4D1E-A7BE-F08B8F3459CA}"/>
</file>

<file path=customXml/itemProps4.xml><?xml version="1.0" encoding="utf-8"?>
<ds:datastoreItem xmlns:ds="http://schemas.openxmlformats.org/officeDocument/2006/customXml" ds:itemID="{E722D81E-9DA4-416A-B504-59AAD3BF02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</vt:i4>
      </vt:variant>
    </vt:vector>
  </HeadingPairs>
  <TitlesOfParts>
    <vt:vector size="24" baseType="lpstr">
      <vt:lpstr>WA bud vs auth</vt:lpstr>
      <vt:lpstr>WA act vs auth</vt:lpstr>
      <vt:lpstr>Directions</vt:lpstr>
      <vt:lpstr>Input Tab</vt:lpstr>
      <vt:lpstr>WA Summary </vt:lpstr>
      <vt:lpstr>WA Monthly</vt:lpstr>
      <vt:lpstr>WA RRC</vt:lpstr>
      <vt:lpstr>ID Rec Adjustment</vt:lpstr>
      <vt:lpstr>Notes</vt:lpstr>
      <vt:lpstr>Our Focus</vt:lpstr>
      <vt:lpstr>RRC Instructions</vt:lpstr>
      <vt:lpstr>AVARpt</vt:lpstr>
      <vt:lpstr>DefRpt</vt:lpstr>
      <vt:lpstr>GLAccts</vt:lpstr>
      <vt:lpstr>'Our Focus'!Print_Area</vt:lpstr>
      <vt:lpstr>'WA act vs auth'!Print_Area</vt:lpstr>
      <vt:lpstr>'WA bud vs auth'!Print_Area</vt:lpstr>
      <vt:lpstr>'WA Monthly'!Print_Area</vt:lpstr>
      <vt:lpstr>'WA RRC'!Print_Area</vt:lpstr>
      <vt:lpstr>'WA Summary '!Print_Area</vt:lpstr>
      <vt:lpstr>'WA act vs auth'!Print_Titles</vt:lpstr>
      <vt:lpstr>'WA bud vs auth'!Print_Titles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annette brandon</cp:lastModifiedBy>
  <cp:lastPrinted>2018-10-03T22:02:36Z</cp:lastPrinted>
  <dcterms:created xsi:type="dcterms:W3CDTF">2002-02-05T19:51:48Z</dcterms:created>
  <dcterms:modified xsi:type="dcterms:W3CDTF">2018-10-12T18:01:45Z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