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112CE01C-16CD-4370-9AB2-C240BC585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Effects of DMA Avg. Bill" sheetId="523" r:id="rId5"/>
    <sheet name="Pipeline Workpapers---&gt;" sheetId="509" state="hidden" r:id="rId6"/>
    <sheet name="Ex-1" sheetId="505" state="hidden" r:id="rId7"/>
    <sheet name="Ex-2" sheetId="506" state="hidden" r:id="rId8"/>
    <sheet name="Ex-3" sheetId="507" state="hidden" r:id="rId9"/>
    <sheet name="Ex-4" sheetId="508" state="hidden" r:id="rId10"/>
    <sheet name="Earnings Test and 3% Test" sheetId="516" r:id="rId11"/>
    <sheet name="Workpapers---&gt;" sheetId="497" r:id="rId12"/>
    <sheet name="Balances at 12-31-2021" sheetId="511" r:id="rId13"/>
    <sheet name="Int calc thru 10-31-2022" sheetId="450" r:id="rId14"/>
    <sheet name="Amort Calc thru 10-31-2022" sheetId="519" r:id="rId15"/>
    <sheet name="EstimatedBalances" sheetId="512" r:id="rId16"/>
    <sheet name="Int during Amort" sheetId="513" r:id="rId17"/>
    <sheet name="Test Period Volumes" sheetId="494" r:id="rId18"/>
    <sheet name="Deferral RA 20477" sheetId="520" r:id="rId19"/>
    <sheet name="Amort 1862.20480" sheetId="521" r:id="rId20"/>
    <sheet name="Bills-Therms-Revs" sheetId="472" r:id="rId21"/>
    <sheet name=" Conversion Factor" sheetId="522" r:id="rId22"/>
  </sheets>
  <externalReferences>
    <externalReference r:id="rId23"/>
    <externalReference r:id="rId24"/>
  </externalReferences>
  <definedNames>
    <definedName name="BalancesJuly" localSheetId="12">'Balances at 12-31-2021'!$A$9:$I$399</definedName>
    <definedName name="_xlnm.Print_Area" localSheetId="19">'Amort 1862.20480'!$A$1:$H$66</definedName>
    <definedName name="_xlnm.Print_Area" localSheetId="20">'Bills-Therms-Revs'!$A$1:$O$48</definedName>
    <definedName name="_xlnm.Print_Area" localSheetId="18">'Deferral RA 20477'!$A$1:$H$80</definedName>
    <definedName name="_xlnm.Print_Area" localSheetId="3">'DMA Amount of Change'!$A$1:$L$18</definedName>
    <definedName name="_xlnm.Print_Area" localSheetId="2">'DMA Proposed Rate 594'!$B$1:$H$21</definedName>
    <definedName name="_xlnm.Print_Area" localSheetId="10">'Earnings Test and 3% Test'!$A$1:$K$59</definedName>
    <definedName name="_xlnm.Print_Area" localSheetId="4">'Effects of DMA Avg. Bill'!$A$1:$K$35</definedName>
    <definedName name="_xlnm.Print_Titles" localSheetId="10">'Earnings Test and 3% Test'!$1:$4</definedName>
    <definedName name="Z_5C6B1FA1_B621_4699_B8F7_5011E8FF1BCD_.wvu.PrintArea" localSheetId="10" hidden="1">'Earnings Test and 3% Test'!$B$1:$I$23</definedName>
    <definedName name="Z_5C6B1FA1_B621_4699_B8F7_5011E8FF1BCD_.wvu.PrintTitles" localSheetId="10" hidden="1">'Earnings Test and 3% Test'!$1:$4</definedName>
    <definedName name="Z_6A207E9B_31ED_4215_AD4F_ABB2957B65E4_.wvu.PrintArea" localSheetId="10" hidden="1">'Earnings Test and 3% Test'!#REF!</definedName>
    <definedName name="Z_6A207E9B_31ED_4215_AD4F_ABB2957B65E4_.wvu.PrintTitles" localSheetId="10" hidden="1">'Earnings Test and 3% Test'!$1:$4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511" l="1"/>
  <c r="D16" i="511"/>
  <c r="D15" i="511"/>
  <c r="D14" i="511"/>
  <c r="D13" i="511"/>
  <c r="K1" i="516" l="1"/>
  <c r="J1" i="523"/>
  <c r="G27" i="523" l="1"/>
  <c r="G33" i="523"/>
  <c r="G35" i="523" s="1"/>
  <c r="G29" i="523"/>
  <c r="G28" i="523"/>
  <c r="G22" i="523"/>
  <c r="G21" i="523"/>
  <c r="G24" i="523" l="1"/>
  <c r="G30" i="523"/>
  <c r="R19" i="513"/>
  <c r="Q19" i="513"/>
  <c r="P19" i="513"/>
  <c r="O19" i="513"/>
  <c r="H77" i="520" l="1"/>
  <c r="D20" i="511" l="1"/>
  <c r="D22" i="511" l="1"/>
  <c r="D19" i="511"/>
  <c r="D21" i="511" l="1"/>
  <c r="D18" i="511" l="1"/>
  <c r="G18" i="523" l="1"/>
  <c r="G16" i="523"/>
  <c r="C33" i="522" l="1"/>
  <c r="C12" i="522"/>
  <c r="C16" i="522" s="1"/>
  <c r="C18" i="522" s="1"/>
  <c r="C20" i="522" s="1"/>
  <c r="C22" i="522" s="1"/>
  <c r="C25" i="522" s="1"/>
  <c r="G18" i="516" s="1"/>
  <c r="D10" i="522" l="1"/>
  <c r="G15" i="490" l="1"/>
  <c r="G13" i="490"/>
  <c r="I56" i="472" l="1"/>
  <c r="I53" i="472"/>
  <c r="G56" i="472"/>
  <c r="G53" i="472"/>
  <c r="J38" i="516" l="1"/>
  <c r="I38" i="516"/>
  <c r="H38" i="516"/>
  <c r="G38" i="516"/>
  <c r="F38" i="516"/>
  <c r="I32" i="516" l="1"/>
  <c r="I39" i="472" l="1"/>
  <c r="I58" i="472" s="1"/>
  <c r="I28" i="472" l="1"/>
  <c r="I62" i="472" l="1"/>
  <c r="G62" i="472"/>
  <c r="F62" i="472"/>
  <c r="I61" i="472"/>
  <c r="G61" i="472"/>
  <c r="F61" i="472"/>
  <c r="F58" i="472"/>
  <c r="D16" i="490" s="1"/>
  <c r="I57" i="472"/>
  <c r="G57" i="472"/>
  <c r="F57" i="472"/>
  <c r="F56" i="472"/>
  <c r="F53" i="472"/>
  <c r="F52" i="472"/>
  <c r="D12" i="490" s="1"/>
  <c r="I46" i="472"/>
  <c r="G46" i="472"/>
  <c r="F46" i="472"/>
  <c r="G16" i="490"/>
  <c r="G39" i="472"/>
  <c r="G58" i="472" s="1"/>
  <c r="F39" i="472"/>
  <c r="I32" i="472"/>
  <c r="G32" i="472"/>
  <c r="F32" i="472"/>
  <c r="G28" i="472"/>
  <c r="F28" i="472"/>
  <c r="I17" i="472"/>
  <c r="I52" i="472" s="1"/>
  <c r="G17" i="472"/>
  <c r="G52" i="472" s="1"/>
  <c r="F17" i="472"/>
  <c r="H12" i="521"/>
  <c r="H13" i="521" s="1"/>
  <c r="D41" i="520"/>
  <c r="A13" i="520"/>
  <c r="H12" i="520"/>
  <c r="F13" i="520" s="1"/>
  <c r="H13" i="520" s="1"/>
  <c r="A12" i="520"/>
  <c r="I34" i="494"/>
  <c r="H30" i="494"/>
  <c r="H29" i="494"/>
  <c r="H28" i="494"/>
  <c r="H27" i="494"/>
  <c r="H26" i="494"/>
  <c r="H25" i="494"/>
  <c r="H24" i="494"/>
  <c r="H23" i="494"/>
  <c r="H22" i="494"/>
  <c r="H21" i="494"/>
  <c r="H33" i="494" s="1"/>
  <c r="H20" i="494"/>
  <c r="H32" i="494" s="1"/>
  <c r="H19" i="494"/>
  <c r="H31" i="494" s="1"/>
  <c r="I17" i="494"/>
  <c r="I16" i="494"/>
  <c r="I15" i="494"/>
  <c r="I14" i="494"/>
  <c r="I13" i="494"/>
  <c r="I12" i="494"/>
  <c r="I11" i="494"/>
  <c r="I10" i="494"/>
  <c r="C66" i="521" s="1"/>
  <c r="I9" i="494"/>
  <c r="C65" i="521" s="1"/>
  <c r="I8" i="494"/>
  <c r="I7" i="494"/>
  <c r="I6" i="494"/>
  <c r="A27" i="513"/>
  <c r="B25" i="513"/>
  <c r="B24" i="513"/>
  <c r="B23" i="513"/>
  <c r="B22" i="513"/>
  <c r="B21" i="513"/>
  <c r="C19" i="513"/>
  <c r="E16" i="513"/>
  <c r="A14" i="513"/>
  <c r="A25" i="513" s="1"/>
  <c r="A13" i="513"/>
  <c r="A24" i="513" s="1"/>
  <c r="A12" i="513"/>
  <c r="A23" i="513" s="1"/>
  <c r="A11" i="513"/>
  <c r="A22" i="513" s="1"/>
  <c r="A10" i="513"/>
  <c r="A21" i="513" s="1"/>
  <c r="C19" i="512"/>
  <c r="C18" i="512"/>
  <c r="C17" i="512"/>
  <c r="C16" i="512"/>
  <c r="C15" i="512"/>
  <c r="B14" i="512"/>
  <c r="B19" i="512" s="1"/>
  <c r="B13" i="512"/>
  <c r="B18" i="512" s="1"/>
  <c r="B12" i="512"/>
  <c r="B17" i="512" s="1"/>
  <c r="B11" i="512"/>
  <c r="B16" i="512" s="1"/>
  <c r="B10" i="512"/>
  <c r="J18" i="519"/>
  <c r="I18" i="519"/>
  <c r="H18" i="519"/>
  <c r="G18" i="519"/>
  <c r="F18" i="519"/>
  <c r="E18" i="519"/>
  <c r="D18" i="519"/>
  <c r="J17" i="519"/>
  <c r="I17" i="519"/>
  <c r="H17" i="519"/>
  <c r="G17" i="519"/>
  <c r="F17" i="519"/>
  <c r="E17" i="519"/>
  <c r="D17" i="519"/>
  <c r="J16" i="519"/>
  <c r="I16" i="519"/>
  <c r="H16" i="519"/>
  <c r="G16" i="519"/>
  <c r="F16" i="519"/>
  <c r="E16" i="519"/>
  <c r="D16" i="519"/>
  <c r="J15" i="519"/>
  <c r="I15" i="519"/>
  <c r="H15" i="519"/>
  <c r="G15" i="519"/>
  <c r="F15" i="519"/>
  <c r="E15" i="519"/>
  <c r="D15" i="519"/>
  <c r="J14" i="519"/>
  <c r="I14" i="519"/>
  <c r="H14" i="519"/>
  <c r="G14" i="519"/>
  <c r="F14" i="519"/>
  <c r="E14" i="519"/>
  <c r="D14" i="519"/>
  <c r="M22" i="450"/>
  <c r="A20" i="450"/>
  <c r="A19" i="450"/>
  <c r="A18" i="450"/>
  <c r="A17" i="450"/>
  <c r="A16" i="450"/>
  <c r="A15" i="512" s="1"/>
  <c r="A15" i="450"/>
  <c r="A14" i="512" s="1"/>
  <c r="A14" i="450"/>
  <c r="A13" i="512" s="1"/>
  <c r="A13" i="450"/>
  <c r="A12" i="512" s="1"/>
  <c r="A12" i="450"/>
  <c r="A11" i="512" s="1"/>
  <c r="A11" i="450"/>
  <c r="A10" i="512" s="1"/>
  <c r="M9" i="450"/>
  <c r="L9" i="450"/>
  <c r="K9" i="450"/>
  <c r="J9" i="450"/>
  <c r="I9" i="450"/>
  <c r="H9" i="450"/>
  <c r="G9" i="450"/>
  <c r="F9" i="450"/>
  <c r="E9" i="450"/>
  <c r="D9" i="450"/>
  <c r="C9" i="450"/>
  <c r="C20" i="450" s="1"/>
  <c r="L7" i="450"/>
  <c r="K7" i="450"/>
  <c r="J7" i="450"/>
  <c r="I7" i="450"/>
  <c r="H7" i="450"/>
  <c r="G7" i="450"/>
  <c r="F7" i="450"/>
  <c r="E7" i="450"/>
  <c r="D7" i="450"/>
  <c r="C7" i="450"/>
  <c r="B17" i="511"/>
  <c r="B22" i="511" s="1"/>
  <c r="B20" i="450" s="1"/>
  <c r="C15" i="449"/>
  <c r="B16" i="511"/>
  <c r="B21" i="511" s="1"/>
  <c r="B19" i="450" s="1"/>
  <c r="B15" i="511"/>
  <c r="B20" i="511" s="1"/>
  <c r="B18" i="450" s="1"/>
  <c r="B14" i="511"/>
  <c r="B19" i="511" s="1"/>
  <c r="B17" i="450" s="1"/>
  <c r="C11" i="450"/>
  <c r="B13" i="511"/>
  <c r="B18" i="511" s="1"/>
  <c r="B16" i="450" s="1"/>
  <c r="B15" i="512" s="1"/>
  <c r="G13" i="516"/>
  <c r="G15" i="516" s="1"/>
  <c r="G17" i="516" s="1"/>
  <c r="G19" i="516" s="1"/>
  <c r="D13" i="516"/>
  <c r="D15" i="516" s="1"/>
  <c r="D17" i="516" s="1"/>
  <c r="D19" i="516" s="1"/>
  <c r="D21" i="516" s="1"/>
  <c r="K24" i="508"/>
  <c r="I24" i="508"/>
  <c r="G24" i="508"/>
  <c r="E24" i="508"/>
  <c r="K22" i="508"/>
  <c r="I22" i="508"/>
  <c r="G22" i="508"/>
  <c r="E22" i="508"/>
  <c r="K20" i="508"/>
  <c r="I20" i="508"/>
  <c r="G20" i="508"/>
  <c r="E20" i="508"/>
  <c r="K18" i="508"/>
  <c r="I18" i="508"/>
  <c r="G18" i="508"/>
  <c r="E18" i="508"/>
  <c r="K16" i="508"/>
  <c r="I16" i="508"/>
  <c r="G16" i="508"/>
  <c r="E16" i="508"/>
  <c r="K14" i="508"/>
  <c r="I14" i="508"/>
  <c r="G14" i="508"/>
  <c r="E14" i="508"/>
  <c r="K12" i="508"/>
  <c r="I12" i="508"/>
  <c r="G12" i="508"/>
  <c r="E12" i="508"/>
  <c r="H27" i="507"/>
  <c r="I25" i="507"/>
  <c r="H25" i="507"/>
  <c r="G25" i="507"/>
  <c r="E25" i="507"/>
  <c r="C25" i="507"/>
  <c r="I23" i="507"/>
  <c r="H23" i="507"/>
  <c r="G23" i="507"/>
  <c r="E23" i="507"/>
  <c r="C23" i="507"/>
  <c r="I21" i="507"/>
  <c r="H21" i="507"/>
  <c r="G21" i="507"/>
  <c r="E21" i="507"/>
  <c r="C21" i="507"/>
  <c r="I19" i="507"/>
  <c r="H19" i="507"/>
  <c r="G19" i="507"/>
  <c r="E19" i="507"/>
  <c r="C19" i="507"/>
  <c r="I17" i="507"/>
  <c r="H17" i="507"/>
  <c r="G17" i="507"/>
  <c r="E17" i="507"/>
  <c r="C17" i="507"/>
  <c r="I15" i="507"/>
  <c r="H15" i="507"/>
  <c r="G15" i="507"/>
  <c r="E15" i="507"/>
  <c r="C15" i="507"/>
  <c r="I13" i="507"/>
  <c r="H13" i="507"/>
  <c r="G13" i="507"/>
  <c r="E13" i="507"/>
  <c r="C13" i="507"/>
  <c r="N28" i="506"/>
  <c r="L28" i="506"/>
  <c r="H28" i="506"/>
  <c r="F28" i="506"/>
  <c r="E28" i="506"/>
  <c r="L26" i="506"/>
  <c r="H26" i="506"/>
  <c r="F26" i="506"/>
  <c r="E26" i="506"/>
  <c r="N24" i="506"/>
  <c r="L24" i="506"/>
  <c r="K24" i="506"/>
  <c r="L23" i="506"/>
  <c r="N21" i="506"/>
  <c r="M21" i="506"/>
  <c r="L21" i="506"/>
  <c r="H21" i="506"/>
  <c r="F21" i="506"/>
  <c r="E21" i="506"/>
  <c r="N20" i="506"/>
  <c r="M20" i="506"/>
  <c r="L20" i="506"/>
  <c r="K20" i="506"/>
  <c r="N19" i="506"/>
  <c r="M19" i="506"/>
  <c r="L19" i="506"/>
  <c r="K19" i="506"/>
  <c r="N18" i="506"/>
  <c r="M18" i="506"/>
  <c r="L18" i="506"/>
  <c r="K18" i="506"/>
  <c r="N17" i="506"/>
  <c r="M17" i="506"/>
  <c r="L17" i="506"/>
  <c r="K17" i="506"/>
  <c r="N16" i="506"/>
  <c r="M16" i="506"/>
  <c r="L16" i="506"/>
  <c r="K16" i="506"/>
  <c r="N15" i="506"/>
  <c r="M15" i="506"/>
  <c r="L15" i="506"/>
  <c r="K15" i="506"/>
  <c r="N14" i="506"/>
  <c r="M14" i="506"/>
  <c r="L14" i="506"/>
  <c r="K14" i="506"/>
  <c r="N13" i="506"/>
  <c r="M13" i="506"/>
  <c r="L13" i="506"/>
  <c r="K13" i="506"/>
  <c r="N12" i="506"/>
  <c r="M12" i="506"/>
  <c r="L12" i="506"/>
  <c r="K12" i="506"/>
  <c r="G22" i="505"/>
  <c r="F22" i="505"/>
  <c r="G21" i="505"/>
  <c r="F21" i="505"/>
  <c r="G20" i="505"/>
  <c r="F20" i="505"/>
  <c r="G17" i="505"/>
  <c r="F17" i="505"/>
  <c r="G16" i="505"/>
  <c r="F16" i="505"/>
  <c r="G15" i="505"/>
  <c r="F15" i="505"/>
  <c r="G14" i="505"/>
  <c r="F14" i="505"/>
  <c r="G13" i="505"/>
  <c r="F13" i="505"/>
  <c r="G12" i="505"/>
  <c r="F12" i="505"/>
  <c r="G11" i="505"/>
  <c r="F11" i="505"/>
  <c r="G10" i="505"/>
  <c r="F10" i="505"/>
  <c r="D10" i="505"/>
  <c r="G9" i="505"/>
  <c r="F9" i="505"/>
  <c r="D15" i="490"/>
  <c r="G14" i="490"/>
  <c r="D14" i="490"/>
  <c r="G32" i="516"/>
  <c r="G12" i="490"/>
  <c r="G1" i="483"/>
  <c r="K1" i="490" s="1"/>
  <c r="C16" i="449"/>
  <c r="C12" i="449"/>
  <c r="G21" i="494" l="1"/>
  <c r="C63" i="521"/>
  <c r="C36" i="521"/>
  <c r="C62" i="521"/>
  <c r="G19" i="494"/>
  <c r="C61" i="521"/>
  <c r="D29" i="494"/>
  <c r="N11" i="513" s="1"/>
  <c r="J32" i="516"/>
  <c r="H32" i="516"/>
  <c r="F32" i="516"/>
  <c r="D25" i="494"/>
  <c r="J11" i="513" s="1"/>
  <c r="G27" i="494"/>
  <c r="L14" i="513" s="1"/>
  <c r="E28" i="494"/>
  <c r="M12" i="513" s="1"/>
  <c r="E22" i="494"/>
  <c r="G12" i="513" s="1"/>
  <c r="G23" i="494"/>
  <c r="H14" i="513" s="1"/>
  <c r="E24" i="494"/>
  <c r="I12" i="513" s="1"/>
  <c r="E26" i="494"/>
  <c r="K12" i="513" s="1"/>
  <c r="G19" i="519"/>
  <c r="D27" i="494"/>
  <c r="L11" i="513" s="1"/>
  <c r="E27" i="494"/>
  <c r="L12" i="513" s="1"/>
  <c r="G26" i="494"/>
  <c r="K14" i="513" s="1"/>
  <c r="G22" i="494"/>
  <c r="G14" i="513" s="1"/>
  <c r="C26" i="494"/>
  <c r="K10" i="513" s="1"/>
  <c r="F26" i="494"/>
  <c r="K13" i="513" s="1"/>
  <c r="C22" i="494"/>
  <c r="D19" i="494"/>
  <c r="D31" i="494" s="1"/>
  <c r="P11" i="513" s="1"/>
  <c r="C35" i="521"/>
  <c r="E23" i="494"/>
  <c r="H12" i="513" s="1"/>
  <c r="D23" i="494"/>
  <c r="H11" i="513" s="1"/>
  <c r="C13" i="450"/>
  <c r="C15" i="450"/>
  <c r="C19" i="450"/>
  <c r="H14" i="521"/>
  <c r="J13" i="521"/>
  <c r="F14" i="520"/>
  <c r="H14" i="520" s="1"/>
  <c r="F22" i="494"/>
  <c r="G13" i="513" s="1"/>
  <c r="E19" i="494"/>
  <c r="D21" i="494"/>
  <c r="D33" i="494" s="1"/>
  <c r="R11" i="513" s="1"/>
  <c r="M18" i="519"/>
  <c r="G33" i="494"/>
  <c r="R14" i="513" s="1"/>
  <c r="G31" i="494"/>
  <c r="P14" i="513" s="1"/>
  <c r="K18" i="519"/>
  <c r="H34" i="494"/>
  <c r="F20" i="494"/>
  <c r="F28" i="494"/>
  <c r="M13" i="513" s="1"/>
  <c r="C20" i="494"/>
  <c r="E21" i="494"/>
  <c r="C24" i="494"/>
  <c r="I10" i="513" s="1"/>
  <c r="C28" i="494"/>
  <c r="M10" i="513" s="1"/>
  <c r="E29" i="494"/>
  <c r="N12" i="513" s="1"/>
  <c r="C37" i="521"/>
  <c r="E30" i="494"/>
  <c r="O12" i="513" s="1"/>
  <c r="F19" i="494"/>
  <c r="D20" i="494"/>
  <c r="F21" i="494"/>
  <c r="D22" i="494"/>
  <c r="G11" i="513" s="1"/>
  <c r="F23" i="494"/>
  <c r="H13" i="513" s="1"/>
  <c r="D24" i="494"/>
  <c r="I11" i="513" s="1"/>
  <c r="F25" i="494"/>
  <c r="J13" i="513" s="1"/>
  <c r="D26" i="494"/>
  <c r="K11" i="513" s="1"/>
  <c r="F27" i="494"/>
  <c r="L13" i="513" s="1"/>
  <c r="D28" i="494"/>
  <c r="M11" i="513" s="1"/>
  <c r="F29" i="494"/>
  <c r="N13" i="513" s="1"/>
  <c r="F24" i="494"/>
  <c r="I13" i="513" s="1"/>
  <c r="G20" i="494"/>
  <c r="G24" i="494"/>
  <c r="I14" i="513" s="1"/>
  <c r="E25" i="494"/>
  <c r="J12" i="513" s="1"/>
  <c r="G28" i="494"/>
  <c r="M14" i="513" s="1"/>
  <c r="E19" i="519"/>
  <c r="I19" i="519"/>
  <c r="C19" i="494"/>
  <c r="E20" i="494"/>
  <c r="C21" i="494"/>
  <c r="C23" i="494"/>
  <c r="H10" i="513" s="1"/>
  <c r="C25" i="494"/>
  <c r="J10" i="513" s="1"/>
  <c r="G25" i="494"/>
  <c r="J14" i="513" s="1"/>
  <c r="C27" i="494"/>
  <c r="L10" i="513" s="1"/>
  <c r="C29" i="494"/>
  <c r="N10" i="513" s="1"/>
  <c r="G29" i="494"/>
  <c r="N14" i="513" s="1"/>
  <c r="C14" i="449"/>
  <c r="H19" i="519"/>
  <c r="D19" i="519"/>
  <c r="F19" i="519"/>
  <c r="G19" i="513"/>
  <c r="K19" i="513"/>
  <c r="C17" i="450"/>
  <c r="H19" i="513"/>
  <c r="L19" i="513"/>
  <c r="I19" i="513"/>
  <c r="M19" i="513"/>
  <c r="J19" i="513"/>
  <c r="N19" i="513"/>
  <c r="C18" i="450"/>
  <c r="D19" i="512"/>
  <c r="D20" i="450" s="1"/>
  <c r="E19" i="512" s="1"/>
  <c r="C16" i="450"/>
  <c r="C10" i="512"/>
  <c r="D10" i="512" s="1"/>
  <c r="D11" i="450" s="1"/>
  <c r="E10" i="512" s="1"/>
  <c r="C12" i="512"/>
  <c r="C14" i="512"/>
  <c r="D13" i="490"/>
  <c r="F40" i="472"/>
  <c r="F47" i="472" s="1"/>
  <c r="G40" i="472"/>
  <c r="G47" i="472" s="1"/>
  <c r="F63" i="472"/>
  <c r="G63" i="472"/>
  <c r="I63" i="472"/>
  <c r="I40" i="472"/>
  <c r="I47" i="472" s="1"/>
  <c r="G17" i="490"/>
  <c r="J19" i="519"/>
  <c r="F30" i="494"/>
  <c r="C30" i="494"/>
  <c r="G30" i="494"/>
  <c r="D30" i="494"/>
  <c r="C11" i="512"/>
  <c r="C12" i="450"/>
  <c r="D26" i="511"/>
  <c r="D29" i="511" s="1"/>
  <c r="C13" i="512"/>
  <c r="C14" i="450"/>
  <c r="C13" i="449"/>
  <c r="D14" i="512" l="1"/>
  <c r="D15" i="450" s="1"/>
  <c r="E14" i="512" s="1"/>
  <c r="E15" i="450" s="1"/>
  <c r="F14" i="512" s="1"/>
  <c r="K32" i="516"/>
  <c r="D17" i="490"/>
  <c r="G10" i="513"/>
  <c r="G16" i="513" s="1"/>
  <c r="K16" i="513"/>
  <c r="M15" i="519"/>
  <c r="K15" i="519"/>
  <c r="H16" i="513"/>
  <c r="D18" i="512"/>
  <c r="D19" i="450" s="1"/>
  <c r="E18" i="512" s="1"/>
  <c r="E19" i="450" s="1"/>
  <c r="F18" i="512" s="1"/>
  <c r="D17" i="512"/>
  <c r="D18" i="450" s="1"/>
  <c r="E17" i="512" s="1"/>
  <c r="E18" i="450" s="1"/>
  <c r="F17" i="512" s="1"/>
  <c r="D16" i="512"/>
  <c r="D17" i="450" s="1"/>
  <c r="E16" i="512" s="1"/>
  <c r="E17" i="450" s="1"/>
  <c r="F16" i="512" s="1"/>
  <c r="D15" i="512"/>
  <c r="D16" i="450" s="1"/>
  <c r="E15" i="512" s="1"/>
  <c r="E16" i="450" s="1"/>
  <c r="F15" i="512" s="1"/>
  <c r="D12" i="512"/>
  <c r="D13" i="450" s="1"/>
  <c r="E12" i="512" s="1"/>
  <c r="E13" i="450" s="1"/>
  <c r="F12" i="512" s="1"/>
  <c r="C19" i="449"/>
  <c r="H15" i="521"/>
  <c r="J14" i="521"/>
  <c r="F15" i="520"/>
  <c r="H15" i="520" s="1"/>
  <c r="E31" i="494"/>
  <c r="P12" i="513" s="1"/>
  <c r="K16" i="519"/>
  <c r="L16" i="513"/>
  <c r="M16" i="513"/>
  <c r="M14" i="519"/>
  <c r="C33" i="494"/>
  <c r="R10" i="513" s="1"/>
  <c r="I16" i="513"/>
  <c r="J16" i="513"/>
  <c r="K14" i="519"/>
  <c r="C31" i="494"/>
  <c r="P10" i="513" s="1"/>
  <c r="D32" i="494"/>
  <c r="Q11" i="513" s="1"/>
  <c r="L15" i="519"/>
  <c r="M16" i="519"/>
  <c r="E33" i="494"/>
  <c r="R12" i="513" s="1"/>
  <c r="E32" i="494"/>
  <c r="L16" i="519"/>
  <c r="L18" i="519"/>
  <c r="N18" i="519" s="1"/>
  <c r="G32" i="494"/>
  <c r="Q14" i="513" s="1"/>
  <c r="F33" i="494"/>
  <c r="R13" i="513" s="1"/>
  <c r="M17" i="519"/>
  <c r="N16" i="513"/>
  <c r="K17" i="519"/>
  <c r="F31" i="494"/>
  <c r="P13" i="513" s="1"/>
  <c r="L14" i="519"/>
  <c r="C32" i="494"/>
  <c r="Q10" i="513" s="1"/>
  <c r="F32" i="494"/>
  <c r="Q13" i="513" s="1"/>
  <c r="L17" i="519"/>
  <c r="C21" i="512"/>
  <c r="C22" i="450"/>
  <c r="E20" i="450"/>
  <c r="F19" i="512" s="1"/>
  <c r="O11" i="513"/>
  <c r="O13" i="513"/>
  <c r="O14" i="513"/>
  <c r="O10" i="513"/>
  <c r="D13" i="512"/>
  <c r="E11" i="450"/>
  <c r="D11" i="512"/>
  <c r="S10" i="513" l="1"/>
  <c r="C34" i="494"/>
  <c r="N15" i="519"/>
  <c r="G9" i="449"/>
  <c r="E12" i="490" s="1"/>
  <c r="N16" i="519"/>
  <c r="H16" i="521"/>
  <c r="J15" i="521"/>
  <c r="F16" i="520"/>
  <c r="H16" i="520" s="1"/>
  <c r="F34" i="494"/>
  <c r="J9" i="449" s="1"/>
  <c r="E15" i="490" s="1"/>
  <c r="Q12" i="513"/>
  <c r="S12" i="513" s="1"/>
  <c r="E34" i="494"/>
  <c r="I9" i="449" s="1"/>
  <c r="E14" i="490" s="1"/>
  <c r="H34" i="516" s="1"/>
  <c r="S13" i="513"/>
  <c r="N17" i="519"/>
  <c r="S14" i="513"/>
  <c r="S11" i="513"/>
  <c r="P16" i="513"/>
  <c r="R16" i="513"/>
  <c r="G34" i="494"/>
  <c r="K9" i="449" s="1"/>
  <c r="E16" i="490" s="1"/>
  <c r="D34" i="494"/>
  <c r="H9" i="449" s="1"/>
  <c r="E13" i="490" s="1"/>
  <c r="L19" i="519"/>
  <c r="N14" i="519"/>
  <c r="K19" i="519"/>
  <c r="M19" i="519"/>
  <c r="F20" i="450"/>
  <c r="G19" i="512" s="1"/>
  <c r="F19" i="450"/>
  <c r="G18" i="512" s="1"/>
  <c r="F18" i="450"/>
  <c r="G17" i="512" s="1"/>
  <c r="F17" i="450"/>
  <c r="G16" i="512" s="1"/>
  <c r="F16" i="450"/>
  <c r="G15" i="512" s="1"/>
  <c r="O16" i="513"/>
  <c r="F13" i="450"/>
  <c r="G12" i="512" s="1"/>
  <c r="F15" i="450"/>
  <c r="D14" i="450"/>
  <c r="F10" i="512"/>
  <c r="D12" i="450"/>
  <c r="D21" i="512"/>
  <c r="J34" i="516" l="1"/>
  <c r="I34" i="516"/>
  <c r="F34" i="516"/>
  <c r="G34" i="516"/>
  <c r="N19" i="519"/>
  <c r="E13" i="512"/>
  <c r="E14" i="450" s="1"/>
  <c r="F13" i="512" s="1"/>
  <c r="E11" i="512"/>
  <c r="E12" i="450" s="1"/>
  <c r="H17" i="521"/>
  <c r="J16" i="521"/>
  <c r="F17" i="520"/>
  <c r="H17" i="520" s="1"/>
  <c r="E17" i="490"/>
  <c r="Q16" i="513"/>
  <c r="S16" i="513"/>
  <c r="G20" i="450"/>
  <c r="H19" i="512" s="1"/>
  <c r="G19" i="450"/>
  <c r="G18" i="450"/>
  <c r="H17" i="512" s="1"/>
  <c r="G17" i="450"/>
  <c r="H16" i="512" s="1"/>
  <c r="G16" i="450"/>
  <c r="H15" i="512" s="1"/>
  <c r="G13" i="450"/>
  <c r="H12" i="512" s="1"/>
  <c r="G14" i="512"/>
  <c r="F11" i="450"/>
  <c r="G10" i="512" s="1"/>
  <c r="D22" i="450"/>
  <c r="E21" i="512" l="1"/>
  <c r="K34" i="516"/>
  <c r="H18" i="512"/>
  <c r="H19" i="450" s="1"/>
  <c r="I18" i="512" s="1"/>
  <c r="H18" i="521"/>
  <c r="J17" i="521"/>
  <c r="F18" i="520"/>
  <c r="H18" i="520" s="1"/>
  <c r="H20" i="450"/>
  <c r="I19" i="512" s="1"/>
  <c r="H18" i="450"/>
  <c r="I17" i="512" s="1"/>
  <c r="H17" i="450"/>
  <c r="I16" i="512" s="1"/>
  <c r="H16" i="450"/>
  <c r="I15" i="512" s="1"/>
  <c r="G11" i="450"/>
  <c r="H10" i="512" s="1"/>
  <c r="F14" i="450"/>
  <c r="G13" i="512" s="1"/>
  <c r="E22" i="450"/>
  <c r="F11" i="512"/>
  <c r="G15" i="450"/>
  <c r="H13" i="450"/>
  <c r="I12" i="512" s="1"/>
  <c r="H14" i="512" l="1"/>
  <c r="H15" i="450" s="1"/>
  <c r="I14" i="512" s="1"/>
  <c r="H19" i="521"/>
  <c r="J18" i="521"/>
  <c r="F19" i="520"/>
  <c r="H19" i="520" s="1"/>
  <c r="I20" i="450"/>
  <c r="J19" i="512" s="1"/>
  <c r="I19" i="450"/>
  <c r="J18" i="512" s="1"/>
  <c r="I18" i="450"/>
  <c r="J17" i="512" s="1"/>
  <c r="I17" i="450"/>
  <c r="J16" i="512" s="1"/>
  <c r="I16" i="450"/>
  <c r="J15" i="512" s="1"/>
  <c r="H11" i="450"/>
  <c r="I10" i="512" s="1"/>
  <c r="G14" i="450"/>
  <c r="H13" i="512" s="1"/>
  <c r="F12" i="450"/>
  <c r="F21" i="512"/>
  <c r="I13" i="450"/>
  <c r="J12" i="512" s="1"/>
  <c r="H20" i="521" l="1"/>
  <c r="J19" i="521"/>
  <c r="F20" i="520"/>
  <c r="H20" i="520" s="1"/>
  <c r="J20" i="450"/>
  <c r="K19" i="512" s="1"/>
  <c r="K20" i="450" s="1"/>
  <c r="L19" i="512" s="1"/>
  <c r="L20" i="450" s="1"/>
  <c r="J19" i="450"/>
  <c r="K18" i="512" s="1"/>
  <c r="J18" i="450"/>
  <c r="K17" i="512" s="1"/>
  <c r="J17" i="450"/>
  <c r="K16" i="512" s="1"/>
  <c r="J16" i="450"/>
  <c r="K15" i="512" s="1"/>
  <c r="I15" i="450"/>
  <c r="J14" i="512" s="1"/>
  <c r="I11" i="450"/>
  <c r="J10" i="512" s="1"/>
  <c r="J13" i="450"/>
  <c r="K12" i="512" s="1"/>
  <c r="H14" i="450"/>
  <c r="I13" i="512" s="1"/>
  <c r="F22" i="450"/>
  <c r="G11" i="512"/>
  <c r="M19" i="512" l="1"/>
  <c r="O19" i="512" s="1"/>
  <c r="N20" i="450"/>
  <c r="H21" i="521"/>
  <c r="J20" i="521"/>
  <c r="F21" i="520"/>
  <c r="H21" i="520" s="1"/>
  <c r="K19" i="450"/>
  <c r="L18" i="512" s="1"/>
  <c r="K18" i="450"/>
  <c r="L17" i="512" s="1"/>
  <c r="K17" i="450"/>
  <c r="L16" i="512" s="1"/>
  <c r="K16" i="450"/>
  <c r="L15" i="512" s="1"/>
  <c r="I14" i="450"/>
  <c r="J13" i="512" s="1"/>
  <c r="J15" i="450"/>
  <c r="K14" i="512" s="1"/>
  <c r="J11" i="450"/>
  <c r="K10" i="512" s="1"/>
  <c r="G12" i="450"/>
  <c r="H11" i="512" s="1"/>
  <c r="G21" i="512"/>
  <c r="K13" i="450"/>
  <c r="L12" i="512" s="1"/>
  <c r="H22" i="521" l="1"/>
  <c r="J21" i="521"/>
  <c r="F22" i="520"/>
  <c r="H22" i="520" s="1"/>
  <c r="L19" i="450"/>
  <c r="N19" i="450" s="1"/>
  <c r="L18" i="450"/>
  <c r="N18" i="450" s="1"/>
  <c r="L17" i="450"/>
  <c r="N17" i="450" s="1"/>
  <c r="L16" i="450"/>
  <c r="N16" i="450" s="1"/>
  <c r="J14" i="450"/>
  <c r="K13" i="512" s="1"/>
  <c r="L13" i="450"/>
  <c r="N13" i="450" s="1"/>
  <c r="K15" i="450"/>
  <c r="L14" i="512" s="1"/>
  <c r="K11" i="450"/>
  <c r="H12" i="450"/>
  <c r="H22" i="450" s="1"/>
  <c r="H21" i="512"/>
  <c r="G22" i="450"/>
  <c r="H23" i="521" l="1"/>
  <c r="J22" i="521"/>
  <c r="F23" i="520"/>
  <c r="H23" i="520" s="1"/>
  <c r="M18" i="512"/>
  <c r="O18" i="512" s="1"/>
  <c r="M17" i="512"/>
  <c r="O17" i="512" s="1"/>
  <c r="M16" i="512"/>
  <c r="O16" i="512" s="1"/>
  <c r="M15" i="512"/>
  <c r="O15" i="512" s="1"/>
  <c r="I11" i="512"/>
  <c r="I12" i="450" s="1"/>
  <c r="I22" i="450" s="1"/>
  <c r="M12" i="512"/>
  <c r="K14" i="450"/>
  <c r="L13" i="512" s="1"/>
  <c r="L15" i="450"/>
  <c r="N15" i="450" s="1"/>
  <c r="L10" i="512"/>
  <c r="H24" i="521" l="1"/>
  <c r="J23" i="521"/>
  <c r="F24" i="520"/>
  <c r="H24" i="520" s="1"/>
  <c r="F12" i="513"/>
  <c r="G23" i="513" s="1"/>
  <c r="O12" i="512"/>
  <c r="D14" i="449" s="1"/>
  <c r="I21" i="512"/>
  <c r="M14" i="512"/>
  <c r="O14" i="512" s="1"/>
  <c r="D16" i="449" s="1"/>
  <c r="L14" i="450"/>
  <c r="N14" i="450" s="1"/>
  <c r="L11" i="450"/>
  <c r="J11" i="512"/>
  <c r="M10" i="512" l="1"/>
  <c r="F10" i="513" s="1"/>
  <c r="N11" i="450"/>
  <c r="H25" i="521"/>
  <c r="J24" i="521"/>
  <c r="F25" i="520"/>
  <c r="H25" i="520" s="1"/>
  <c r="H26" i="520" s="1"/>
  <c r="H27" i="520" s="1"/>
  <c r="H28" i="520" s="1"/>
  <c r="H29" i="520" s="1"/>
  <c r="H30" i="520" s="1"/>
  <c r="H31" i="520" s="1"/>
  <c r="H32" i="520" s="1"/>
  <c r="H33" i="520" s="1"/>
  <c r="H34" i="520" s="1"/>
  <c r="H35" i="520" s="1"/>
  <c r="T12" i="513"/>
  <c r="F14" i="513"/>
  <c r="T14" i="513" s="1"/>
  <c r="M13" i="512"/>
  <c r="F13" i="513" s="1"/>
  <c r="O10" i="512"/>
  <c r="H23" i="513"/>
  <c r="I23" i="513" s="1"/>
  <c r="J23" i="513" s="1"/>
  <c r="K23" i="513" s="1"/>
  <c r="L23" i="513" s="1"/>
  <c r="M23" i="513" s="1"/>
  <c r="N23" i="513" s="1"/>
  <c r="O23" i="513" s="1"/>
  <c r="P23" i="513" s="1"/>
  <c r="Q23" i="513" s="1"/>
  <c r="R23" i="513" s="1"/>
  <c r="J12" i="450"/>
  <c r="J22" i="450" s="1"/>
  <c r="J21" i="512"/>
  <c r="H26" i="521" l="1"/>
  <c r="J25" i="521"/>
  <c r="F36" i="520"/>
  <c r="H36" i="520"/>
  <c r="G25" i="513"/>
  <c r="H25" i="513" s="1"/>
  <c r="I25" i="513" s="1"/>
  <c r="J25" i="513" s="1"/>
  <c r="K25" i="513" s="1"/>
  <c r="L25" i="513" s="1"/>
  <c r="M25" i="513" s="1"/>
  <c r="N25" i="513" s="1"/>
  <c r="O25" i="513" s="1"/>
  <c r="P25" i="513" s="1"/>
  <c r="Q25" i="513" s="1"/>
  <c r="R25" i="513" s="1"/>
  <c r="O13" i="512"/>
  <c r="D15" i="449" s="1"/>
  <c r="K11" i="512"/>
  <c r="G21" i="513"/>
  <c r="T10" i="513"/>
  <c r="S23" i="513"/>
  <c r="E14" i="449" s="1"/>
  <c r="F14" i="449" s="1"/>
  <c r="I14" i="449" s="1"/>
  <c r="G24" i="513"/>
  <c r="T13" i="513"/>
  <c r="D12" i="449"/>
  <c r="I19" i="449" l="1"/>
  <c r="H36" i="516"/>
  <c r="H27" i="521"/>
  <c r="J26" i="521"/>
  <c r="F37" i="520"/>
  <c r="H37" i="520" s="1"/>
  <c r="H24" i="513"/>
  <c r="I24" i="513" s="1"/>
  <c r="J24" i="513" s="1"/>
  <c r="K24" i="513" s="1"/>
  <c r="L24" i="513" s="1"/>
  <c r="M24" i="513" s="1"/>
  <c r="N24" i="513" s="1"/>
  <c r="O24" i="513" s="1"/>
  <c r="P24" i="513" s="1"/>
  <c r="Q24" i="513" s="1"/>
  <c r="R24" i="513" s="1"/>
  <c r="H21" i="513"/>
  <c r="K12" i="450"/>
  <c r="K22" i="450" s="1"/>
  <c r="K21" i="512"/>
  <c r="S25" i="513"/>
  <c r="E16" i="449" s="1"/>
  <c r="F16" i="449" s="1"/>
  <c r="K16" i="449" s="1"/>
  <c r="K19" i="449" l="1"/>
  <c r="J36" i="516"/>
  <c r="H28" i="521"/>
  <c r="H29" i="521" s="1"/>
  <c r="H30" i="521" s="1"/>
  <c r="H31" i="521" s="1"/>
  <c r="H32" i="521" s="1"/>
  <c r="H33" i="521" s="1"/>
  <c r="H34" i="521" s="1"/>
  <c r="H35" i="521" s="1"/>
  <c r="H36" i="521" s="1"/>
  <c r="H37" i="521" s="1"/>
  <c r="H38" i="521" s="1"/>
  <c r="H39" i="521" s="1"/>
  <c r="J27" i="521"/>
  <c r="F38" i="520"/>
  <c r="H38" i="520" s="1"/>
  <c r="H39" i="520" s="1"/>
  <c r="I21" i="513"/>
  <c r="L11" i="512"/>
  <c r="S24" i="513"/>
  <c r="E15" i="449" s="1"/>
  <c r="F15" i="449" s="1"/>
  <c r="J15" i="449" s="1"/>
  <c r="J19" i="449" l="1"/>
  <c r="I36" i="516"/>
  <c r="F40" i="521"/>
  <c r="H40" i="521"/>
  <c r="F40" i="520"/>
  <c r="H40" i="520"/>
  <c r="J21" i="513"/>
  <c r="L12" i="450"/>
  <c r="L21" i="512"/>
  <c r="M11" i="512" l="1"/>
  <c r="M21" i="512" s="1"/>
  <c r="N12" i="450"/>
  <c r="N22" i="450" s="1"/>
  <c r="F41" i="521"/>
  <c r="H41" i="521" s="1"/>
  <c r="F41" i="520"/>
  <c r="H41" i="520" s="1"/>
  <c r="L22" i="450"/>
  <c r="K21" i="513"/>
  <c r="F11" i="513" l="1"/>
  <c r="G22" i="513" s="1"/>
  <c r="O11" i="512"/>
  <c r="D13" i="449" s="1"/>
  <c r="F42" i="521"/>
  <c r="H42" i="521" s="1"/>
  <c r="F42" i="520"/>
  <c r="H42" i="520" s="1"/>
  <c r="L21" i="513"/>
  <c r="O21" i="512"/>
  <c r="T11" i="513" l="1"/>
  <c r="T16" i="513" s="1"/>
  <c r="F16" i="513"/>
  <c r="F43" i="521"/>
  <c r="H43" i="521" s="1"/>
  <c r="F43" i="520"/>
  <c r="H43" i="520" s="1"/>
  <c r="H22" i="513"/>
  <c r="G27" i="513"/>
  <c r="D19" i="449"/>
  <c r="M21" i="513"/>
  <c r="F44" i="521" l="1"/>
  <c r="H44" i="521" s="1"/>
  <c r="F44" i="520"/>
  <c r="H44" i="520" s="1"/>
  <c r="I22" i="513"/>
  <c r="H27" i="513"/>
  <c r="N21" i="513"/>
  <c r="F45" i="521" l="1"/>
  <c r="H45" i="521" s="1"/>
  <c r="F45" i="520"/>
  <c r="H45" i="520" s="1"/>
  <c r="O21" i="513"/>
  <c r="J22" i="513"/>
  <c r="I27" i="513"/>
  <c r="F46" i="521" l="1"/>
  <c r="H46" i="521" s="1"/>
  <c r="F46" i="520"/>
  <c r="H46" i="520" s="1"/>
  <c r="P21" i="513"/>
  <c r="K22" i="513"/>
  <c r="J27" i="513"/>
  <c r="F47" i="521" l="1"/>
  <c r="H47" i="521" s="1"/>
  <c r="F47" i="520"/>
  <c r="H47" i="520" s="1"/>
  <c r="Q21" i="513"/>
  <c r="L22" i="513"/>
  <c r="K27" i="513"/>
  <c r="F48" i="521" l="1"/>
  <c r="H48" i="521" s="1"/>
  <c r="F48" i="520"/>
  <c r="H48" i="520" s="1"/>
  <c r="M22" i="513"/>
  <c r="L27" i="513"/>
  <c r="R21" i="513"/>
  <c r="F49" i="521" l="1"/>
  <c r="H49" i="521" s="1"/>
  <c r="F49" i="520"/>
  <c r="H49" i="520" s="1"/>
  <c r="S21" i="513"/>
  <c r="N22" i="513"/>
  <c r="M27" i="513"/>
  <c r="F50" i="521" l="1"/>
  <c r="H50" i="521"/>
  <c r="H51" i="521" s="1"/>
  <c r="F50" i="520"/>
  <c r="H50" i="520" s="1"/>
  <c r="O22" i="513"/>
  <c r="N27" i="513"/>
  <c r="E12" i="449"/>
  <c r="F52" i="521" l="1"/>
  <c r="H52" i="521"/>
  <c r="F51" i="520"/>
  <c r="H51" i="520" s="1"/>
  <c r="H52" i="520" s="1"/>
  <c r="F12" i="449"/>
  <c r="P22" i="513"/>
  <c r="O27" i="513"/>
  <c r="F53" i="521" l="1"/>
  <c r="H53" i="521"/>
  <c r="F53" i="520"/>
  <c r="H53" i="520"/>
  <c r="Q22" i="513"/>
  <c r="P27" i="513"/>
  <c r="G12" i="449"/>
  <c r="F54" i="521" l="1"/>
  <c r="H54" i="521"/>
  <c r="G19" i="449"/>
  <c r="F36" i="516"/>
  <c r="F54" i="520"/>
  <c r="H54" i="520" s="1"/>
  <c r="R22" i="513"/>
  <c r="Q27" i="513"/>
  <c r="F55" i="521" l="1"/>
  <c r="H55" i="521" s="1"/>
  <c r="F56" i="521" s="1"/>
  <c r="H56" i="521" s="1"/>
  <c r="F55" i="520"/>
  <c r="H55" i="520" s="1"/>
  <c r="S22" i="513"/>
  <c r="R27" i="513"/>
  <c r="F57" i="521" l="1"/>
  <c r="H57" i="521" s="1"/>
  <c r="F56" i="520"/>
  <c r="H56" i="520"/>
  <c r="E13" i="449"/>
  <c r="S27" i="513"/>
  <c r="F58" i="521" l="1"/>
  <c r="H58" i="521"/>
  <c r="F57" i="520"/>
  <c r="H57" i="520" s="1"/>
  <c r="F13" i="449"/>
  <c r="E19" i="449"/>
  <c r="F59" i="521" l="1"/>
  <c r="H59" i="521" s="1"/>
  <c r="F58" i="520"/>
  <c r="H58" i="520" s="1"/>
  <c r="H13" i="449"/>
  <c r="F19" i="449"/>
  <c r="F60" i="521" l="1"/>
  <c r="H60" i="521" s="1"/>
  <c r="H19" i="449"/>
  <c r="G36" i="516"/>
  <c r="F59" i="520"/>
  <c r="H59" i="520" s="1"/>
  <c r="G24" i="516"/>
  <c r="G25" i="516" s="1"/>
  <c r="F61" i="521" l="1"/>
  <c r="H61" i="521" s="1"/>
  <c r="F60" i="520"/>
  <c r="H60" i="520"/>
  <c r="F62" i="521" l="1"/>
  <c r="H62" i="521"/>
  <c r="F61" i="520"/>
  <c r="H61" i="520"/>
  <c r="F63" i="521" l="1"/>
  <c r="H63" i="521"/>
  <c r="H64" i="521" s="1"/>
  <c r="F62" i="520"/>
  <c r="H62" i="520" s="1"/>
  <c r="F40" i="516"/>
  <c r="F42" i="516" s="1"/>
  <c r="F44" i="516" s="1"/>
  <c r="F46" i="516" s="1"/>
  <c r="F48" i="516" s="1"/>
  <c r="G40" i="516"/>
  <c r="G42" i="516" s="1"/>
  <c r="G44" i="516" s="1"/>
  <c r="G46" i="516" s="1"/>
  <c r="G48" i="516" s="1"/>
  <c r="I40" i="516"/>
  <c r="I42" i="516" s="1"/>
  <c r="I44" i="516" s="1"/>
  <c r="I46" i="516" s="1"/>
  <c r="I48" i="516" s="1"/>
  <c r="H40" i="516"/>
  <c r="H42" i="516" s="1"/>
  <c r="H44" i="516" s="1"/>
  <c r="H46" i="516" s="1"/>
  <c r="H48" i="516" s="1"/>
  <c r="J40" i="516"/>
  <c r="J42" i="516" s="1"/>
  <c r="J44" i="516" s="1"/>
  <c r="J46" i="516" s="1"/>
  <c r="J48" i="516" s="1"/>
  <c r="F65" i="521" l="1"/>
  <c r="H65" i="521" s="1"/>
  <c r="F66" i="521" s="1"/>
  <c r="H66" i="521" s="1"/>
  <c r="F63" i="520"/>
  <c r="H63" i="520" s="1"/>
  <c r="K42" i="516"/>
  <c r="J21" i="449"/>
  <c r="J22" i="449" s="1"/>
  <c r="E15" i="483" s="1"/>
  <c r="I50" i="516"/>
  <c r="I52" i="516" s="1"/>
  <c r="I54" i="516" s="1"/>
  <c r="J50" i="516"/>
  <c r="J52" i="516" s="1"/>
  <c r="J54" i="516" s="1"/>
  <c r="K21" i="449"/>
  <c r="K22" i="449" s="1"/>
  <c r="E16" i="483" s="1"/>
  <c r="G50" i="516"/>
  <c r="G52" i="516" s="1"/>
  <c r="G54" i="516" s="1"/>
  <c r="H21" i="449"/>
  <c r="H22" i="449" s="1"/>
  <c r="E13" i="483" s="1"/>
  <c r="I21" i="449"/>
  <c r="I22" i="449" s="1"/>
  <c r="E14" i="483" s="1"/>
  <c r="H50" i="516"/>
  <c r="H52" i="516" s="1"/>
  <c r="H54" i="516" s="1"/>
  <c r="G21" i="449"/>
  <c r="G22" i="449" s="1"/>
  <c r="E12" i="483" s="1"/>
  <c r="F12" i="483" s="1"/>
  <c r="F50" i="516"/>
  <c r="F52" i="516" s="1"/>
  <c r="F64" i="520" l="1"/>
  <c r="H64" i="520"/>
  <c r="H65" i="520" s="1"/>
  <c r="G16" i="483"/>
  <c r="F16" i="483"/>
  <c r="F13" i="483"/>
  <c r="G13" i="483"/>
  <c r="K52" i="516"/>
  <c r="F54" i="516"/>
  <c r="G14" i="483"/>
  <c r="F14" i="483"/>
  <c r="G12" i="483"/>
  <c r="F15" i="483"/>
  <c r="G15" i="483"/>
  <c r="F66" i="520" l="1"/>
  <c r="H66" i="520" s="1"/>
  <c r="F67" i="520" s="1"/>
  <c r="H67" i="520" s="1"/>
  <c r="F68" i="520" s="1"/>
  <c r="H68" i="520" s="1"/>
  <c r="M30" i="472"/>
  <c r="N30" i="472" s="1"/>
  <c r="J14" i="490"/>
  <c r="J15" i="490"/>
  <c r="M20" i="472"/>
  <c r="M19" i="472"/>
  <c r="J13" i="490"/>
  <c r="H18" i="523" s="1"/>
  <c r="I18" i="523" s="1"/>
  <c r="J18" i="523" s="1"/>
  <c r="K18" i="523" s="1"/>
  <c r="M34" i="472"/>
  <c r="N34" i="472" s="1"/>
  <c r="J16" i="490"/>
  <c r="M12" i="472"/>
  <c r="J12" i="490"/>
  <c r="H16" i="523" s="1"/>
  <c r="I16" i="523" s="1"/>
  <c r="J16" i="523" s="1"/>
  <c r="K16" i="523" s="1"/>
  <c r="F69" i="520" l="1"/>
  <c r="H69" i="520" s="1"/>
  <c r="F70" i="520" s="1"/>
  <c r="H70" i="520" s="1"/>
  <c r="H34" i="523"/>
  <c r="H33" i="523"/>
  <c r="H23" i="523"/>
  <c r="H22" i="523"/>
  <c r="I22" i="523" s="1"/>
  <c r="H21" i="523"/>
  <c r="I21" i="523" s="1"/>
  <c r="H27" i="523"/>
  <c r="I27" i="523" s="1"/>
  <c r="H28" i="523"/>
  <c r="I28" i="523" s="1"/>
  <c r="H29" i="523"/>
  <c r="I29" i="523" s="1"/>
  <c r="O34" i="472"/>
  <c r="N39" i="472"/>
  <c r="O39" i="472" s="1"/>
  <c r="M24" i="472"/>
  <c r="N24" i="472" s="1"/>
  <c r="N19" i="472"/>
  <c r="M23" i="472"/>
  <c r="N23" i="472" s="1"/>
  <c r="K15" i="490"/>
  <c r="L15" i="490" s="1"/>
  <c r="K14" i="490"/>
  <c r="L14" i="490" s="1"/>
  <c r="K16" i="490"/>
  <c r="L16" i="490" s="1"/>
  <c r="K13" i="490"/>
  <c r="L13" i="490" s="1"/>
  <c r="N20" i="472"/>
  <c r="O20" i="472" s="1"/>
  <c r="M31" i="472"/>
  <c r="N31" i="472" s="1"/>
  <c r="O31" i="472" s="1"/>
  <c r="K12" i="490"/>
  <c r="N12" i="472"/>
  <c r="M15" i="472"/>
  <c r="N15" i="472" s="1"/>
  <c r="M16" i="472"/>
  <c r="N16" i="472" s="1"/>
  <c r="O30" i="472"/>
  <c r="I30" i="523" l="1"/>
  <c r="J30" i="523" s="1"/>
  <c r="K30" i="523" s="1"/>
  <c r="I24" i="523"/>
  <c r="J24" i="523" s="1"/>
  <c r="K24" i="523" s="1"/>
  <c r="I33" i="523"/>
  <c r="I35" i="523" s="1"/>
  <c r="J35" i="523" s="1"/>
  <c r="K35" i="523" s="1"/>
  <c r="F71" i="520"/>
  <c r="H71" i="520" s="1"/>
  <c r="F72" i="520" s="1"/>
  <c r="H72" i="520" s="1"/>
  <c r="N28" i="472"/>
  <c r="O28" i="472" s="1"/>
  <c r="O19" i="472"/>
  <c r="N17" i="472"/>
  <c r="O12" i="472"/>
  <c r="K17" i="490"/>
  <c r="L12" i="490"/>
  <c r="N32" i="472"/>
  <c r="O32" i="472" s="1"/>
  <c r="F73" i="520" l="1"/>
  <c r="H73" i="520"/>
  <c r="F74" i="520" s="1"/>
  <c r="L17" i="490"/>
  <c r="O17" i="472"/>
  <c r="N40" i="472"/>
  <c r="H74" i="520" l="1"/>
  <c r="F75" i="520" s="1"/>
  <c r="H75" i="520" s="1"/>
  <c r="F76" i="520" s="1"/>
  <c r="H76" i="520" s="1"/>
  <c r="F77" i="520" s="1"/>
  <c r="H78" i="520" s="1"/>
  <c r="O40" i="472"/>
  <c r="N47" i="472"/>
  <c r="O47" i="472" s="1"/>
  <c r="F79" i="520" l="1"/>
  <c r="H79" i="520" s="1"/>
  <c r="F80" i="520" l="1"/>
  <c r="H80" i="520" s="1"/>
</calcChain>
</file>

<file path=xl/sharedStrings.xml><?xml version="1.0" encoding="utf-8"?>
<sst xmlns="http://schemas.openxmlformats.org/spreadsheetml/2006/main" count="840" uniqueCount="367">
  <si>
    <t>Description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</si>
  <si>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</si>
  <si>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</si>
  <si>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</si>
  <si>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</si>
  <si>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</si>
  <si>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</si>
  <si>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</si>
  <si>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</si>
  <si>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(a)</t>
  </si>
  <si>
    <t>(b)</t>
  </si>
  <si>
    <t>(c)</t>
  </si>
  <si>
    <t>(d)</t>
  </si>
  <si>
    <t>(e)</t>
  </si>
  <si>
    <t>(j)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</si>
  <si>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</si>
  <si>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</si>
  <si>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</si>
  <si>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</si>
  <si>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</si>
  <si>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</si>
  <si>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</si>
  <si>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</si>
  <si>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</si>
  <si>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</si>
  <si>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</si>
  <si>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Total Interest</t>
  </si>
  <si>
    <t>Amort.</t>
  </si>
  <si>
    <t xml:space="preserve">through </t>
  </si>
  <si>
    <t>Acct</t>
  </si>
  <si>
    <t>685/686</t>
  </si>
  <si>
    <t>Market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</si>
  <si>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</si>
  <si>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</si>
  <si>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</si>
  <si>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</si>
  <si>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</si>
  <si>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</si>
  <si>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</si>
  <si>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</si>
  <si>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</si>
  <si>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</si>
  <si>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</si>
  <si>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</si>
  <si>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</si>
  <si>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</si>
  <si>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</si>
  <si>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</si>
  <si>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</si>
  <si>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</si>
  <si>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</si>
  <si>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</si>
  <si>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</si>
  <si>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</si>
  <si>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</si>
  <si>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</si>
  <si>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</si>
  <si>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</si>
  <si>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</si>
  <si>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</si>
  <si>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</si>
  <si>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</si>
  <si>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</si>
  <si>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</si>
  <si>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</si>
  <si>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</si>
  <si>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</si>
  <si>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</si>
  <si>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</si>
  <si>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</si>
  <si>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</si>
  <si>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</si>
  <si>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</si>
  <si>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</si>
  <si>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</si>
  <si>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</si>
  <si>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</si>
  <si>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</si>
  <si>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</si>
  <si>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</si>
  <si>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</si>
  <si>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</si>
  <si>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</si>
  <si>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</si>
  <si>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</si>
  <si>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</si>
  <si>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</si>
  <si>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</si>
  <si>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</si>
  <si>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</si>
  <si>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</si>
  <si>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</si>
  <si>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</si>
  <si>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</si>
  <si>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</si>
  <si>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</si>
  <si>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</si>
  <si>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</si>
  <si>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</si>
  <si>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</si>
  <si>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</si>
  <si>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</si>
  <si>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</si>
  <si>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</si>
  <si>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</si>
  <si>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</si>
  <si>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</si>
  <si>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</si>
  <si>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</si>
  <si>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</si>
  <si>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</si>
  <si>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</si>
  <si>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</si>
  <si>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</si>
  <si>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</si>
  <si>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</si>
  <si>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</si>
  <si>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</si>
  <si>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</si>
  <si>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</si>
  <si>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</si>
  <si>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</si>
  <si>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</si>
  <si>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</si>
  <si>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</si>
  <si>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</si>
  <si>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</si>
  <si>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</si>
  <si>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</si>
  <si>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Line No.</t>
  </si>
  <si>
    <t>Interest Accruals Through Am.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</si>
  <si>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</si>
  <si>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</si>
  <si>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</si>
  <si>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</si>
  <si>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</si>
  <si>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</si>
  <si>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</si>
  <si>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</si>
  <si>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</si>
  <si>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</si>
  <si>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Page 2 of 5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</si>
  <si>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</si>
  <si>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</si>
  <si>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</si>
  <si>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</si>
  <si>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</si>
  <si>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</si>
  <si>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</si>
  <si>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</si>
  <si>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</si>
  <si>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</si>
  <si>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</si>
  <si>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</si>
  <si>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</si>
  <si>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</si>
  <si>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</si>
  <si>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</si>
  <si>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</si>
  <si>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</si>
  <si>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</si>
  <si>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</si>
  <si>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</si>
  <si>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</si>
  <si>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</si>
  <si>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</si>
  <si>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</si>
  <si>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</si>
  <si>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</si>
  <si>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</si>
  <si>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</si>
  <si>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</si>
  <si>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EOM</t>
  </si>
  <si>
    <t>LM</t>
  </si>
  <si>
    <t>Percentage</t>
  </si>
  <si>
    <t>Annual and Monthly Interest Rate</t>
  </si>
  <si>
    <t>WASHINGTON 11/2017 AMORTIZATION OF DEFERRAL ACCOUNTS APPLICATION</t>
  </si>
  <si>
    <t>CORE Decoupling</t>
  </si>
  <si>
    <t>Rule 21 Decoupling Mechanism</t>
  </si>
  <si>
    <t>Reverse Prior Decoupling Rate Adj.</t>
  </si>
  <si>
    <t>RATE ADDITION SCHEDULE NO. 594</t>
  </si>
  <si>
    <t>Incremental R/S 594 Rate Change</t>
  </si>
  <si>
    <t>Posted R/S 594 Tariff Rate</t>
  </si>
  <si>
    <t>Decoupling</t>
  </si>
  <si>
    <t>Consolidation of accounts related to core decoupling</t>
  </si>
  <si>
    <t>DECOUPLING</t>
  </si>
  <si>
    <t>Total</t>
  </si>
  <si>
    <t>CASCADE NATURAL GAS CORPORATION</t>
  </si>
  <si>
    <t>EXHIBIT A</t>
  </si>
  <si>
    <t>Page</t>
  </si>
  <si>
    <t>DMA CALCULATION OF PER THERM RATES TO AMORTIZE DEFERRED ACCOUNTS</t>
  </si>
  <si>
    <t>DMA Exhibit A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</si>
  <si>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</si>
  <si>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</si>
  <si>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</si>
  <si>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</si>
  <si>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</si>
  <si>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Decoupling Mechanism</t>
  </si>
  <si>
    <t xml:space="preserve">TOTAL </t>
  </si>
  <si>
    <t>DMA Proposed Typical Monthly Bill by Class</t>
  </si>
  <si>
    <t>TABLE OF CONTENTS</t>
  </si>
  <si>
    <t>Decoupling Related Temporary Rate Adj.</t>
  </si>
  <si>
    <t xml:space="preserve"> (e)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</si>
  <si>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</si>
  <si>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</si>
  <si>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</si>
  <si>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</si>
  <si>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</si>
  <si>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</si>
  <si>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</si>
  <si>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</si>
  <si>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</si>
  <si>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</si>
  <si>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</si>
  <si>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</si>
  <si>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Forecasted</t>
  </si>
  <si>
    <t>TEST PERIOD VOLUME - WEATHER NORMALIZED</t>
  </si>
  <si>
    <t>Estimated</t>
  </si>
  <si>
    <t xml:space="preserve"> AMORT</t>
  </si>
  <si>
    <t>Amortization thru</t>
  </si>
  <si>
    <t>RATE</t>
  </si>
  <si>
    <t>Amortization</t>
  </si>
  <si>
    <t>Total Monthly Amortization</t>
  </si>
  <si>
    <t>State:</t>
  </si>
  <si>
    <t>Washington</t>
  </si>
  <si>
    <t>Description:</t>
  </si>
  <si>
    <t>Account number:</t>
  </si>
  <si>
    <t>47WA.1862.20477</t>
  </si>
  <si>
    <t>Class of customers:</t>
  </si>
  <si>
    <t>Deferral period:</t>
  </si>
  <si>
    <t>Amortization period:</t>
  </si>
  <si>
    <t>n/a</t>
  </si>
  <si>
    <t>Narrative:</t>
  </si>
  <si>
    <t>To record deferral activity for the Washington Decoupling Mechanism (Rule 21)</t>
  </si>
  <si>
    <t>Debit (Credit)</t>
  </si>
  <si>
    <t>Month/ Year</t>
  </si>
  <si>
    <t>Therms</t>
  </si>
  <si>
    <t>Adjustments</t>
  </si>
  <si>
    <t>Deferred Balance</t>
  </si>
  <si>
    <t>Balance forward 08/31/2016</t>
  </si>
  <si>
    <t>Balance transferred to 20480</t>
  </si>
  <si>
    <t>47WA.1862.20480</t>
  </si>
  <si>
    <t>503-Residential</t>
  </si>
  <si>
    <t>504-Commercial</t>
  </si>
  <si>
    <t>505-Industrial</t>
  </si>
  <si>
    <t>511-Large Volume</t>
  </si>
  <si>
    <t>570-Interruptible Commercial</t>
  </si>
  <si>
    <t>Rule 21 Decoupling Mechanism-Amort.</t>
  </si>
  <si>
    <t xml:space="preserve">Rolled Into </t>
  </si>
  <si>
    <t xml:space="preserve">Account Number </t>
  </si>
  <si>
    <t>Consolidated Account</t>
  </si>
  <si>
    <t>Rule 21 Decoupling Mechanism &amp; Amort.</t>
  </si>
  <si>
    <t>Amortization of previously deferred WA Decoupling Mechanism adjustments</t>
  </si>
  <si>
    <t>General Ledger Balance</t>
  </si>
  <si>
    <t>Difference to G/L Balance</t>
  </si>
  <si>
    <t>Reconciled By</t>
  </si>
  <si>
    <t>Date Reconciled</t>
  </si>
  <si>
    <t>Balance transferred from RA20477</t>
  </si>
  <si>
    <t>Various</t>
  </si>
  <si>
    <t>T Durado</t>
  </si>
  <si>
    <t>Earnings Test</t>
  </si>
  <si>
    <t>Cascade Natural Gas</t>
  </si>
  <si>
    <t>Adjusted Revenues from CBR</t>
  </si>
  <si>
    <t>Actual</t>
  </si>
  <si>
    <t>11/01/2019 through 10/31/2020</t>
  </si>
  <si>
    <t>10/1/19 to 9/30/20</t>
  </si>
  <si>
    <t>DMA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</si>
  <si>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</si>
  <si>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</si>
  <si>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</si>
  <si>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</si>
  <si>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</si>
  <si>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</si>
  <si>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Commerical</t>
  </si>
  <si>
    <t>Industrial</t>
  </si>
  <si>
    <t>Com-Ind</t>
  </si>
  <si>
    <t>Indust. Interr.</t>
  </si>
  <si>
    <t>Total WA</t>
  </si>
  <si>
    <t>Proposed Decoupling Recovery Rates</t>
  </si>
  <si>
    <t xml:space="preserve">Present Decoupling Surcharge Recovery Rates </t>
  </si>
  <si>
    <t>Incremental Decoupling Recovery Rates</t>
  </si>
  <si>
    <t>Incremental Decoupling Recovery</t>
  </si>
  <si>
    <t>3% Test Adjustment (2)</t>
  </si>
  <si>
    <t>(2)  The carryover balances will differ from the 3% adjustment amounts due to the revenue related expense gross up partially offset by additional interest on the outstanding balance during the amortization period.</t>
  </si>
  <si>
    <t>Notes:</t>
  </si>
  <si>
    <t>3% Test Rate Adjustment (1)</t>
  </si>
  <si>
    <t>Notes</t>
  </si>
  <si>
    <t>See page 6 Exhibit A for earnings test and 3% test adjustment calculations.</t>
  </si>
  <si>
    <t>Final Proposed Decoupling Rate</t>
  </si>
  <si>
    <t>(1)</t>
  </si>
  <si>
    <t>Results of Operations Summary Sheet</t>
  </si>
  <si>
    <t xml:space="preserve">REVENUE SENSITIVE COSTS </t>
  </si>
  <si>
    <t xml:space="preserve">  Revenues</t>
  </si>
  <si>
    <t>Operating Revenue Deductions</t>
  </si>
  <si>
    <t>Uncollectible Accounts</t>
  </si>
  <si>
    <t>State B&amp;O Tax</t>
  </si>
  <si>
    <t>UTC Fees</t>
  </si>
  <si>
    <t>Interest expense</t>
  </si>
  <si>
    <t>State Taxable Income</t>
  </si>
  <si>
    <t>State Income Tax</t>
  </si>
  <si>
    <t>Federal Taxable Income</t>
  </si>
  <si>
    <t>Federal Income Tax @ 21%</t>
  </si>
  <si>
    <t>Total Income Taxes</t>
  </si>
  <si>
    <t>Total Revenue Sensitive Costs</t>
  </si>
  <si>
    <t>RESULTS OF OPERATIONS SUMMARY SHEET</t>
  </si>
  <si>
    <t xml:space="preserve">Net-to-Gross Factor </t>
  </si>
  <si>
    <t>Combo-State &amp; Federal Income Tax</t>
  </si>
  <si>
    <t xml:space="preserve">  State</t>
  </si>
  <si>
    <t xml:space="preserve">  Federal </t>
  </si>
  <si>
    <t>State and Federal Effective Tax Rate</t>
  </si>
  <si>
    <t>FOR TWELVE MONTHS ENDED 6/30/08</t>
  </si>
  <si>
    <t>Current</t>
  </si>
  <si>
    <t>Basic</t>
  </si>
  <si>
    <t>Bill</t>
  </si>
  <si>
    <t>Type of Service</t>
  </si>
  <si>
    <t>Therm Used</t>
  </si>
  <si>
    <t>Service Charge</t>
  </si>
  <si>
    <t>Billing Rates</t>
  </si>
  <si>
    <t>Average Bill</t>
  </si>
  <si>
    <t>Difference</t>
  </si>
  <si>
    <t>% Bill Change</t>
  </si>
  <si>
    <t>e=c+(b*d)</t>
  </si>
  <si>
    <t>g=c+(b*f)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</si>
  <si>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</si>
  <si>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</si>
  <si>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</si>
  <si>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</si>
  <si>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</si>
  <si>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</si>
  <si>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</si>
  <si>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Com-Ind Dual Service, Schedule 511</t>
  </si>
  <si>
    <t>Total 511</t>
  </si>
  <si>
    <t>Industrial Interruptible, Schedule 570</t>
  </si>
  <si>
    <t>First 30,000 therms</t>
  </si>
  <si>
    <t>Over 30,000 therms</t>
  </si>
  <si>
    <t>Total 570</t>
  </si>
  <si>
    <t>DMA Effect</t>
  </si>
  <si>
    <t>DMA Effects</t>
  </si>
  <si>
    <t>CNGC Advice W22-09-03</t>
  </si>
  <si>
    <t>Account Balance 12/31/2021</t>
  </si>
  <si>
    <t>FOR TWELVE MONTHS ENDED 12/31/2021</t>
  </si>
  <si>
    <t>2021 Deferrals</t>
  </si>
  <si>
    <t>2021 Commission Basis Earnings Test for Decoupling</t>
  </si>
  <si>
    <t>2021 Total Earnings Test Sharing</t>
  </si>
  <si>
    <t>2022 Decoupling Deferral Balance</t>
  </si>
  <si>
    <t>Deferral Balances at 12/31/2021</t>
  </si>
  <si>
    <t>(Source:  WAC 480-90-233 Monthly Deferral Reporting for period ending 12/31/2021)</t>
  </si>
  <si>
    <t>Balance 12/31/21</t>
  </si>
  <si>
    <t>ESTIMATED BALANCES FOR DEFERRED ACCOUNTS PERIOD ENDING: 10/31/2022</t>
  </si>
  <si>
    <t>10/31/2022
Balance</t>
  </si>
  <si>
    <t>INTEREST CALCULATIONS FOR AMORTIZATION PERIOD 11/1/2022 TO 10/31/2023</t>
  </si>
  <si>
    <t>Twelve Months Ended December 31, 2019</t>
  </si>
  <si>
    <t>BASED UPON THE  TWELVE MONTHS ENDED 7/31/2022</t>
  </si>
  <si>
    <t>Interest Assignments &amp; Amortization through 10/31/2022</t>
  </si>
  <si>
    <t>Revenue From 2021 Normalized Loads and Customers at Present Billing Rates (1)</t>
  </si>
  <si>
    <t>August 2022 - July 2023 Usage</t>
  </si>
  <si>
    <t>(1)  Revenue from 2021 normalized loads and customers at present billing rates effective since November 1, 2021.</t>
  </si>
  <si>
    <t xml:space="preserve"> (f)</t>
  </si>
  <si>
    <t>(k)</t>
  </si>
  <si>
    <t>UG-210755</t>
  </si>
  <si>
    <t>Estimated Amortization Thru 10/31/2022 on Balances Currently Amortizing</t>
  </si>
  <si>
    <t>Bills and Revenues Based Upon the Twelve Months Ended 7/31/22</t>
  </si>
  <si>
    <t>Decoupling AMOUNT OF CHANGE BY RATE SCHEDULE</t>
  </si>
  <si>
    <t>Page 1 of 5</t>
  </si>
  <si>
    <t>Page 3 of 5</t>
  </si>
  <si>
    <t>Page 4 of 5</t>
  </si>
  <si>
    <t>Page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</si>
</sst>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#,##0.00;[Red]\(#,##0.00\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* #,##0.00000_);_(* \(#,##0.00000\);_(* &quot;-&quot;??_);_(@_)"/>
    <numFmt numFmtId="172" formatCode="0_)"/>
    <numFmt numFmtId="173" formatCode="0.0000%"/>
    <numFmt numFmtId="174" formatCode="0.0000000%"/>
    <numFmt numFmtId="175" formatCode="0.00\ 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0.0"/>
    <numFmt numFmtId="180" formatCode="0.000_)"/>
    <numFmt numFmtId="181" formatCode="_-* #,##0.00_-;\-* #,##0.00_-;_-* &quot;-&quot;??_-;_-@_-"/>
    <numFmt numFmtId="182" formatCode="0.0_)"/>
    <numFmt numFmtId="183" formatCode="#,##0.0"/>
    <numFmt numFmtId="184" formatCode="&quot;$&quot;#,##0\ ;\(&quot;$&quot;#,##0\)"/>
    <numFmt numFmtId="185" formatCode="m/d/yy\ h:mm"/>
    <numFmt numFmtId="186" formatCode="0.00\ ;\-0.00\ ;&quot;- &quot;"/>
    <numFmt numFmtId="187" formatCode="#,##0_);\(#,##0\);&quot;–&quot;_;&quot;&quot;"/>
    <numFmt numFmtId="188" formatCode="#,##0\ &quot;Pts&quot;;[Red]\-#,##0\ &quot;Pts&quot;"/>
    <numFmt numFmtId="189" formatCode="mmm\-yyyy"/>
    <numFmt numFmtId="190" formatCode="0.00_)"/>
    <numFmt numFmtId="191" formatCode="#,##0_);\-#,##0_);\-_)"/>
    <numFmt numFmtId="192" formatCode="#,##0.00_);\-#,##0.00_);\-_)"/>
    <numFmt numFmtId="193" formatCode="#,##0.0_);\-#,##0.0_);\-_)"/>
    <numFmt numFmtId="194" formatCode="mmm\ dd\,\ yyyy"/>
    <numFmt numFmtId="195" formatCode="yyyy"/>
    <numFmt numFmtId="196" formatCode="#,##0;\(#,##0\);\–;@"/>
    <numFmt numFmtId="197" formatCode="#,##0_);\(#,##0\);\–_);@_)"/>
    <numFmt numFmtId="198" formatCode="0_);\-0_);\-_);@_)"/>
    <numFmt numFmtId="199" formatCode="_(* #,##0.000_);_(* \(#,##0.000\);_(* &quot;-&quot;??_);_(@_)"/>
    <numFmt numFmtId="200" formatCode="#,##0.000000_);\(#,##0.000000\)"/>
    <numFmt numFmtId="201" formatCode="0.00000_);\(0.00000\)"/>
    <numFmt numFmtId="202" formatCode="#,##0.00000_);\(#,##0.00000\)"/>
    <numFmt numFmtId="203" formatCode="_(&quot;$&quot;* #,##0.000000_);_(&quot;$&quot;* \(#,##0.000000\);_(&quot;$&quot;* &quot;-&quot;??_);_(@_)"/>
    <numFmt numFmtId="204" formatCode="0.000000"/>
    <numFmt numFmtId="205" formatCode="mm/dd/yy"/>
    <numFmt numFmtId="206" formatCode="#,##0.0000_);\(#,##0.0000\)"/>
    <numFmt numFmtId="207" formatCode="m/d/yy;@"/>
    <numFmt numFmtId="208" formatCode="0.00000"/>
    <numFmt numFmtId="209" formatCode="0.00_);\(0.00\)"/>
    <numFmt numFmtId="210" formatCode="&quot;$&quot;#,##0"/>
    <numFmt numFmtId="211" formatCode="&quot;$&quot;#,##0.00000"/>
    <numFmt numFmtId="212" formatCode="&quot;$&quot;#,##0.00"/>
  </numFmts>
  <fonts count="1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Helv"/>
    </font>
    <font>
      <sz val="10"/>
      <color theme="1"/>
      <name val="Calibri"/>
      <family val="2"/>
      <scheme val="minor"/>
    </font>
    <font>
      <sz val="10"/>
      <name val="Geneva"/>
    </font>
    <font>
      <sz val="12"/>
      <color theme="1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536">
    <xf numFmtId="164" fontId="0" fillId="0" borderId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164" fontId="22" fillId="0" borderId="0"/>
    <xf numFmtId="164" fontId="22" fillId="0" borderId="0"/>
    <xf numFmtId="0" fontId="20" fillId="0" borderId="0"/>
    <xf numFmtId="168" fontId="25" fillId="2" borderId="0">
      <alignment horizontal="right"/>
    </xf>
    <xf numFmtId="0" fontId="26" fillId="3" borderId="0">
      <alignment horizontal="center"/>
    </xf>
    <xf numFmtId="0" fontId="27" fillId="4" borderId="0"/>
    <xf numFmtId="0" fontId="28" fillId="2" borderId="0" applyBorder="0">
      <alignment horizontal="centerContinuous"/>
    </xf>
    <xf numFmtId="0" fontId="29" fillId="4" borderId="0" applyBorder="0">
      <alignment horizontal="centerContinuous"/>
    </xf>
    <xf numFmtId="9" fontId="20" fillId="0" borderId="0" applyFont="0" applyFill="0" applyBorder="0" applyAlignment="0" applyProtection="0"/>
    <xf numFmtId="0" fontId="35" fillId="5" borderId="17" applyNumberFormat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24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5" fontId="41" fillId="24" borderId="7" applyNumberFormat="0" applyBorder="0" applyAlignment="0">
      <alignment horizontal="centerContinuous" vertical="center"/>
      <protection hidden="1"/>
    </xf>
    <xf numFmtId="1" fontId="42" fillId="25" borderId="12" applyNumberFormat="0" applyBorder="0" applyAlignment="0">
      <alignment horizontal="center" vertical="top" wrapText="1"/>
      <protection hidden="1"/>
    </xf>
    <xf numFmtId="0" fontId="30" fillId="0" borderId="0">
      <alignment vertical="center"/>
    </xf>
    <xf numFmtId="0" fontId="43" fillId="0" borderId="24">
      <alignment horizontal="left" vertical="center"/>
    </xf>
    <xf numFmtId="176" fontId="44" fillId="0" borderId="0">
      <alignment horizontal="right" vertical="center"/>
    </xf>
    <xf numFmtId="177" fontId="30" fillId="0" borderId="0">
      <alignment horizontal="right" vertical="center"/>
    </xf>
    <xf numFmtId="177" fontId="43" fillId="0" borderId="0">
      <alignment horizontal="right" vertical="center"/>
    </xf>
    <xf numFmtId="178" fontId="30" fillId="0" borderId="0" applyFont="0" applyFill="0" applyBorder="0" applyAlignment="0" applyProtection="0">
      <alignment horizontal="right"/>
    </xf>
    <xf numFmtId="0" fontId="45" fillId="0" borderId="0">
      <alignment vertical="center"/>
    </xf>
    <xf numFmtId="0" fontId="46" fillId="26" borderId="25" applyNumberFormat="0" applyAlignment="0" applyProtection="0"/>
    <xf numFmtId="0" fontId="46" fillId="26" borderId="25" applyNumberFormat="0" applyAlignment="0" applyProtection="0"/>
    <xf numFmtId="0" fontId="46" fillId="26" borderId="25" applyNumberFormat="0" applyAlignment="0" applyProtection="0"/>
    <xf numFmtId="0" fontId="47" fillId="27" borderId="26" applyNumberFormat="0" applyAlignment="0" applyProtection="0"/>
    <xf numFmtId="0" fontId="47" fillId="27" borderId="26" applyNumberFormat="0" applyAlignment="0" applyProtection="0"/>
    <xf numFmtId="0" fontId="47" fillId="27" borderId="26" applyNumberFormat="0" applyAlignment="0" applyProtection="0"/>
    <xf numFmtId="1" fontId="48" fillId="0" borderId="27">
      <alignment vertical="top"/>
    </xf>
    <xf numFmtId="179" fontId="45" fillId="0" borderId="0" applyBorder="0">
      <alignment horizontal="right"/>
    </xf>
    <xf numFmtId="179" fontId="45" fillId="0" borderId="23" applyAlignment="0">
      <alignment horizontal="right"/>
    </xf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180" fontId="49" fillId="0" borderId="0"/>
    <xf numFmtId="43" fontId="3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82" fontId="30" fillId="0" borderId="0"/>
    <xf numFmtId="183" fontId="51" fillId="0" borderId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185" fontId="21" fillId="0" borderId="0" applyFont="0" applyFill="0" applyBorder="0" applyAlignment="0" applyProtection="0">
      <alignment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1" fontId="53" fillId="28" borderId="11" applyNumberFormat="0" applyBorder="0" applyAlignment="0">
      <alignment horizontal="centerContinuous" vertical="center"/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83" fontId="30" fillId="0" borderId="0"/>
    <xf numFmtId="186" fontId="54" fillId="29" borderId="0" applyBorder="0">
      <protection locked="0"/>
    </xf>
    <xf numFmtId="178" fontId="55" fillId="0" borderId="0">
      <alignment horizontal="right"/>
    </xf>
    <xf numFmtId="187" fontId="30" fillId="0" borderId="0" applyFill="0" applyBorder="0">
      <alignment horizontal="right"/>
    </xf>
    <xf numFmtId="49" fontId="30" fillId="0" borderId="0" applyFill="0" applyBorder="0"/>
    <xf numFmtId="0" fontId="56" fillId="0" borderId="0">
      <alignment vertical="center"/>
    </xf>
    <xf numFmtId="49" fontId="57" fillId="0" borderId="0" applyFill="0" applyBorder="0">
      <alignment horizontal="right" vertical="center"/>
    </xf>
    <xf numFmtId="0" fontId="58" fillId="0" borderId="0">
      <alignment horizontal="right"/>
    </xf>
    <xf numFmtId="177" fontId="59" fillId="0" borderId="0">
      <alignment horizontal="right" vertical="center"/>
    </xf>
    <xf numFmtId="177" fontId="55" fillId="0" borderId="0" applyFill="0" applyBorder="0">
      <alignment horizontal="right" vertical="center"/>
    </xf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1" fillId="25" borderId="0" applyNumberFormat="0" applyBorder="0" applyAlignment="0">
      <protection hidden="1"/>
    </xf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5" fontId="66" fillId="30" borderId="5" applyNumberFormat="0" applyFont="0" applyBorder="0" applyAlignment="0" applyProtection="0">
      <alignment horizontal="right"/>
    </xf>
    <xf numFmtId="0" fontId="67" fillId="11" borderId="25" applyNumberFormat="0" applyAlignment="0" applyProtection="0"/>
    <xf numFmtId="0" fontId="67" fillId="11" borderId="25" applyNumberFormat="0" applyAlignment="0" applyProtection="0"/>
    <xf numFmtId="0" fontId="67" fillId="11" borderId="25" applyNumberFormat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30" fillId="31" borderId="0">
      <alignment horizontal="center"/>
    </xf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190" fontId="71" fillId="0" borderId="0"/>
    <xf numFmtId="191" fontId="30" fillId="0" borderId="0"/>
    <xf numFmtId="192" fontId="30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3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33" borderId="32" applyNumberFormat="0" applyFont="0" applyAlignment="0" applyProtection="0"/>
    <xf numFmtId="0" fontId="21" fillId="33" borderId="32" applyNumberFormat="0" applyFont="0" applyAlignment="0" applyProtection="0"/>
    <xf numFmtId="0" fontId="21" fillId="33" borderId="32" applyNumberFormat="0" applyFont="0" applyAlignment="0" applyProtection="0"/>
    <xf numFmtId="0" fontId="21" fillId="33" borderId="32" applyNumberFormat="0" applyFont="0" applyAlignment="0" applyProtection="0"/>
    <xf numFmtId="0" fontId="74" fillId="26" borderId="33" applyNumberFormat="0" applyAlignment="0" applyProtection="0"/>
    <xf numFmtId="0" fontId="74" fillId="26" borderId="33" applyNumberFormat="0" applyAlignment="0" applyProtection="0"/>
    <xf numFmtId="0" fontId="74" fillId="26" borderId="33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6" fontId="75" fillId="30" borderId="0" applyBorder="0" applyAlignment="0">
      <protection hidden="1"/>
    </xf>
    <xf numFmtId="1" fontId="75" fillId="30" borderId="0">
      <alignment horizontal="center"/>
    </xf>
    <xf numFmtId="193" fontId="54" fillId="0" borderId="0"/>
    <xf numFmtId="190" fontId="76" fillId="30" borderId="0"/>
    <xf numFmtId="1" fontId="66" fillId="0" borderId="0" applyNumberFormat="0" applyFont="0" applyBorder="0" applyAlignment="0" applyProtection="0">
      <alignment horizontal="right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4" applyNumberFormat="0" applyProtection="0">
      <alignment horizontal="center"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32" fillId="34" borderId="35" applyNumberFormat="0" applyAlignment="0" applyProtection="0">
      <alignment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5" borderId="0" applyNumberFormat="0" applyBorder="0">
      <alignment horizontal="center"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36" applyNumberFormat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36" borderId="0" applyNumberFormat="0" applyBorder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4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195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77" fillId="0" borderId="0" applyNumberFormat="0" applyFill="0" applyBorder="0" applyAlignment="0" applyProtection="0">
      <protection locked="0"/>
    </xf>
    <xf numFmtId="196" fontId="78" fillId="0" borderId="0" applyNumberFormat="0" applyFill="0" applyBorder="0" applyAlignment="0" applyProtection="0">
      <alignment horizontal="right" vertical="center" wrapText="1"/>
    </xf>
    <xf numFmtId="0" fontId="21" fillId="0" borderId="0" applyNumberFormat="0" applyFill="0" applyBorder="0" applyAlignment="0" applyProtection="0">
      <protection locked="0"/>
    </xf>
    <xf numFmtId="0" fontId="79" fillId="0" borderId="0" applyNumberFormat="0" applyFill="0" applyBorder="0" applyAlignment="0" applyProtection="0"/>
    <xf numFmtId="197" fontId="80" fillId="0" borderId="0" applyNumberFormat="0" applyFill="0" applyBorder="0" applyAlignment="0" applyProtection="0">
      <alignment horizontal="right" vertical="center"/>
    </xf>
    <xf numFmtId="0" fontId="21" fillId="0" borderId="0" applyNumberFormat="0" applyFill="0" applyBorder="0" applyAlignment="0" applyProtection="0"/>
    <xf numFmtId="0" fontId="81" fillId="37" borderId="37"/>
    <xf numFmtId="0" fontId="81" fillId="0" borderId="0"/>
    <xf numFmtId="0" fontId="81" fillId="0" borderId="0"/>
    <xf numFmtId="0" fontId="81" fillId="0" borderId="0"/>
    <xf numFmtId="175" fontId="27" fillId="38" borderId="0"/>
    <xf numFmtId="193" fontId="82" fillId="0" borderId="0"/>
    <xf numFmtId="190" fontId="45" fillId="39" borderId="0"/>
    <xf numFmtId="183" fontId="83" fillId="0" borderId="0"/>
    <xf numFmtId="198" fontId="84" fillId="30" borderId="3" applyAlignment="0"/>
    <xf numFmtId="193" fontId="85" fillId="40" borderId="0" applyFont="0" applyBorder="0" applyAlignment="0">
      <alignment vertical="top" wrapText="1"/>
    </xf>
    <xf numFmtId="193" fontId="86" fillId="40" borderId="0" applyFont="0" applyAlignment="0">
      <alignment horizontal="justify" vertical="top" wrapText="1"/>
    </xf>
    <xf numFmtId="193" fontId="87" fillId="40" borderId="0">
      <alignment vertical="top" wrapText="1"/>
    </xf>
    <xf numFmtId="193" fontId="88" fillId="40" borderId="38" applyBorder="0">
      <alignment horizontal="right" vertical="top" wrapText="1"/>
    </xf>
    <xf numFmtId="0" fontId="89" fillId="0" borderId="0" applyNumberFormat="0" applyFill="0" applyBorder="0" applyAlignment="0" applyProtection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90" fillId="41" borderId="0" applyNumberFormat="0" applyBorder="0"/>
    <xf numFmtId="179" fontId="33" fillId="0" borderId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179" fontId="45" fillId="0" borderId="40"/>
    <xf numFmtId="191" fontId="48" fillId="0" borderId="40" applyAlignment="0"/>
    <xf numFmtId="192" fontId="48" fillId="0" borderId="40" applyAlignment="0"/>
    <xf numFmtId="193" fontId="48" fillId="0" borderId="40" applyAlignment="0">
      <alignment horizontal="right"/>
    </xf>
    <xf numFmtId="175" fontId="75" fillId="30" borderId="12" applyBorder="0">
      <alignment horizontal="right" vertical="center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2" fontId="45" fillId="42" borderId="27" applyNumberFormat="0">
      <alignment horizontal="center" wrapText="1"/>
    </xf>
    <xf numFmtId="0" fontId="21" fillId="42" borderId="0" applyBorder="0" applyProtection="0"/>
    <xf numFmtId="0" fontId="21" fillId="42" borderId="0" applyBorder="0" applyProtection="0"/>
    <xf numFmtId="0" fontId="21" fillId="42" borderId="0" applyBorder="0" applyProtection="0"/>
    <xf numFmtId="0" fontId="21" fillId="42" borderId="0" applyBorder="0" applyProtection="0"/>
    <xf numFmtId="0" fontId="21" fillId="42" borderId="0">
      <alignment horizontal="right"/>
    </xf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93" fillId="0" borderId="0" applyNumberFormat="0" applyAlignment="0"/>
    <xf numFmtId="0" fontId="94" fillId="42" borderId="0" applyNumberFormat="0" applyAlignment="0"/>
    <xf numFmtId="49" fontId="32" fillId="42" borderId="0">
      <alignment horizontal="right"/>
    </xf>
    <xf numFmtId="172" fontId="45" fillId="42" borderId="27">
      <alignment horizontal="right" wrapText="1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" fontId="21" fillId="0" borderId="0">
      <alignment horizontal="center"/>
    </xf>
    <xf numFmtId="182" fontId="84" fillId="30" borderId="7" applyNumberFormat="0" applyBorder="0" applyAlignment="0"/>
    <xf numFmtId="172" fontId="32" fillId="31" borderId="3" applyAlignment="0">
      <alignment horizontal="right"/>
    </xf>
    <xf numFmtId="172" fontId="32" fillId="39" borderId="3" applyAlignment="0">
      <alignment horizontal="left"/>
    </xf>
    <xf numFmtId="39" fontId="23" fillId="0" borderId="0"/>
    <xf numFmtId="43" fontId="34" fillId="0" borderId="0" applyFont="0" applyFill="0" applyBorder="0" applyAlignment="0" applyProtection="0"/>
    <xf numFmtId="0" fontId="95" fillId="0" borderId="0"/>
    <xf numFmtId="44" fontId="95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9" fontId="2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39" fontId="23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43" fontId="19" fillId="0" borderId="0" applyFont="0" applyFill="0" applyBorder="0" applyAlignment="0" applyProtection="0"/>
    <xf numFmtId="0" fontId="102" fillId="5" borderId="17" applyNumberFormat="0" applyAlignment="0" applyProtection="0"/>
    <xf numFmtId="0" fontId="19" fillId="43" borderId="41" applyNumberFormat="0" applyFont="0" applyAlignment="0" applyProtection="0"/>
    <xf numFmtId="39" fontId="23" fillId="0" borderId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43" borderId="41" applyNumberFormat="0" applyFont="0" applyAlignment="0" applyProtection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43" borderId="41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35" fillId="5" borderId="17" applyNumberFormat="0" applyAlignment="0" applyProtection="0"/>
    <xf numFmtId="0" fontId="12" fillId="0" borderId="0"/>
    <xf numFmtId="164" fontId="24" fillId="0" borderId="0"/>
    <xf numFmtId="0" fontId="2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5" fillId="0" borderId="0"/>
    <xf numFmtId="39" fontId="23" fillId="0" borderId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39" fontId="23" fillId="0" borderId="0"/>
    <xf numFmtId="43" fontId="34" fillId="0" borderId="0" applyFont="0" applyFill="0" applyBorder="0" applyAlignment="0" applyProtection="0"/>
    <xf numFmtId="39" fontId="23" fillId="0" borderId="0"/>
    <xf numFmtId="0" fontId="6" fillId="0" borderId="0"/>
    <xf numFmtId="43" fontId="34" fillId="0" borderId="0" applyFont="0" applyFill="0" applyBorder="0" applyAlignment="0" applyProtection="0"/>
    <xf numFmtId="39" fontId="2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34" fillId="0" borderId="0" applyFont="0" applyFill="0" applyBorder="0" applyAlignment="0" applyProtection="0"/>
    <xf numFmtId="39" fontId="2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9" fontId="23" fillId="0" borderId="0"/>
    <xf numFmtId="0" fontId="6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164" fontId="22" fillId="0" borderId="0"/>
  </cellStyleXfs>
  <cellXfs count="679">
    <xf numFmtId="164" fontId="0" fillId="0" borderId="0" xfId="0"/>
    <xf numFmtId="167" fontId="36" fillId="0" borderId="0" xfId="1" applyNumberFormat="1" applyFont="1" applyFill="1" applyBorder="1"/>
    <xf numFmtId="164" fontId="96" fillId="0" borderId="0" xfId="0" applyFont="1" applyFill="1" applyAlignment="1" applyProtection="1">
      <alignment horizontal="left"/>
    </xf>
    <xf numFmtId="164" fontId="36" fillId="0" borderId="0" xfId="5" applyFont="1" applyFill="1" applyBorder="1" applyAlignment="1" applyProtection="1">
      <alignment horizontal="center"/>
    </xf>
    <xf numFmtId="167" fontId="36" fillId="0" borderId="0" xfId="1" applyNumberFormat="1" applyFont="1" applyFill="1"/>
    <xf numFmtId="167" fontId="36" fillId="0" borderId="1" xfId="1" applyNumberFormat="1" applyFont="1" applyFill="1" applyBorder="1"/>
    <xf numFmtId="170" fontId="36" fillId="0" borderId="5" xfId="2" applyNumberFormat="1" applyFont="1" applyFill="1" applyBorder="1"/>
    <xf numFmtId="164" fontId="36" fillId="0" borderId="0" xfId="18" applyFont="1" applyFill="1" applyAlignment="1" applyProtection="1">
      <alignment horizontal="left"/>
    </xf>
    <xf numFmtId="171" fontId="36" fillId="0" borderId="0" xfId="18" applyNumberFormat="1" applyFont="1" applyFill="1"/>
    <xf numFmtId="164" fontId="36" fillId="0" borderId="0" xfId="18" applyFont="1" applyFill="1" applyAlignment="1">
      <alignment horizontal="centerContinuous"/>
    </xf>
    <xf numFmtId="164" fontId="36" fillId="0" borderId="0" xfId="18" quotePrefix="1" applyFont="1" applyFill="1" applyAlignment="1">
      <alignment horizontal="centerContinuous"/>
    </xf>
    <xf numFmtId="164" fontId="36" fillId="0" borderId="2" xfId="18" applyFont="1" applyFill="1" applyBorder="1"/>
    <xf numFmtId="164" fontId="36" fillId="0" borderId="16" xfId="18" applyFont="1" applyFill="1" applyBorder="1"/>
    <xf numFmtId="164" fontId="36" fillId="0" borderId="2" xfId="18" applyFont="1" applyFill="1" applyBorder="1" applyAlignment="1" applyProtection="1">
      <alignment horizontal="center"/>
    </xf>
    <xf numFmtId="171" fontId="36" fillId="0" borderId="16" xfId="18" applyNumberFormat="1" applyFont="1" applyFill="1" applyBorder="1" applyAlignment="1">
      <alignment horizontal="centerContinuous"/>
    </xf>
    <xf numFmtId="164" fontId="36" fillId="0" borderId="0" xfId="18" applyFont="1" applyFill="1" applyBorder="1"/>
    <xf numFmtId="164" fontId="36" fillId="0" borderId="9" xfId="18" quotePrefix="1" applyFont="1" applyFill="1" applyBorder="1"/>
    <xf numFmtId="164" fontId="36" fillId="0" borderId="9" xfId="18" applyFont="1" applyFill="1" applyBorder="1" applyAlignment="1" applyProtection="1">
      <alignment horizontal="center"/>
    </xf>
    <xf numFmtId="164" fontId="36" fillId="0" borderId="0" xfId="18" applyFont="1" applyFill="1" applyBorder="1" applyAlignment="1" applyProtection="1">
      <alignment horizontal="center"/>
    </xf>
    <xf numFmtId="164" fontId="36" fillId="0" borderId="9" xfId="18" applyFont="1" applyFill="1" applyBorder="1"/>
    <xf numFmtId="171" fontId="36" fillId="0" borderId="9" xfId="18" applyNumberFormat="1" applyFont="1" applyFill="1" applyBorder="1" applyAlignment="1">
      <alignment horizontal="centerContinuous"/>
    </xf>
    <xf numFmtId="164" fontId="36" fillId="0" borderId="9" xfId="18" applyFont="1" applyFill="1" applyBorder="1" applyAlignment="1">
      <alignment horizontal="centerContinuous"/>
    </xf>
    <xf numFmtId="164" fontId="36" fillId="0" borderId="0" xfId="18" applyFont="1" applyFill="1" applyBorder="1" applyAlignment="1" applyProtection="1">
      <alignment horizontal="centerContinuous"/>
    </xf>
    <xf numFmtId="171" fontId="36" fillId="0" borderId="9" xfId="18" applyNumberFormat="1" applyFont="1" applyFill="1" applyBorder="1" applyAlignment="1" applyProtection="1">
      <alignment horizontal="center"/>
    </xf>
    <xf numFmtId="164" fontId="96" fillId="0" borderId="3" xfId="18" applyFont="1" applyFill="1" applyBorder="1" applyAlignment="1" applyProtection="1">
      <alignment horizontal="left"/>
    </xf>
    <xf numFmtId="164" fontId="36" fillId="0" borderId="3" xfId="18" applyFont="1" applyFill="1" applyBorder="1"/>
    <xf numFmtId="37" fontId="36" fillId="0" borderId="3" xfId="18" applyNumberFormat="1" applyFont="1" applyFill="1" applyBorder="1" applyProtection="1"/>
    <xf numFmtId="171" fontId="36" fillId="0" borderId="3" xfId="18" applyNumberFormat="1" applyFont="1" applyFill="1" applyBorder="1"/>
    <xf numFmtId="164" fontId="36" fillId="0" borderId="8" xfId="18" applyFont="1" applyFill="1" applyBorder="1"/>
    <xf numFmtId="164" fontId="36" fillId="0" borderId="0" xfId="18" applyFont="1" applyFill="1" applyBorder="1" applyAlignment="1" applyProtection="1">
      <alignment horizontal="left"/>
    </xf>
    <xf numFmtId="164" fontId="36" fillId="0" borderId="9" xfId="18" quotePrefix="1" applyFont="1" applyFill="1" applyBorder="1" applyAlignment="1">
      <alignment horizontal="left"/>
    </xf>
    <xf numFmtId="169" fontId="36" fillId="0" borderId="9" xfId="2" applyNumberFormat="1" applyFont="1" applyFill="1" applyBorder="1" applyProtection="1"/>
    <xf numFmtId="164" fontId="97" fillId="0" borderId="0" xfId="0" applyFont="1" applyFill="1" applyAlignment="1" applyProtection="1">
      <alignment horizontal="center"/>
    </xf>
    <xf numFmtId="164" fontId="97" fillId="0" borderId="0" xfId="0" applyFont="1" applyFill="1" applyAlignment="1">
      <alignment horizontal="center"/>
    </xf>
    <xf numFmtId="164" fontId="36" fillId="0" borderId="0" xfId="0" applyFont="1" applyFill="1" applyAlignment="1" applyProtection="1">
      <alignment horizontal="fill"/>
    </xf>
    <xf numFmtId="170" fontId="36" fillId="0" borderId="0" xfId="2" applyNumberFormat="1" applyFont="1" applyFill="1"/>
    <xf numFmtId="164" fontId="36" fillId="0" borderId="0" xfId="4" applyFont="1" applyFill="1" applyAlignment="1">
      <alignment horizontal="centerContinuous"/>
    </xf>
    <xf numFmtId="164" fontId="36" fillId="0" borderId="0" xfId="4" applyFont="1" applyFill="1"/>
    <xf numFmtId="164" fontId="36" fillId="0" borderId="5" xfId="4" applyFont="1" applyFill="1" applyBorder="1" applyAlignment="1" applyProtection="1">
      <alignment horizontal="center"/>
    </xf>
    <xf numFmtId="164" fontId="36" fillId="0" borderId="0" xfId="4" applyFont="1" applyFill="1" applyBorder="1" applyAlignment="1" applyProtection="1">
      <alignment horizontal="center"/>
    </xf>
    <xf numFmtId="164" fontId="36" fillId="0" borderId="9" xfId="4" applyFont="1" applyFill="1" applyBorder="1"/>
    <xf numFmtId="37" fontId="36" fillId="0" borderId="9" xfId="4" applyNumberFormat="1" applyFont="1" applyFill="1" applyBorder="1" applyProtection="1"/>
    <xf numFmtId="10" fontId="36" fillId="0" borderId="9" xfId="12" applyNumberFormat="1" applyFont="1" applyFill="1" applyBorder="1" applyProtection="1"/>
    <xf numFmtId="164" fontId="36" fillId="0" borderId="0" xfId="4" applyFont="1" applyFill="1" applyBorder="1"/>
    <xf numFmtId="37" fontId="36" fillId="0" borderId="0" xfId="4" applyNumberFormat="1" applyFont="1" applyFill="1" applyProtection="1"/>
    <xf numFmtId="164" fontId="36" fillId="0" borderId="0" xfId="4" applyFont="1" applyFill="1" applyAlignment="1" applyProtection="1">
      <alignment horizontal="left"/>
    </xf>
    <xf numFmtId="164" fontId="36" fillId="0" borderId="0" xfId="4" quotePrefix="1" applyFont="1" applyFill="1" applyAlignment="1" applyProtection="1">
      <alignment horizontal="left"/>
    </xf>
    <xf numFmtId="164" fontId="36" fillId="0" borderId="0" xfId="4" quotePrefix="1" applyFont="1" applyFill="1" applyAlignment="1">
      <alignment horizontal="left"/>
    </xf>
    <xf numFmtId="164" fontId="36" fillId="0" borderId="0" xfId="4" quotePrefix="1" applyFont="1" applyFill="1" applyAlignment="1" applyProtection="1">
      <alignment horizontal="center"/>
    </xf>
    <xf numFmtId="0" fontId="36" fillId="0" borderId="0" xfId="6" applyFont="1" applyFill="1" applyBorder="1" applyAlignment="1" applyProtection="1">
      <alignment horizontal="center"/>
    </xf>
    <xf numFmtId="164" fontId="36" fillId="0" borderId="0" xfId="4" applyFont="1" applyFill="1" applyAlignment="1">
      <alignment horizontal="center"/>
    </xf>
    <xf numFmtId="164" fontId="96" fillId="0" borderId="0" xfId="4" applyFont="1" applyFill="1" applyBorder="1"/>
    <xf numFmtId="164" fontId="36" fillId="0" borderId="0" xfId="4" applyFont="1" applyFill="1" applyBorder="1" applyAlignment="1" applyProtection="1">
      <alignment horizontal="left" indent="1"/>
    </xf>
    <xf numFmtId="164" fontId="96" fillId="0" borderId="8" xfId="18" applyFont="1" applyFill="1" applyBorder="1"/>
    <xf numFmtId="169" fontId="96" fillId="0" borderId="10" xfId="2" applyNumberFormat="1" applyFont="1" applyFill="1" applyBorder="1" applyProtection="1"/>
    <xf numFmtId="164" fontId="96" fillId="0" borderId="0" xfId="18" applyFont="1" applyFill="1"/>
    <xf numFmtId="167" fontId="96" fillId="0" borderId="0" xfId="1" applyNumberFormat="1" applyFont="1" applyFill="1" applyBorder="1"/>
    <xf numFmtId="164" fontId="96" fillId="0" borderId="3" xfId="18" applyFont="1" applyFill="1" applyBorder="1"/>
    <xf numFmtId="167" fontId="36" fillId="0" borderId="0" xfId="1" applyNumberFormat="1" applyFont="1" applyFill="1" applyBorder="1" applyProtection="1"/>
    <xf numFmtId="37" fontId="96" fillId="0" borderId="9" xfId="18" applyNumberFormat="1" applyFont="1" applyFill="1" applyBorder="1" applyProtection="1"/>
    <xf numFmtId="164" fontId="36" fillId="0" borderId="4" xfId="18" applyFont="1" applyFill="1" applyBorder="1" applyAlignment="1" applyProtection="1">
      <alignment horizontal="center"/>
    </xf>
    <xf numFmtId="164" fontId="36" fillId="0" borderId="5" xfId="18" applyFont="1" applyFill="1" applyBorder="1" applyAlignment="1" applyProtection="1">
      <alignment horizontal="center"/>
    </xf>
    <xf numFmtId="164" fontId="36" fillId="0" borderId="6" xfId="18" applyFont="1" applyFill="1" applyBorder="1" applyAlignment="1" applyProtection="1">
      <alignment horizontal="center"/>
    </xf>
    <xf numFmtId="164" fontId="36" fillId="0" borderId="0" xfId="18" applyFont="1" applyFill="1" applyAlignment="1">
      <alignment horizontal="center"/>
    </xf>
    <xf numFmtId="164" fontId="36" fillId="0" borderId="4" xfId="18" applyFont="1" applyFill="1" applyBorder="1" applyAlignment="1">
      <alignment horizontal="center"/>
    </xf>
    <xf numFmtId="164" fontId="36" fillId="0" borderId="5" xfId="18" applyFont="1" applyFill="1" applyBorder="1" applyAlignment="1">
      <alignment horizontal="center"/>
    </xf>
    <xf numFmtId="164" fontId="36" fillId="0" borderId="7" xfId="18" applyFont="1" applyFill="1" applyBorder="1" applyAlignment="1">
      <alignment horizontal="center"/>
    </xf>
    <xf numFmtId="164" fontId="36" fillId="0" borderId="9" xfId="18" applyFont="1" applyFill="1" applyBorder="1" applyAlignment="1">
      <alignment horizontal="center"/>
    </xf>
    <xf numFmtId="164" fontId="36" fillId="0" borderId="0" xfId="18" applyFont="1" applyFill="1" applyAlignment="1" applyProtection="1">
      <alignment horizontal="right"/>
    </xf>
    <xf numFmtId="164" fontId="36" fillId="0" borderId="0" xfId="18" quotePrefix="1" applyFont="1" applyFill="1" applyAlignment="1">
      <alignment horizontal="right"/>
    </xf>
    <xf numFmtId="10" fontId="96" fillId="0" borderId="8" xfId="12" applyNumberFormat="1" applyFont="1" applyFill="1" applyBorder="1" applyProtection="1"/>
    <xf numFmtId="10" fontId="96" fillId="0" borderId="0" xfId="12" applyNumberFormat="1" applyFont="1" applyFill="1"/>
    <xf numFmtId="167" fontId="36" fillId="0" borderId="0" xfId="1" applyNumberFormat="1" applyFont="1" applyFill="1" applyProtection="1"/>
    <xf numFmtId="167" fontId="96" fillId="0" borderId="0" xfId="1" applyNumberFormat="1" applyFont="1" applyFill="1"/>
    <xf numFmtId="164" fontId="99" fillId="0" borderId="0" xfId="0" applyFont="1" applyFill="1" applyAlignment="1" applyProtection="1">
      <alignment horizontal="left"/>
    </xf>
    <xf numFmtId="164" fontId="99" fillId="0" borderId="0" xfId="0" applyFont="1" applyFill="1" applyAlignment="1">
      <alignment horizontal="center"/>
    </xf>
    <xf numFmtId="164" fontId="96" fillId="0" borderId="0" xfId="0" applyFont="1" applyFill="1" applyAlignment="1">
      <alignment horizontal="centerContinuous"/>
    </xf>
    <xf numFmtId="164" fontId="96" fillId="0" borderId="1" xfId="0" applyFont="1" applyFill="1" applyBorder="1" applyAlignment="1">
      <alignment horizontal="center"/>
    </xf>
    <xf numFmtId="164" fontId="36" fillId="0" borderId="0" xfId="4" applyFont="1" applyFill="1" applyAlignment="1" applyProtection="1">
      <alignment horizontal="center"/>
    </xf>
    <xf numFmtId="10" fontId="36" fillId="0" borderId="5" xfId="1" applyNumberFormat="1" applyFont="1" applyFill="1" applyBorder="1" applyProtection="1"/>
    <xf numFmtId="164" fontId="96" fillId="0" borderId="0" xfId="4" applyFont="1" applyFill="1" applyBorder="1" applyAlignment="1">
      <alignment horizontal="center"/>
    </xf>
    <xf numFmtId="164" fontId="96" fillId="0" borderId="1" xfId="4" applyFont="1" applyFill="1" applyBorder="1" applyAlignment="1">
      <alignment horizontal="center"/>
    </xf>
    <xf numFmtId="170" fontId="36" fillId="0" borderId="0" xfId="3" applyNumberFormat="1" applyFont="1" applyFill="1" applyBorder="1"/>
    <xf numFmtId="170" fontId="36" fillId="0" borderId="5" xfId="3" applyNumberFormat="1" applyFont="1" applyFill="1" applyBorder="1"/>
    <xf numFmtId="170" fontId="36" fillId="0" borderId="0" xfId="2" applyNumberFormat="1" applyFont="1" applyFill="1" applyBorder="1"/>
    <xf numFmtId="44" fontId="36" fillId="0" borderId="0" xfId="2" applyFont="1" applyFill="1" applyProtection="1"/>
    <xf numFmtId="44" fontId="36" fillId="0" borderId="0" xfId="2" applyFont="1" applyFill="1"/>
    <xf numFmtId="44" fontId="96" fillId="0" borderId="14" xfId="2" applyFont="1" applyFill="1" applyBorder="1" applyProtection="1"/>
    <xf numFmtId="164" fontId="100" fillId="0" borderId="0" xfId="18" quotePrefix="1" applyFont="1" applyFill="1" applyAlignment="1">
      <alignment horizontal="left"/>
    </xf>
    <xf numFmtId="170" fontId="36" fillId="0" borderId="9" xfId="2" applyNumberFormat="1" applyFont="1" applyFill="1" applyBorder="1" applyProtection="1"/>
    <xf numFmtId="37" fontId="36" fillId="0" borderId="9" xfId="18" applyNumberFormat="1" applyFont="1" applyFill="1" applyBorder="1" applyProtection="1"/>
    <xf numFmtId="170" fontId="96" fillId="0" borderId="10" xfId="2" applyNumberFormat="1" applyFont="1" applyFill="1" applyBorder="1" applyProtection="1"/>
    <xf numFmtId="37" fontId="96" fillId="0" borderId="9" xfId="4" applyNumberFormat="1" applyFont="1" applyFill="1" applyBorder="1" applyProtection="1"/>
    <xf numFmtId="171" fontId="36" fillId="0" borderId="6" xfId="4" applyNumberFormat="1" applyFont="1" applyFill="1" applyBorder="1" applyProtection="1"/>
    <xf numFmtId="39" fontId="36" fillId="0" borderId="0" xfId="4" applyNumberFormat="1" applyFont="1" applyFill="1" applyBorder="1" applyProtection="1"/>
    <xf numFmtId="164" fontId="36" fillId="0" borderId="0" xfId="4" quotePrefix="1" applyFont="1" applyFill="1" applyAlignment="1">
      <alignment horizontal="right"/>
    </xf>
    <xf numFmtId="164" fontId="36" fillId="0" borderId="11" xfId="4" applyFont="1" applyFill="1" applyBorder="1" applyAlignment="1" applyProtection="1">
      <alignment horizontal="left"/>
    </xf>
    <xf numFmtId="164" fontId="36" fillId="0" borderId="1" xfId="0" applyFont="1" applyFill="1" applyBorder="1" applyAlignment="1">
      <alignment horizontal="center" vertical="center" wrapText="1"/>
    </xf>
    <xf numFmtId="164" fontId="36" fillId="0" borderId="1" xfId="0" quotePrefix="1" applyFont="1" applyFill="1" applyBorder="1" applyAlignment="1">
      <alignment horizontal="center" wrapText="1"/>
    </xf>
    <xf numFmtId="164" fontId="36" fillId="0" borderId="1" xfId="0" applyFont="1" applyFill="1" applyBorder="1" applyAlignment="1">
      <alignment horizontal="center" wrapText="1"/>
    </xf>
    <xf numFmtId="164" fontId="96" fillId="0" borderId="0" xfId="0" applyFont="1" applyFill="1" applyAlignment="1">
      <alignment horizontal="right"/>
    </xf>
    <xf numFmtId="0" fontId="36" fillId="0" borderId="6" xfId="3" applyFont="1" applyFill="1" applyBorder="1"/>
    <xf numFmtId="0" fontId="36" fillId="0" borderId="3" xfId="3" applyFont="1" applyFill="1" applyBorder="1"/>
    <xf numFmtId="164" fontId="96" fillId="0" borderId="0" xfId="4" applyFont="1" applyFill="1" applyAlignment="1" applyProtection="1">
      <alignment horizontal="centerContinuous"/>
    </xf>
    <xf numFmtId="164" fontId="36" fillId="0" borderId="0" xfId="4" applyFont="1" applyFill="1" applyAlignment="1" applyProtection="1">
      <alignment horizontal="right"/>
    </xf>
    <xf numFmtId="164" fontId="96" fillId="0" borderId="0" xfId="4" applyFont="1" applyFill="1" applyAlignment="1" applyProtection="1"/>
    <xf numFmtId="164" fontId="36" fillId="0" borderId="0" xfId="4" applyFont="1" applyFill="1" applyAlignment="1" applyProtection="1">
      <alignment horizontal="centerContinuous"/>
    </xf>
    <xf numFmtId="164" fontId="36" fillId="0" borderId="1" xfId="4" applyFont="1" applyFill="1" applyBorder="1" applyAlignment="1">
      <alignment horizontal="center"/>
    </xf>
    <xf numFmtId="164" fontId="36" fillId="0" borderId="1" xfId="4" applyFont="1" applyFill="1" applyBorder="1" applyAlignment="1" applyProtection="1">
      <alignment horizontal="center"/>
    </xf>
    <xf numFmtId="170" fontId="36" fillId="0" borderId="0" xfId="2" applyNumberFormat="1" applyFont="1" applyFill="1" applyProtection="1"/>
    <xf numFmtId="10" fontId="36" fillId="0" borderId="0" xfId="12" applyNumberFormat="1" applyFont="1" applyFill="1" applyProtection="1"/>
    <xf numFmtId="172" fontId="36" fillId="0" borderId="0" xfId="4" applyNumberFormat="1" applyFont="1" applyFill="1" applyProtection="1"/>
    <xf numFmtId="10" fontId="36" fillId="0" borderId="0" xfId="4" applyNumberFormat="1" applyFont="1" applyFill="1" applyProtection="1"/>
    <xf numFmtId="5" fontId="36" fillId="0" borderId="0" xfId="4" applyNumberFormat="1" applyFont="1" applyFill="1" applyProtection="1"/>
    <xf numFmtId="165" fontId="36" fillId="0" borderId="0" xfId="4" applyNumberFormat="1" applyFont="1" applyFill="1" applyProtection="1"/>
    <xf numFmtId="37" fontId="36" fillId="0" borderId="0" xfId="4" applyNumberFormat="1" applyFont="1" applyFill="1" applyAlignment="1" applyProtection="1">
      <alignment horizontal="right"/>
    </xf>
    <xf numFmtId="164" fontId="36" fillId="0" borderId="0" xfId="4" applyFont="1" applyFill="1" applyAlignment="1">
      <alignment horizontal="left"/>
    </xf>
    <xf numFmtId="167" fontId="36" fillId="0" borderId="5" xfId="1" applyNumberFormat="1" applyFont="1" applyFill="1" applyBorder="1" applyProtection="1"/>
    <xf numFmtId="167" fontId="36" fillId="0" borderId="4" xfId="1" applyNumberFormat="1" applyFont="1" applyFill="1" applyBorder="1" applyProtection="1"/>
    <xf numFmtId="167" fontId="36" fillId="0" borderId="5" xfId="1" applyNumberFormat="1" applyFont="1" applyFill="1" applyBorder="1"/>
    <xf numFmtId="164" fontId="36" fillId="0" borderId="4" xfId="4" applyFont="1" applyFill="1" applyBorder="1" applyAlignment="1">
      <alignment horizontal="center"/>
    </xf>
    <xf numFmtId="164" fontId="36" fillId="0" borderId="2" xfId="4" applyFont="1" applyFill="1" applyBorder="1"/>
    <xf numFmtId="164" fontId="36" fillId="0" borderId="4" xfId="4" applyFont="1" applyFill="1" applyBorder="1" applyAlignment="1" applyProtection="1">
      <alignment horizontal="center"/>
    </xf>
    <xf numFmtId="164" fontId="36" fillId="0" borderId="4" xfId="4" applyFont="1" applyFill="1" applyBorder="1"/>
    <xf numFmtId="171" fontId="36" fillId="0" borderId="4" xfId="4" applyNumberFormat="1" applyFont="1" applyFill="1" applyBorder="1" applyAlignment="1">
      <alignment horizontal="centerContinuous"/>
    </xf>
    <xf numFmtId="171" fontId="36" fillId="0" borderId="5" xfId="4" applyNumberFormat="1" applyFont="1" applyFill="1" applyBorder="1" applyAlignment="1" applyProtection="1">
      <alignment horizontal="center"/>
    </xf>
    <xf numFmtId="164" fontId="36" fillId="0" borderId="5" xfId="4" applyFont="1" applyFill="1" applyBorder="1" applyAlignment="1">
      <alignment horizontal="center"/>
    </xf>
    <xf numFmtId="164" fontId="36" fillId="0" borderId="6" xfId="4" applyFont="1" applyFill="1" applyBorder="1" applyAlignment="1" applyProtection="1">
      <alignment horizontal="center"/>
    </xf>
    <xf numFmtId="171" fontId="36" fillId="0" borderId="6" xfId="4" applyNumberFormat="1" applyFont="1" applyFill="1" applyBorder="1" applyAlignment="1" applyProtection="1">
      <alignment horizontal="center"/>
    </xf>
    <xf numFmtId="164" fontId="36" fillId="0" borderId="3" xfId="4" applyFont="1" applyFill="1" applyBorder="1" applyAlignment="1">
      <alignment horizontal="center"/>
    </xf>
    <xf numFmtId="164" fontId="96" fillId="0" borderId="3" xfId="4" applyFont="1" applyFill="1" applyBorder="1" applyAlignment="1" applyProtection="1">
      <alignment horizontal="left"/>
    </xf>
    <xf numFmtId="164" fontId="36" fillId="0" borderId="3" xfId="4" applyFont="1" applyFill="1" applyBorder="1"/>
    <xf numFmtId="171" fontId="36" fillId="0" borderId="3" xfId="4" applyNumberFormat="1" applyFont="1" applyFill="1" applyBorder="1"/>
    <xf numFmtId="164" fontId="36" fillId="0" borderId="16" xfId="4" applyFont="1" applyFill="1" applyBorder="1"/>
    <xf numFmtId="164" fontId="36" fillId="0" borderId="12" xfId="4" applyFont="1" applyFill="1" applyBorder="1" applyAlignment="1" applyProtection="1">
      <alignment horizontal="left" indent="1"/>
    </xf>
    <xf numFmtId="37" fontId="36" fillId="0" borderId="5" xfId="4" applyNumberFormat="1" applyFont="1" applyFill="1" applyBorder="1" applyProtection="1"/>
    <xf numFmtId="37" fontId="36" fillId="0" borderId="0" xfId="4" applyNumberFormat="1" applyFont="1" applyFill="1" applyBorder="1" applyProtection="1"/>
    <xf numFmtId="164" fontId="36" fillId="0" borderId="13" xfId="4" applyFont="1" applyFill="1" applyBorder="1"/>
    <xf numFmtId="164" fontId="96" fillId="0" borderId="3" xfId="4" applyFont="1" applyFill="1" applyBorder="1" applyAlignment="1" applyProtection="1">
      <alignment horizontal="left" indent="1"/>
    </xf>
    <xf numFmtId="164" fontId="96" fillId="0" borderId="8" xfId="4" applyFont="1" applyFill="1" applyBorder="1"/>
    <xf numFmtId="37" fontId="96" fillId="0" borderId="10" xfId="4" applyNumberFormat="1" applyFont="1" applyFill="1" applyBorder="1" applyProtection="1"/>
    <xf numFmtId="37" fontId="96" fillId="0" borderId="0" xfId="4" applyNumberFormat="1" applyFont="1" applyFill="1" applyBorder="1" applyProtection="1"/>
    <xf numFmtId="171" fontId="96" fillId="0" borderId="10" xfId="4" applyNumberFormat="1" applyFont="1" applyFill="1" applyBorder="1" applyProtection="1"/>
    <xf numFmtId="37" fontId="96" fillId="0" borderId="8" xfId="4" applyNumberFormat="1" applyFont="1" applyFill="1" applyBorder="1" applyProtection="1"/>
    <xf numFmtId="10" fontId="96" fillId="0" borderId="10" xfId="1" applyNumberFormat="1" applyFont="1" applyFill="1" applyBorder="1" applyProtection="1"/>
    <xf numFmtId="164" fontId="96" fillId="0" borderId="0" xfId="4" applyFont="1" applyFill="1"/>
    <xf numFmtId="10" fontId="36" fillId="0" borderId="5" xfId="4" applyNumberFormat="1" applyFont="1" applyFill="1" applyBorder="1" applyProtection="1"/>
    <xf numFmtId="164" fontId="36" fillId="0" borderId="0" xfId="4" applyFont="1" applyFill="1" applyBorder="1" applyProtection="1"/>
    <xf numFmtId="171" fontId="96" fillId="0" borderId="10" xfId="1" applyNumberFormat="1" applyFont="1" applyFill="1" applyBorder="1" applyProtection="1"/>
    <xf numFmtId="164" fontId="36" fillId="0" borderId="12" xfId="4" applyFont="1" applyFill="1" applyBorder="1" applyAlignment="1" applyProtection="1">
      <alignment horizontal="left"/>
    </xf>
    <xf numFmtId="164" fontId="36" fillId="0" borderId="0" xfId="4" applyFont="1" applyFill="1" applyBorder="1" applyAlignment="1" applyProtection="1">
      <alignment horizontal="left"/>
    </xf>
    <xf numFmtId="164" fontId="96" fillId="0" borderId="5" xfId="4" applyFont="1" applyFill="1" applyBorder="1" applyAlignment="1" applyProtection="1">
      <alignment horizontal="center"/>
    </xf>
    <xf numFmtId="171" fontId="96" fillId="0" borderId="10" xfId="4" applyNumberFormat="1" applyFont="1" applyFill="1" applyBorder="1"/>
    <xf numFmtId="164" fontId="96" fillId="0" borderId="0" xfId="4" applyFont="1" applyFill="1" applyBorder="1" applyAlignment="1" applyProtection="1">
      <alignment horizontal="left" indent="1"/>
    </xf>
    <xf numFmtId="37" fontId="36" fillId="0" borderId="0" xfId="4" applyNumberFormat="1" applyFont="1" applyFill="1" applyBorder="1"/>
    <xf numFmtId="37" fontId="36" fillId="0" borderId="3" xfId="4" applyNumberFormat="1" applyFont="1" applyFill="1" applyBorder="1"/>
    <xf numFmtId="10" fontId="36" fillId="0" borderId="1" xfId="1" applyNumberFormat="1" applyFont="1" applyFill="1" applyBorder="1" applyProtection="1"/>
    <xf numFmtId="10" fontId="36" fillId="0" borderId="9" xfId="1" applyNumberFormat="1" applyFont="1" applyFill="1" applyBorder="1" applyProtection="1"/>
    <xf numFmtId="171" fontId="36" fillId="0" borderId="5" xfId="4" applyNumberFormat="1" applyFont="1" applyFill="1" applyBorder="1" applyProtection="1"/>
    <xf numFmtId="171" fontId="36" fillId="0" borderId="5" xfId="1" applyNumberFormat="1" applyFont="1" applyFill="1" applyBorder="1" applyProtection="1"/>
    <xf numFmtId="164" fontId="96" fillId="0" borderId="7" xfId="4" applyFont="1" applyFill="1" applyBorder="1" applyAlignment="1" applyProtection="1">
      <alignment horizontal="left" indent="1"/>
    </xf>
    <xf numFmtId="164" fontId="96" fillId="0" borderId="13" xfId="4" applyFont="1" applyFill="1" applyBorder="1"/>
    <xf numFmtId="164" fontId="96" fillId="0" borderId="10" xfId="4" applyFont="1" applyFill="1" applyBorder="1"/>
    <xf numFmtId="10" fontId="96" fillId="0" borderId="8" xfId="1" applyNumberFormat="1" applyFont="1" applyFill="1" applyBorder="1" applyProtection="1"/>
    <xf numFmtId="164" fontId="96" fillId="0" borderId="3" xfId="4" applyFont="1" applyFill="1" applyBorder="1"/>
    <xf numFmtId="37" fontId="96" fillId="0" borderId="13" xfId="4" applyNumberFormat="1" applyFont="1" applyFill="1" applyBorder="1" applyProtection="1"/>
    <xf numFmtId="164" fontId="96" fillId="0" borderId="0" xfId="4" applyFont="1" applyFill="1" applyAlignment="1">
      <alignment horizontal="center"/>
    </xf>
    <xf numFmtId="0" fontId="36" fillId="0" borderId="11" xfId="3" applyFont="1" applyFill="1" applyBorder="1" applyAlignment="1" applyProtection="1">
      <alignment horizontal="center" wrapText="1"/>
    </xf>
    <xf numFmtId="0" fontId="36" fillId="0" borderId="4" xfId="3" applyFont="1" applyFill="1" applyBorder="1" applyAlignment="1" applyProtection="1">
      <alignment horizontal="center" wrapText="1"/>
    </xf>
    <xf numFmtId="0" fontId="36" fillId="0" borderId="1" xfId="3" quotePrefix="1" applyFont="1" applyFill="1" applyBorder="1" applyAlignment="1" applyProtection="1">
      <alignment horizontal="center"/>
    </xf>
    <xf numFmtId="0" fontId="36" fillId="0" borderId="13" xfId="3" quotePrefix="1" applyFont="1" applyFill="1" applyBorder="1" applyAlignment="1" applyProtection="1">
      <alignment horizontal="center"/>
    </xf>
    <xf numFmtId="0" fontId="36" fillId="0" borderId="8" xfId="3" applyFont="1" applyFill="1" applyBorder="1"/>
    <xf numFmtId="170" fontId="36" fillId="0" borderId="4" xfId="3" applyNumberFormat="1" applyFont="1" applyFill="1" applyBorder="1"/>
    <xf numFmtId="0" fontId="36" fillId="0" borderId="1" xfId="3" applyFont="1" applyFill="1" applyBorder="1"/>
    <xf numFmtId="164" fontId="36" fillId="0" borderId="0" xfId="0" applyFont="1" applyFill="1"/>
    <xf numFmtId="164" fontId="96" fillId="0" borderId="0" xfId="0" applyFont="1" applyFill="1"/>
    <xf numFmtId="164" fontId="36" fillId="0" borderId="0" xfId="18" applyFont="1" applyFill="1"/>
    <xf numFmtId="164" fontId="36" fillId="0" borderId="0" xfId="0" quotePrefix="1" applyFont="1" applyFill="1"/>
    <xf numFmtId="44" fontId="36" fillId="0" borderId="0" xfId="2" applyNumberFormat="1" applyFont="1" applyFill="1"/>
    <xf numFmtId="164" fontId="100" fillId="0" borderId="0" xfId="0" applyFont="1" applyFill="1"/>
    <xf numFmtId="164" fontId="36" fillId="0" borderId="1" xfId="0" applyFont="1" applyFill="1" applyBorder="1" applyAlignment="1">
      <alignment horizontal="center"/>
    </xf>
    <xf numFmtId="164" fontId="100" fillId="0" borderId="0" xfId="0" quotePrefix="1" applyFont="1" applyFill="1" applyAlignment="1">
      <alignment wrapText="1"/>
    </xf>
    <xf numFmtId="164" fontId="96" fillId="0" borderId="1" xfId="0" applyFont="1" applyFill="1" applyBorder="1" applyAlignment="1">
      <alignment horizontal="center" wrapText="1"/>
    </xf>
    <xf numFmtId="164" fontId="96" fillId="0" borderId="0" xfId="0" quotePrefix="1" applyFont="1" applyFill="1" applyAlignment="1" applyProtection="1">
      <alignment horizontal="left"/>
    </xf>
    <xf numFmtId="0" fontId="36" fillId="0" borderId="0" xfId="3" applyFont="1" applyFill="1"/>
    <xf numFmtId="0" fontId="36" fillId="0" borderId="0" xfId="3" applyFont="1" applyFill="1" applyAlignment="1"/>
    <xf numFmtId="0" fontId="36" fillId="0" borderId="0" xfId="3" applyFont="1" applyFill="1" applyAlignment="1" applyProtection="1">
      <alignment horizontal="center"/>
    </xf>
    <xf numFmtId="0" fontId="36" fillId="0" borderId="0" xfId="3" applyFont="1" applyFill="1" applyBorder="1"/>
    <xf numFmtId="0" fontId="36" fillId="0" borderId="0" xfId="3" applyFont="1" applyFill="1" applyAlignment="1">
      <alignment horizontal="center"/>
    </xf>
    <xf numFmtId="0" fontId="36" fillId="0" borderId="16" xfId="3" applyFont="1" applyFill="1" applyBorder="1" applyAlignment="1" applyProtection="1">
      <alignment horizontal="center" wrapText="1"/>
    </xf>
    <xf numFmtId="0" fontId="36" fillId="0" borderId="0" xfId="3" applyFont="1" applyFill="1" applyAlignment="1">
      <alignment horizontal="center" wrapText="1"/>
    </xf>
    <xf numFmtId="0" fontId="36" fillId="0" borderId="0" xfId="3" applyFont="1" applyFill="1" applyAlignment="1">
      <alignment wrapText="1"/>
    </xf>
    <xf numFmtId="0" fontId="36" fillId="0" borderId="6" xfId="3" applyFont="1" applyFill="1" applyBorder="1" applyAlignment="1" applyProtection="1">
      <alignment horizontal="center"/>
    </xf>
    <xf numFmtId="0" fontId="36" fillId="0" borderId="13" xfId="3" applyFont="1" applyFill="1" applyBorder="1" applyAlignment="1" applyProtection="1">
      <alignment horizontal="center"/>
    </xf>
    <xf numFmtId="0" fontId="36" fillId="0" borderId="6" xfId="3" quotePrefix="1" applyFont="1" applyFill="1" applyBorder="1" applyAlignment="1" applyProtection="1">
      <alignment horizontal="center"/>
    </xf>
    <xf numFmtId="0" fontId="96" fillId="0" borderId="3" xfId="3" applyFont="1" applyFill="1" applyBorder="1" applyAlignment="1" applyProtection="1">
      <alignment horizontal="left"/>
    </xf>
    <xf numFmtId="0" fontId="36" fillId="0" borderId="4" xfId="3" applyFont="1" applyFill="1" applyBorder="1" applyAlignment="1" applyProtection="1">
      <alignment horizontal="left"/>
    </xf>
    <xf numFmtId="0" fontId="36" fillId="0" borderId="0" xfId="3" applyFont="1" applyFill="1" applyBorder="1" applyAlignment="1">
      <alignment horizontal="center"/>
    </xf>
    <xf numFmtId="0" fontId="36" fillId="0" borderId="12" xfId="3" applyFont="1" applyFill="1" applyBorder="1" applyAlignment="1" applyProtection="1">
      <alignment horizontal="left"/>
    </xf>
    <xf numFmtId="0" fontId="36" fillId="0" borderId="5" xfId="3" quotePrefix="1" applyFont="1" applyFill="1" applyBorder="1" applyAlignment="1">
      <alignment horizontal="center"/>
    </xf>
    <xf numFmtId="0" fontId="36" fillId="0" borderId="5" xfId="3" applyFont="1" applyFill="1" applyBorder="1" applyAlignment="1" applyProtection="1">
      <alignment horizontal="center"/>
    </xf>
    <xf numFmtId="0" fontId="36" fillId="0" borderId="15" xfId="3" applyFont="1" applyFill="1" applyBorder="1" applyAlignment="1" applyProtection="1">
      <alignment horizontal="left"/>
    </xf>
    <xf numFmtId="0" fontId="36" fillId="0" borderId="0" xfId="3" applyFont="1" applyFill="1" applyBorder="1" applyAlignment="1" applyProtection="1">
      <alignment horizontal="left"/>
    </xf>
    <xf numFmtId="0" fontId="100" fillId="0" borderId="0" xfId="3" quotePrefix="1" applyFont="1" applyFill="1" applyAlignment="1">
      <alignment horizontal="left"/>
    </xf>
    <xf numFmtId="0" fontId="36" fillId="0" borderId="0" xfId="3" applyFont="1" applyFill="1" applyBorder="1" applyAlignment="1" applyProtection="1">
      <alignment horizontal="center"/>
    </xf>
    <xf numFmtId="0" fontId="36" fillId="0" borderId="0" xfId="3" applyFont="1" applyFill="1" applyAlignment="1">
      <alignment horizontal="left"/>
    </xf>
    <xf numFmtId="174" fontId="36" fillId="0" borderId="0" xfId="12" applyNumberFormat="1" applyFont="1" applyFill="1" applyBorder="1" applyAlignment="1">
      <alignment horizontal="right"/>
    </xf>
    <xf numFmtId="0" fontId="36" fillId="0" borderId="0" xfId="3" applyFont="1" applyFill="1" applyAlignment="1">
      <alignment horizontal="right"/>
    </xf>
    <xf numFmtId="10" fontId="96" fillId="0" borderId="0" xfId="18" applyNumberFormat="1" applyFont="1" applyFill="1"/>
    <xf numFmtId="10" fontId="36" fillId="0" borderId="0" xfId="18" applyNumberFormat="1" applyFont="1" applyFill="1"/>
    <xf numFmtId="167" fontId="96" fillId="0" borderId="3" xfId="1" applyNumberFormat="1" applyFont="1" applyFill="1" applyBorder="1" applyProtection="1"/>
    <xf numFmtId="167" fontId="96" fillId="0" borderId="10" xfId="1" applyNumberFormat="1" applyFont="1" applyFill="1" applyBorder="1" applyProtection="1"/>
    <xf numFmtId="3" fontId="36" fillId="0" borderId="0" xfId="0" applyNumberFormat="1" applyFont="1" applyFill="1"/>
    <xf numFmtId="0" fontId="36" fillId="0" borderId="7" xfId="3" applyFont="1" applyFill="1" applyBorder="1"/>
    <xf numFmtId="0" fontId="36" fillId="0" borderId="5" xfId="3" applyFont="1" applyFill="1" applyBorder="1" applyAlignment="1" applyProtection="1">
      <alignment horizontal="left"/>
    </xf>
    <xf numFmtId="170" fontId="36" fillId="0" borderId="4" xfId="2" applyNumberFormat="1" applyFont="1" applyFill="1" applyBorder="1" applyAlignment="1" applyProtection="1">
      <alignment horizontal="center"/>
    </xf>
    <xf numFmtId="170" fontId="36" fillId="0" borderId="11" xfId="3" applyNumberFormat="1" applyFont="1" applyFill="1" applyBorder="1"/>
    <xf numFmtId="0" fontId="36" fillId="0" borderId="6" xfId="3" applyFont="1" applyFill="1" applyBorder="1" applyAlignment="1" applyProtection="1">
      <alignment horizontal="left"/>
    </xf>
    <xf numFmtId="0" fontId="36" fillId="0" borderId="1" xfId="3" applyFont="1" applyFill="1" applyBorder="1" applyAlignment="1" applyProtection="1">
      <alignment horizontal="center"/>
    </xf>
    <xf numFmtId="44" fontId="36" fillId="0" borderId="6" xfId="2" applyFont="1" applyFill="1" applyBorder="1" applyAlignment="1" applyProtection="1">
      <alignment horizontal="center"/>
    </xf>
    <xf numFmtId="170" fontId="36" fillId="0" borderId="15" xfId="2" applyNumberFormat="1" applyFont="1" applyFill="1" applyBorder="1"/>
    <xf numFmtId="170" fontId="36" fillId="0" borderId="15" xfId="3" applyNumberFormat="1" applyFont="1" applyFill="1" applyBorder="1"/>
    <xf numFmtId="170" fontId="36" fillId="0" borderId="6" xfId="3" applyNumberFormat="1" applyFont="1" applyFill="1" applyBorder="1"/>
    <xf numFmtId="171" fontId="36" fillId="0" borderId="0" xfId="18" applyNumberFormat="1" applyFont="1" applyFill="1" applyAlignment="1">
      <alignment horizontal="centerContinuous"/>
    </xf>
    <xf numFmtId="171" fontId="96" fillId="0" borderId="0" xfId="18" applyNumberFormat="1" applyFont="1" applyFill="1" applyAlignment="1" applyProtection="1">
      <alignment horizontal="centerContinuous"/>
    </xf>
    <xf numFmtId="164" fontId="36" fillId="0" borderId="1" xfId="18" applyFont="1" applyFill="1" applyBorder="1" applyAlignment="1">
      <alignment horizontal="center"/>
    </xf>
    <xf numFmtId="164" fontId="96" fillId="0" borderId="1" xfId="18" applyFont="1" applyFill="1" applyBorder="1" applyAlignment="1" applyProtection="1">
      <alignment horizontal="left"/>
    </xf>
    <xf numFmtId="164" fontId="36" fillId="0" borderId="1" xfId="18" applyFont="1" applyFill="1" applyBorder="1"/>
    <xf numFmtId="167" fontId="36" fillId="0" borderId="1" xfId="1" applyNumberFormat="1" applyFont="1" applyFill="1" applyBorder="1" applyProtection="1"/>
    <xf numFmtId="37" fontId="36" fillId="0" borderId="0" xfId="18" applyNumberFormat="1" applyFont="1" applyFill="1" applyBorder="1" applyProtection="1"/>
    <xf numFmtId="170" fontId="36" fillId="0" borderId="1" xfId="2" applyNumberFormat="1" applyFont="1" applyFill="1" applyBorder="1" applyProtection="1"/>
    <xf numFmtId="169" fontId="36" fillId="0" borderId="1" xfId="2" applyNumberFormat="1" applyFont="1" applyFill="1" applyBorder="1" applyProtection="1"/>
    <xf numFmtId="10" fontId="36" fillId="0" borderId="1" xfId="12" applyNumberFormat="1" applyFont="1" applyFill="1" applyBorder="1" applyProtection="1"/>
    <xf numFmtId="164" fontId="36" fillId="0" borderId="12" xfId="18" applyFont="1" applyFill="1" applyBorder="1" applyAlignment="1" applyProtection="1">
      <alignment horizontal="center"/>
    </xf>
    <xf numFmtId="164" fontId="36" fillId="0" borderId="11" xfId="18" applyFont="1" applyFill="1" applyBorder="1" applyAlignment="1" applyProtection="1">
      <alignment horizontal="left"/>
    </xf>
    <xf numFmtId="167" fontId="36" fillId="0" borderId="4" xfId="1" applyNumberFormat="1" applyFont="1" applyFill="1" applyBorder="1"/>
    <xf numFmtId="170" fontId="36" fillId="0" borderId="4" xfId="2" applyNumberFormat="1" applyFont="1" applyFill="1" applyBorder="1"/>
    <xf numFmtId="169" fontId="36" fillId="0" borderId="4" xfId="2" applyNumberFormat="1" applyFont="1" applyFill="1" applyBorder="1"/>
    <xf numFmtId="164" fontId="36" fillId="0" borderId="12" xfId="18" applyFont="1" applyFill="1" applyBorder="1" applyAlignment="1" applyProtection="1">
      <alignment horizontal="left"/>
    </xf>
    <xf numFmtId="170" fontId="36" fillId="0" borderId="5" xfId="2" applyNumberFormat="1" applyFont="1" applyFill="1" applyBorder="1" applyProtection="1"/>
    <xf numFmtId="169" fontId="36" fillId="0" borderId="5" xfId="2" applyNumberFormat="1" applyFont="1" applyFill="1" applyBorder="1" applyProtection="1"/>
    <xf numFmtId="167" fontId="36" fillId="0" borderId="6" xfId="1" applyNumberFormat="1" applyFont="1" applyFill="1" applyBorder="1" applyProtection="1"/>
    <xf numFmtId="10" fontId="36" fillId="0" borderId="13" xfId="12" applyNumberFormat="1" applyFont="1" applyFill="1" applyBorder="1" applyProtection="1"/>
    <xf numFmtId="164" fontId="36" fillId="0" borderId="10" xfId="18" applyFont="1" applyFill="1" applyBorder="1" applyAlignment="1">
      <alignment horizontal="center"/>
    </xf>
    <xf numFmtId="164" fontId="96" fillId="0" borderId="7" xfId="18" applyFont="1" applyFill="1" applyBorder="1" applyAlignment="1" applyProtection="1">
      <alignment horizontal="left"/>
    </xf>
    <xf numFmtId="167" fontId="96" fillId="0" borderId="10" xfId="1" applyNumberFormat="1" applyFont="1" applyFill="1" applyBorder="1"/>
    <xf numFmtId="164" fontId="96" fillId="0" borderId="0" xfId="18" applyFont="1" applyFill="1" applyBorder="1"/>
    <xf numFmtId="170" fontId="96" fillId="0" borderId="10" xfId="2" applyNumberFormat="1" applyFont="1" applyFill="1" applyBorder="1"/>
    <xf numFmtId="169" fontId="96" fillId="0" borderId="10" xfId="2" applyNumberFormat="1" applyFont="1" applyFill="1" applyBorder="1"/>
    <xf numFmtId="164" fontId="36" fillId="0" borderId="0" xfId="18" applyFont="1" applyFill="1" applyBorder="1" applyAlignment="1">
      <alignment horizontal="center"/>
    </xf>
    <xf numFmtId="164" fontId="96" fillId="0" borderId="0" xfId="18" applyFont="1" applyFill="1" applyBorder="1" applyAlignment="1" applyProtection="1">
      <alignment horizontal="left"/>
    </xf>
    <xf numFmtId="167" fontId="96" fillId="0" borderId="3" xfId="1" applyNumberFormat="1" applyFont="1" applyFill="1" applyBorder="1"/>
    <xf numFmtId="170" fontId="96" fillId="0" borderId="0" xfId="2" applyNumberFormat="1" applyFont="1" applyFill="1" applyBorder="1"/>
    <xf numFmtId="169" fontId="96" fillId="0" borderId="0" xfId="2" applyNumberFormat="1" applyFont="1" applyFill="1" applyBorder="1"/>
    <xf numFmtId="10" fontId="96" fillId="0" borderId="0" xfId="12" applyNumberFormat="1" applyFont="1" applyFill="1" applyBorder="1"/>
    <xf numFmtId="167" fontId="36" fillId="0" borderId="0" xfId="1" applyNumberFormat="1" applyFont="1" applyFill="1" applyAlignment="1">
      <alignment horizontal="left"/>
    </xf>
    <xf numFmtId="199" fontId="36" fillId="0" borderId="0" xfId="1" applyNumberFormat="1" applyFont="1" applyFill="1" applyProtection="1"/>
    <xf numFmtId="43" fontId="36" fillId="0" borderId="0" xfId="1" applyFont="1" applyFill="1" applyProtection="1"/>
    <xf numFmtId="164" fontId="36" fillId="0" borderId="0" xfId="4" applyFont="1" applyFill="1" applyBorder="1" applyAlignment="1">
      <alignment horizontal="center"/>
    </xf>
    <xf numFmtId="10" fontId="36" fillId="0" borderId="0" xfId="12" applyNumberFormat="1" applyFont="1" applyFill="1" applyBorder="1"/>
    <xf numFmtId="44" fontId="36" fillId="0" borderId="0" xfId="2" applyFont="1" applyFill="1" applyAlignment="1" applyProtection="1">
      <alignment horizontal="center"/>
    </xf>
    <xf numFmtId="0" fontId="36" fillId="0" borderId="0" xfId="51494" applyFont="1" applyFill="1" applyAlignment="1">
      <alignment horizontal="right" readingOrder="1"/>
    </xf>
    <xf numFmtId="0" fontId="36" fillId="0" borderId="0" xfId="51494" quotePrefix="1" applyFont="1" applyFill="1" applyAlignment="1">
      <alignment horizontal="right" readingOrder="1"/>
    </xf>
    <xf numFmtId="4" fontId="36" fillId="0" borderId="0" xfId="0" applyNumberFormat="1" applyFont="1" applyFill="1"/>
    <xf numFmtId="17" fontId="96" fillId="0" borderId="0" xfId="0" quotePrefix="1" applyNumberFormat="1" applyFont="1" applyFill="1" applyAlignment="1" applyProtection="1">
      <alignment horizontal="center"/>
    </xf>
    <xf numFmtId="173" fontId="96" fillId="0" borderId="0" xfId="0" applyNumberFormat="1" applyFont="1" applyFill="1"/>
    <xf numFmtId="164" fontId="96" fillId="0" borderId="1" xfId="0" applyFont="1" applyFill="1" applyBorder="1" applyAlignment="1" applyProtection="1">
      <alignment horizontal="center"/>
    </xf>
    <xf numFmtId="164" fontId="36" fillId="0" borderId="0" xfId="0" applyFont="1" applyFill="1" applyAlignment="1">
      <alignment horizontal="center"/>
    </xf>
    <xf numFmtId="14" fontId="96" fillId="0" borderId="1" xfId="0" applyNumberFormat="1" applyFont="1" applyFill="1" applyBorder="1" applyAlignment="1">
      <alignment horizontal="center" wrapText="1"/>
    </xf>
    <xf numFmtId="44" fontId="96" fillId="0" borderId="14" xfId="2" applyNumberFormat="1" applyFont="1" applyFill="1" applyBorder="1"/>
    <xf numFmtId="39" fontId="36" fillId="0" borderId="0" xfId="0" applyNumberFormat="1" applyFont="1" applyFill="1"/>
    <xf numFmtId="17" fontId="96" fillId="0" borderId="0" xfId="0" applyNumberFormat="1" applyFont="1" applyFill="1" applyAlignment="1" applyProtection="1">
      <alignment horizontal="right"/>
    </xf>
    <xf numFmtId="10" fontId="99" fillId="0" borderId="0" xfId="0" applyNumberFormat="1" applyFont="1" applyFill="1" applyProtection="1"/>
    <xf numFmtId="166" fontId="99" fillId="0" borderId="0" xfId="0" applyNumberFormat="1" applyFont="1" applyFill="1" applyProtection="1"/>
    <xf numFmtId="200" fontId="36" fillId="0" borderId="0" xfId="0" applyNumberFormat="1" applyFont="1" applyFill="1"/>
    <xf numFmtId="37" fontId="36" fillId="0" borderId="0" xfId="0" applyNumberFormat="1" applyFont="1" applyFill="1"/>
    <xf numFmtId="201" fontId="36" fillId="0" borderId="0" xfId="0" applyNumberFormat="1" applyFont="1" applyFill="1"/>
    <xf numFmtId="164" fontId="99" fillId="46" borderId="0" xfId="0" applyFont="1" applyFill="1" applyAlignment="1">
      <alignment horizontal="center"/>
    </xf>
    <xf numFmtId="43" fontId="36" fillId="0" borderId="5" xfId="1" applyNumberFormat="1" applyFont="1" applyFill="1" applyBorder="1" applyProtection="1"/>
    <xf numFmtId="37" fontId="36" fillId="0" borderId="3" xfId="4" applyNumberFormat="1" applyFont="1" applyFill="1" applyBorder="1" applyProtection="1"/>
    <xf numFmtId="44" fontId="36" fillId="0" borderId="14" xfId="2" applyFont="1" applyFill="1" applyBorder="1"/>
    <xf numFmtId="164" fontId="36" fillId="0" borderId="4" xfId="18" applyFont="1" applyFill="1" applyBorder="1"/>
    <xf numFmtId="164" fontId="36" fillId="0" borderId="6" xfId="18" applyFont="1" applyFill="1" applyBorder="1" applyAlignment="1">
      <alignment horizontal="center"/>
    </xf>
    <xf numFmtId="164" fontId="36" fillId="0" borderId="12" xfId="5" applyFont="1" applyFill="1" applyBorder="1" applyProtection="1"/>
    <xf numFmtId="164" fontId="36" fillId="0" borderId="15" xfId="5" applyFont="1" applyFill="1" applyBorder="1" applyProtection="1"/>
    <xf numFmtId="171" fontId="36" fillId="0" borderId="4" xfId="4" applyNumberFormat="1" applyFont="1" applyFill="1" applyBorder="1"/>
    <xf numFmtId="164" fontId="96" fillId="0" borderId="6" xfId="4" applyFont="1" applyFill="1" applyBorder="1"/>
    <xf numFmtId="171" fontId="96" fillId="0" borderId="6" xfId="4" applyNumberFormat="1" applyFont="1" applyFill="1" applyBorder="1" applyProtection="1"/>
    <xf numFmtId="37" fontId="96" fillId="0" borderId="5" xfId="4" applyNumberFormat="1" applyFont="1" applyFill="1" applyBorder="1" applyProtection="1"/>
    <xf numFmtId="164" fontId="96" fillId="0" borderId="0" xfId="0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44" fontId="36" fillId="0" borderId="14" xfId="2" applyFont="1" applyFill="1" applyBorder="1" applyAlignment="1">
      <alignment horizontal="center"/>
    </xf>
    <xf numFmtId="44" fontId="36" fillId="0" borderId="0" xfId="2" applyFont="1" applyFill="1" applyAlignment="1">
      <alignment horizontal="center"/>
    </xf>
    <xf numFmtId="17" fontId="36" fillId="44" borderId="10" xfId="13" applyNumberFormat="1" applyFont="1" applyFill="1" applyBorder="1"/>
    <xf numFmtId="3" fontId="103" fillId="44" borderId="10" xfId="0" applyNumberFormat="1" applyFont="1" applyFill="1" applyBorder="1"/>
    <xf numFmtId="17" fontId="36" fillId="44" borderId="0" xfId="0" applyNumberFormat="1" applyFont="1" applyFill="1" applyBorder="1"/>
    <xf numFmtId="167" fontId="98" fillId="44" borderId="0" xfId="13" applyNumberFormat="1" applyFont="1" applyFill="1" applyBorder="1" applyAlignment="1"/>
    <xf numFmtId="167" fontId="98" fillId="44" borderId="0" xfId="13" applyNumberFormat="1" applyFont="1" applyFill="1" applyBorder="1"/>
    <xf numFmtId="3" fontId="103" fillId="44" borderId="0" xfId="0" applyNumberFormat="1" applyFont="1" applyFill="1" applyBorder="1"/>
    <xf numFmtId="39" fontId="36" fillId="0" borderId="0" xfId="0" applyNumberFormat="1" applyFont="1" applyFill="1" applyAlignment="1">
      <alignment horizontal="center"/>
    </xf>
    <xf numFmtId="164" fontId="104" fillId="0" borderId="0" xfId="51497" applyFont="1" applyAlignment="1"/>
    <xf numFmtId="164" fontId="104" fillId="0" borderId="0" xfId="0" applyFont="1" applyAlignment="1"/>
    <xf numFmtId="164" fontId="105" fillId="0" borderId="0" xfId="0" applyFont="1" applyAlignment="1">
      <alignment horizontal="center"/>
    </xf>
    <xf numFmtId="164" fontId="34" fillId="0" borderId="0" xfId="0" applyFont="1"/>
    <xf numFmtId="49" fontId="34" fillId="0" borderId="0" xfId="0" applyNumberFormat="1" applyFont="1" applyAlignment="1">
      <alignment horizontal="center"/>
    </xf>
    <xf numFmtId="164" fontId="34" fillId="0" borderId="0" xfId="0" applyFont="1" applyAlignment="1">
      <alignment horizontal="center"/>
    </xf>
    <xf numFmtId="164" fontId="20" fillId="0" borderId="0" xfId="51497" applyFont="1" applyAlignment="1" applyProtection="1">
      <alignment horizontal="left"/>
    </xf>
    <xf numFmtId="164" fontId="107" fillId="0" borderId="0" xfId="0" applyFont="1" applyFill="1" applyAlignment="1" applyProtection="1">
      <alignment horizontal="center"/>
    </xf>
    <xf numFmtId="164" fontId="107" fillId="0" borderId="0" xfId="0" applyFont="1" applyFill="1" applyAlignment="1">
      <alignment horizontal="center"/>
    </xf>
    <xf numFmtId="164" fontId="107" fillId="0" borderId="0" xfId="0" applyFont="1" applyFill="1" applyAlignment="1">
      <alignment horizontal="center" wrapText="1"/>
    </xf>
    <xf numFmtId="164" fontId="107" fillId="0" borderId="0" xfId="0" applyFont="1" applyFill="1" applyBorder="1" applyAlignment="1" applyProtection="1">
      <alignment horizontal="center"/>
    </xf>
    <xf numFmtId="164" fontId="107" fillId="0" borderId="0" xfId="0" quotePrefix="1" applyFont="1" applyFill="1" applyAlignment="1">
      <alignment horizontal="center" wrapText="1"/>
    </xf>
    <xf numFmtId="164" fontId="107" fillId="0" borderId="0" xfId="0" applyFont="1" applyFill="1" applyBorder="1" applyAlignment="1" applyProtection="1">
      <alignment horizontal="center" wrapText="1"/>
    </xf>
    <xf numFmtId="164" fontId="107" fillId="0" borderId="0" xfId="0" quotePrefix="1" applyFont="1" applyFill="1" applyBorder="1" applyAlignment="1" applyProtection="1">
      <alignment horizontal="center" wrapText="1"/>
    </xf>
    <xf numFmtId="164" fontId="107" fillId="0" borderId="1" xfId="0" applyFont="1" applyFill="1" applyBorder="1" applyAlignment="1" applyProtection="1">
      <alignment horizontal="center"/>
    </xf>
    <xf numFmtId="169" fontId="107" fillId="0" borderId="0" xfId="2" applyNumberFormat="1" applyFont="1" applyFill="1" applyBorder="1" applyAlignment="1" applyProtection="1">
      <alignment horizontal="center"/>
    </xf>
    <xf numFmtId="173" fontId="107" fillId="0" borderId="0" xfId="0" applyNumberFormat="1" applyFont="1" applyFill="1" applyBorder="1" applyAlignment="1" applyProtection="1">
      <alignment horizontal="center"/>
    </xf>
    <xf numFmtId="169" fontId="107" fillId="0" borderId="0" xfId="2" applyNumberFormat="1" applyFont="1" applyFill="1" applyProtection="1"/>
    <xf numFmtId="170" fontId="107" fillId="0" borderId="0" xfId="2" applyNumberFormat="1" applyFont="1" applyFill="1" applyBorder="1"/>
    <xf numFmtId="164" fontId="107" fillId="0" borderId="0" xfId="0" applyFont="1" applyFill="1"/>
    <xf numFmtId="167" fontId="107" fillId="0" borderId="0" xfId="1" applyNumberFormat="1" applyFont="1" applyFill="1" applyProtection="1"/>
    <xf numFmtId="3" fontId="107" fillId="0" borderId="0" xfId="0" applyNumberFormat="1" applyFont="1" applyFill="1" applyBorder="1" applyAlignment="1" applyProtection="1">
      <alignment horizontal="center"/>
    </xf>
    <xf numFmtId="170" fontId="107" fillId="0" borderId="0" xfId="2" applyNumberFormat="1" applyFont="1" applyFill="1" applyBorder="1" applyProtection="1"/>
    <xf numFmtId="169" fontId="106" fillId="0" borderId="0" xfId="2" applyNumberFormat="1" applyFont="1" applyFill="1" applyProtection="1"/>
    <xf numFmtId="164" fontId="107" fillId="0" borderId="23" xfId="0" applyFont="1" applyFill="1" applyBorder="1"/>
    <xf numFmtId="164" fontId="107" fillId="0" borderId="0" xfId="0" applyFont="1" applyFill="1" applyBorder="1" applyAlignment="1" applyProtection="1">
      <alignment horizontal="centerContinuous"/>
    </xf>
    <xf numFmtId="169" fontId="107" fillId="0" borderId="0" xfId="0" applyNumberFormat="1" applyFont="1" applyFill="1" applyProtection="1"/>
    <xf numFmtId="164" fontId="107" fillId="0" borderId="0" xfId="0" quotePrefix="1" applyFont="1" applyFill="1" applyAlignment="1" applyProtection="1">
      <alignment horizontal="center"/>
    </xf>
    <xf numFmtId="164" fontId="107" fillId="0" borderId="1" xfId="0" applyFont="1" applyFill="1" applyBorder="1" applyAlignment="1">
      <alignment horizontal="center"/>
    </xf>
    <xf numFmtId="164" fontId="107" fillId="0" borderId="0" xfId="0" applyFont="1" applyFill="1" applyAlignment="1">
      <alignment horizontal="centerContinuous"/>
    </xf>
    <xf numFmtId="44" fontId="107" fillId="0" borderId="0" xfId="2" applyNumberFormat="1" applyFont="1" applyFill="1" applyBorder="1" applyAlignment="1" applyProtection="1">
      <alignment horizontal="center"/>
    </xf>
    <xf numFmtId="37" fontId="96" fillId="0" borderId="0" xfId="18" applyNumberFormat="1" applyFont="1" applyFill="1" applyBorder="1" applyProtection="1"/>
    <xf numFmtId="171" fontId="36" fillId="0" borderId="4" xfId="18" applyNumberFormat="1" applyFont="1" applyFill="1" applyBorder="1" applyAlignment="1">
      <alignment horizontal="centerContinuous"/>
    </xf>
    <xf numFmtId="171" fontId="36" fillId="0" borderId="5" xfId="18" applyNumberFormat="1" applyFont="1" applyFill="1" applyBorder="1" applyAlignment="1">
      <alignment horizontal="centerContinuous"/>
    </xf>
    <xf numFmtId="171" fontId="36" fillId="0" borderId="5" xfId="18" applyNumberFormat="1" applyFont="1" applyFill="1" applyBorder="1" applyAlignment="1" applyProtection="1">
      <alignment horizontal="center"/>
    </xf>
    <xf numFmtId="171" fontId="36" fillId="0" borderId="7" xfId="18" applyNumberFormat="1" applyFont="1" applyFill="1" applyBorder="1"/>
    <xf numFmtId="37" fontId="36" fillId="0" borderId="8" xfId="18" applyNumberFormat="1" applyFont="1" applyFill="1" applyBorder="1" applyProtection="1"/>
    <xf numFmtId="164" fontId="96" fillId="0" borderId="10" xfId="18" applyFont="1" applyFill="1" applyBorder="1"/>
    <xf numFmtId="0" fontId="34" fillId="0" borderId="3" xfId="3" applyFont="1" applyFill="1" applyBorder="1"/>
    <xf numFmtId="0" fontId="34" fillId="0" borderId="0" xfId="3" applyFont="1" applyFill="1"/>
    <xf numFmtId="170" fontId="34" fillId="0" borderId="9" xfId="3" applyNumberFormat="1" applyFont="1" applyFill="1" applyBorder="1"/>
    <xf numFmtId="170" fontId="34" fillId="0" borderId="5" xfId="3" applyNumberFormat="1" applyFont="1" applyFill="1" applyBorder="1"/>
    <xf numFmtId="170" fontId="34" fillId="0" borderId="12" xfId="2" applyNumberFormat="1" applyFont="1" applyFill="1" applyBorder="1"/>
    <xf numFmtId="0" fontId="34" fillId="0" borderId="0" xfId="3" applyFont="1" applyFill="1" applyAlignment="1"/>
    <xf numFmtId="0" fontId="34" fillId="0" borderId="0" xfId="3" applyFont="1" applyFill="1" applyAlignment="1" applyProtection="1">
      <alignment horizontal="center"/>
    </xf>
    <xf numFmtId="0" fontId="34" fillId="0" borderId="0" xfId="3" applyFont="1" applyFill="1" applyBorder="1"/>
    <xf numFmtId="0" fontId="34" fillId="0" borderId="0" xfId="3" applyFont="1" applyFill="1" applyAlignment="1">
      <alignment horizontal="center"/>
    </xf>
    <xf numFmtId="0" fontId="34" fillId="0" borderId="4" xfId="3" applyFont="1" applyFill="1" applyBorder="1" applyAlignment="1" applyProtection="1">
      <alignment horizontal="center" wrapText="1"/>
    </xf>
    <xf numFmtId="0" fontId="34" fillId="0" borderId="16" xfId="3" applyFont="1" applyFill="1" applyBorder="1" applyAlignment="1" applyProtection="1">
      <alignment horizontal="center" wrapText="1"/>
    </xf>
    <xf numFmtId="0" fontId="34" fillId="0" borderId="6" xfId="3" applyFont="1" applyFill="1" applyBorder="1" applyAlignment="1" applyProtection="1">
      <alignment horizontal="center"/>
    </xf>
    <xf numFmtId="0" fontId="34" fillId="0" borderId="13" xfId="3" applyFont="1" applyFill="1" applyBorder="1" applyAlignment="1" applyProtection="1">
      <alignment horizontal="center"/>
    </xf>
    <xf numFmtId="0" fontId="34" fillId="0" borderId="6" xfId="3" quotePrefix="1" applyFont="1" applyFill="1" applyBorder="1" applyAlignment="1" applyProtection="1">
      <alignment horizontal="center"/>
    </xf>
    <xf numFmtId="0" fontId="34" fillId="0" borderId="1" xfId="3" quotePrefix="1" applyFont="1" applyFill="1" applyBorder="1" applyAlignment="1" applyProtection="1">
      <alignment horizontal="center"/>
    </xf>
    <xf numFmtId="0" fontId="34" fillId="0" borderId="13" xfId="3" quotePrefix="1" applyFont="1" applyFill="1" applyBorder="1" applyAlignment="1" applyProtection="1">
      <alignment horizontal="center"/>
    </xf>
    <xf numFmtId="0" fontId="104" fillId="0" borderId="3" xfId="3" applyFont="1" applyFill="1" applyBorder="1" applyAlignment="1" applyProtection="1">
      <alignment horizontal="left"/>
    </xf>
    <xf numFmtId="0" fontId="34" fillId="0" borderId="5" xfId="3" quotePrefix="1" applyFont="1" applyFill="1" applyBorder="1" applyAlignment="1">
      <alignment horizontal="center"/>
    </xf>
    <xf numFmtId="0" fontId="34" fillId="0" borderId="5" xfId="3" applyFont="1" applyFill="1" applyBorder="1" applyAlignment="1" applyProtection="1">
      <alignment horizontal="center"/>
    </xf>
    <xf numFmtId="0" fontId="34" fillId="0" borderId="12" xfId="3" applyFont="1" applyFill="1" applyBorder="1" applyAlignment="1" applyProtection="1">
      <alignment horizontal="left"/>
    </xf>
    <xf numFmtId="0" fontId="34" fillId="0" borderId="15" xfId="3" applyFont="1" applyFill="1" applyBorder="1" applyAlignment="1" applyProtection="1">
      <alignment horizontal="left"/>
    </xf>
    <xf numFmtId="0" fontId="34" fillId="0" borderId="6" xfId="3" applyFont="1" applyFill="1" applyBorder="1"/>
    <xf numFmtId="0" fontId="34" fillId="0" borderId="1" xfId="3" applyFont="1" applyFill="1" applyBorder="1"/>
    <xf numFmtId="173" fontId="36" fillId="0" borderId="5" xfId="1" applyNumberFormat="1" applyFont="1" applyFill="1" applyBorder="1" applyProtection="1"/>
    <xf numFmtId="164" fontId="34" fillId="0" borderId="0" xfId="18" applyFont="1" applyFill="1" applyBorder="1" applyAlignment="1" applyProtection="1">
      <alignment horizontal="left"/>
    </xf>
    <xf numFmtId="0" fontId="34" fillId="0" borderId="11" xfId="3" applyFont="1" applyFill="1" applyBorder="1" applyAlignment="1" applyProtection="1">
      <alignment horizontal="center" wrapText="1"/>
    </xf>
    <xf numFmtId="164" fontId="96" fillId="0" borderId="1" xfId="0" applyFont="1" applyFill="1" applyBorder="1" applyAlignment="1">
      <alignment horizontal="center" vertical="top" wrapText="1"/>
    </xf>
    <xf numFmtId="170" fontId="107" fillId="0" borderId="0" xfId="2" applyNumberFormat="1" applyFont="1" applyFill="1" applyBorder="1" applyAlignment="1" applyProtection="1">
      <alignment horizontal="center"/>
    </xf>
    <xf numFmtId="170" fontId="106" fillId="0" borderId="23" xfId="2" applyNumberFormat="1" applyFont="1" applyFill="1" applyBorder="1" applyProtection="1"/>
    <xf numFmtId="164" fontId="96" fillId="0" borderId="0" xfId="4" applyFont="1" applyFill="1" applyAlignment="1" applyProtection="1">
      <alignment horizontal="center"/>
    </xf>
    <xf numFmtId="37" fontId="36" fillId="0" borderId="0" xfId="0" applyNumberFormat="1" applyFont="1" applyFill="1" applyProtection="1"/>
    <xf numFmtId="37" fontId="36" fillId="0" borderId="0" xfId="0" applyNumberFormat="1" applyFont="1" applyFill="1" applyBorder="1" applyProtection="1"/>
    <xf numFmtId="17" fontId="36" fillId="0" borderId="0" xfId="0" quotePrefix="1" applyNumberFormat="1" applyFont="1" applyFill="1" applyBorder="1" applyAlignment="1" applyProtection="1">
      <alignment horizontal="left"/>
    </xf>
    <xf numFmtId="164" fontId="36" fillId="0" borderId="0" xfId="0" applyFont="1" applyFill="1" applyBorder="1" applyAlignment="1"/>
    <xf numFmtId="164" fontId="36" fillId="0" borderId="0" xfId="0" applyFont="1" applyFill="1" applyBorder="1" applyAlignment="1">
      <alignment horizontal="right"/>
    </xf>
    <xf numFmtId="164" fontId="36" fillId="0" borderId="0" xfId="0" applyFont="1" applyFill="1" applyAlignment="1" applyProtection="1">
      <alignment horizontal="left"/>
    </xf>
    <xf numFmtId="164" fontId="36" fillId="0" borderId="0" xfId="0" applyFont="1" applyFill="1" applyBorder="1" applyAlignment="1" applyProtection="1">
      <alignment horizontal="right"/>
    </xf>
    <xf numFmtId="37" fontId="96" fillId="0" borderId="0" xfId="0" applyNumberFormat="1" applyFont="1" applyFill="1" applyBorder="1" applyAlignment="1" applyProtection="1">
      <alignment horizontal="center"/>
    </xf>
    <xf numFmtId="44" fontId="96" fillId="0" borderId="14" xfId="2" applyFont="1" applyFill="1" applyBorder="1"/>
    <xf numFmtId="39" fontId="110" fillId="0" borderId="0" xfId="5865" applyFont="1" applyFill="1"/>
    <xf numFmtId="164" fontId="36" fillId="0" borderId="0" xfId="0" applyFont="1" applyFill="1" applyAlignment="1">
      <alignment horizontal="center"/>
    </xf>
    <xf numFmtId="3" fontId="96" fillId="0" borderId="0" xfId="1" applyNumberFormat="1" applyFont="1" applyFill="1" applyAlignment="1">
      <alignment horizontal="center"/>
    </xf>
    <xf numFmtId="164" fontId="36" fillId="0" borderId="0" xfId="0" applyFont="1" applyFill="1" applyAlignment="1">
      <alignment horizontal="center"/>
    </xf>
    <xf numFmtId="10" fontId="96" fillId="0" borderId="0" xfId="0" applyNumberFormat="1" applyFont="1" applyFill="1" applyAlignment="1">
      <alignment horizontal="center"/>
    </xf>
    <xf numFmtId="39" fontId="110" fillId="0" borderId="0" xfId="5865" applyNumberFormat="1" applyFont="1" applyFill="1" applyAlignment="1" applyProtection="1"/>
    <xf numFmtId="17" fontId="110" fillId="0" borderId="0" xfId="5865" applyNumberFormat="1" applyFont="1" applyFill="1" applyBorder="1"/>
    <xf numFmtId="164" fontId="107" fillId="0" borderId="0" xfId="0" applyFont="1" applyFill="1" applyBorder="1" applyAlignment="1">
      <alignment horizontal="center"/>
    </xf>
    <xf numFmtId="164" fontId="106" fillId="0" borderId="0" xfId="0" applyFont="1" applyFill="1" applyBorder="1" applyAlignment="1" applyProtection="1"/>
    <xf numFmtId="164" fontId="20" fillId="0" borderId="0" xfId="51497" applyFont="1" applyFill="1"/>
    <xf numFmtId="164" fontId="20" fillId="0" borderId="0" xfId="51497" applyFont="1" applyFill="1" applyAlignment="1" applyProtection="1">
      <alignment horizontal="left"/>
    </xf>
    <xf numFmtId="164" fontId="107" fillId="0" borderId="0" xfId="0" applyFont="1" applyFill="1" applyAlignment="1">
      <alignment horizontal="right" readingOrder="1"/>
    </xf>
    <xf numFmtId="39" fontId="110" fillId="0" borderId="0" xfId="51504" applyNumberFormat="1" applyFont="1" applyFill="1" applyAlignment="1">
      <alignment horizontal="center"/>
    </xf>
    <xf numFmtId="43" fontId="110" fillId="0" borderId="0" xfId="5860" applyFont="1" applyFill="1"/>
    <xf numFmtId="0" fontId="11" fillId="0" borderId="0" xfId="51500" applyAlignment="1"/>
    <xf numFmtId="0" fontId="116" fillId="0" borderId="0" xfId="51500" applyFont="1" applyAlignment="1"/>
    <xf numFmtId="164" fontId="107" fillId="0" borderId="18" xfId="0" applyFont="1" applyFill="1" applyBorder="1" applyAlignment="1" applyProtection="1">
      <alignment horizontal="center" wrapText="1"/>
    </xf>
    <xf numFmtId="164" fontId="107" fillId="0" borderId="19" xfId="0" applyFont="1" applyFill="1" applyBorder="1" applyAlignment="1" applyProtection="1">
      <alignment horizontal="center" wrapText="1"/>
    </xf>
    <xf numFmtId="164" fontId="107" fillId="0" borderId="20" xfId="0" applyFont="1" applyFill="1" applyBorder="1" applyAlignment="1" applyProtection="1">
      <alignment horizontal="center" wrapText="1"/>
    </xf>
    <xf numFmtId="164" fontId="107" fillId="0" borderId="48" xfId="0" applyFont="1" applyFill="1" applyBorder="1" applyAlignment="1" applyProtection="1">
      <alignment horizontal="center"/>
    </xf>
    <xf numFmtId="164" fontId="107" fillId="0" borderId="47" xfId="0" applyFont="1" applyFill="1" applyBorder="1" applyAlignment="1" applyProtection="1">
      <alignment horizontal="center"/>
    </xf>
    <xf numFmtId="3" fontId="107" fillId="0" borderId="21" xfId="0" applyNumberFormat="1" applyFont="1" applyFill="1" applyBorder="1" applyAlignment="1" applyProtection="1">
      <alignment horizontal="center"/>
    </xf>
    <xf numFmtId="3" fontId="107" fillId="0" borderId="22" xfId="0" applyNumberFormat="1" applyFont="1" applyFill="1" applyBorder="1" applyAlignment="1" applyProtection="1">
      <alignment horizontal="center"/>
    </xf>
    <xf numFmtId="173" fontId="107" fillId="0" borderId="21" xfId="0" applyNumberFormat="1" applyFont="1" applyFill="1" applyBorder="1" applyAlignment="1" applyProtection="1">
      <alignment horizontal="center"/>
    </xf>
    <xf numFmtId="173" fontId="107" fillId="0" borderId="22" xfId="0" applyNumberFormat="1" applyFont="1" applyFill="1" applyBorder="1" applyAlignment="1" applyProtection="1">
      <alignment horizontal="center"/>
    </xf>
    <xf numFmtId="170" fontId="107" fillId="0" borderId="21" xfId="2" applyNumberFormat="1" applyFont="1" applyFill="1" applyBorder="1"/>
    <xf numFmtId="170" fontId="107" fillId="0" borderId="22" xfId="2" applyNumberFormat="1" applyFont="1" applyFill="1" applyBorder="1"/>
    <xf numFmtId="44" fontId="107" fillId="0" borderId="21" xfId="2" applyNumberFormat="1" applyFont="1" applyFill="1" applyBorder="1" applyAlignment="1" applyProtection="1">
      <alignment horizontal="center"/>
    </xf>
    <xf numFmtId="44" fontId="107" fillId="0" borderId="22" xfId="2" applyNumberFormat="1" applyFont="1" applyFill="1" applyBorder="1" applyAlignment="1" applyProtection="1">
      <alignment horizontal="center"/>
    </xf>
    <xf numFmtId="203" fontId="107" fillId="0" borderId="22" xfId="2" applyNumberFormat="1" applyFont="1" applyFill="1" applyBorder="1" applyAlignment="1" applyProtection="1">
      <alignment horizontal="center"/>
    </xf>
    <xf numFmtId="170" fontId="107" fillId="0" borderId="21" xfId="2" applyNumberFormat="1" applyFont="1" applyFill="1" applyBorder="1" applyProtection="1"/>
    <xf numFmtId="170" fontId="107" fillId="0" borderId="22" xfId="2" applyNumberFormat="1" applyFont="1" applyFill="1" applyBorder="1" applyProtection="1"/>
    <xf numFmtId="170" fontId="106" fillId="0" borderId="45" xfId="2" applyNumberFormat="1" applyFont="1" applyFill="1" applyBorder="1" applyProtection="1"/>
    <xf numFmtId="170" fontId="106" fillId="0" borderId="46" xfId="2" applyNumberFormat="1" applyFont="1" applyFill="1" applyBorder="1" applyProtection="1"/>
    <xf numFmtId="164" fontId="107" fillId="0" borderId="45" xfId="0" applyFont="1" applyFill="1" applyBorder="1"/>
    <xf numFmtId="164" fontId="107" fillId="0" borderId="46" xfId="0" applyFont="1" applyFill="1" applyBorder="1"/>
    <xf numFmtId="39" fontId="110" fillId="0" borderId="0" xfId="5865" applyNumberFormat="1" applyFont="1" applyBorder="1" applyAlignment="1" applyProtection="1">
      <protection locked="0"/>
    </xf>
    <xf numFmtId="0" fontId="11" fillId="0" borderId="0" xfId="51500" applyFill="1" applyBorder="1"/>
    <xf numFmtId="169" fontId="11" fillId="0" borderId="0" xfId="51500" applyNumberFormat="1" applyFill="1" applyBorder="1"/>
    <xf numFmtId="169" fontId="108" fillId="0" borderId="0" xfId="51500" applyNumberFormat="1" applyFont="1" applyFill="1" applyBorder="1"/>
    <xf numFmtId="39" fontId="96" fillId="0" borderId="0" xfId="0" applyNumberFormat="1" applyFont="1" applyFill="1"/>
    <xf numFmtId="164" fontId="117" fillId="0" borderId="0" xfId="0" applyFont="1"/>
    <xf numFmtId="164" fontId="36" fillId="0" borderId="16" xfId="4" applyFont="1" applyFill="1" applyBorder="1" applyAlignment="1">
      <alignment horizontal="center"/>
    </xf>
    <xf numFmtId="164" fontId="36" fillId="0" borderId="9" xfId="4" applyFont="1" applyFill="1" applyBorder="1" applyAlignment="1" applyProtection="1">
      <alignment horizontal="center"/>
    </xf>
    <xf numFmtId="164" fontId="36" fillId="0" borderId="9" xfId="4" applyFont="1" applyFill="1" applyBorder="1" applyAlignment="1">
      <alignment horizontal="center"/>
    </xf>
    <xf numFmtId="37" fontId="36" fillId="0" borderId="6" xfId="4" applyNumberFormat="1" applyFont="1" applyFill="1" applyBorder="1" applyProtection="1"/>
    <xf numFmtId="164" fontId="96" fillId="0" borderId="8" xfId="4" applyFont="1" applyFill="1" applyBorder="1" applyAlignment="1">
      <alignment horizontal="center"/>
    </xf>
    <xf numFmtId="37" fontId="96" fillId="0" borderId="3" xfId="4" applyNumberFormat="1" applyFont="1" applyFill="1" applyBorder="1" applyProtection="1"/>
    <xf numFmtId="37" fontId="36" fillId="0" borderId="5" xfId="4" applyNumberFormat="1" applyFont="1" applyFill="1" applyBorder="1"/>
    <xf numFmtId="164" fontId="96" fillId="0" borderId="10" xfId="4" applyFont="1" applyFill="1" applyBorder="1" applyAlignment="1">
      <alignment horizontal="center"/>
    </xf>
    <xf numFmtId="37" fontId="36" fillId="0" borderId="0" xfId="4" applyNumberFormat="1" applyFont="1" applyFill="1" applyBorder="1" applyAlignment="1" applyProtection="1">
      <alignment horizontal="left"/>
    </xf>
    <xf numFmtId="37" fontId="36" fillId="0" borderId="15" xfId="4" applyNumberFormat="1" applyFont="1" applyFill="1" applyBorder="1" applyProtection="1"/>
    <xf numFmtId="37" fontId="96" fillId="0" borderId="1" xfId="4" applyNumberFormat="1" applyFont="1" applyFill="1" applyBorder="1" applyProtection="1"/>
    <xf numFmtId="37" fontId="96" fillId="0" borderId="6" xfId="4" applyNumberFormat="1" applyFont="1" applyFill="1" applyBorder="1" applyProtection="1"/>
    <xf numFmtId="39" fontId="112" fillId="0" borderId="1" xfId="5865" applyNumberFormat="1" applyFont="1" applyFill="1" applyBorder="1" applyAlignment="1" applyProtection="1">
      <alignment horizontal="center" wrapText="1"/>
    </xf>
    <xf numFmtId="0" fontId="110" fillId="0" borderId="0" xfId="51504" applyFont="1" applyFill="1"/>
    <xf numFmtId="39" fontId="110" fillId="0" borderId="0" xfId="5865" applyFont="1" applyFill="1" applyAlignment="1">
      <alignment horizontal="center"/>
    </xf>
    <xf numFmtId="0" fontId="114" fillId="0" borderId="0" xfId="51504" applyFont="1" applyFill="1"/>
    <xf numFmtId="39" fontId="110" fillId="0" borderId="0" xfId="5865" applyFont="1" applyFill="1" applyBorder="1" applyAlignment="1">
      <alignment horizontal="left" vertical="top"/>
    </xf>
    <xf numFmtId="39" fontId="110" fillId="0" borderId="0" xfId="5865" applyFont="1" applyFill="1" applyBorder="1" applyAlignment="1">
      <alignment horizontal="left" wrapText="1"/>
    </xf>
    <xf numFmtId="39" fontId="110" fillId="0" borderId="0" xfId="5865" applyNumberFormat="1" applyFont="1" applyFill="1" applyAlignment="1" applyProtection="1">
      <alignment horizontal="left"/>
    </xf>
    <xf numFmtId="39" fontId="112" fillId="0" borderId="1" xfId="5865" applyFont="1" applyFill="1" applyBorder="1" applyAlignment="1">
      <alignment horizontal="center"/>
    </xf>
    <xf numFmtId="39" fontId="112" fillId="0" borderId="1" xfId="5865" applyFont="1" applyFill="1" applyBorder="1" applyAlignment="1">
      <alignment horizontal="center" wrapText="1"/>
    </xf>
    <xf numFmtId="39" fontId="110" fillId="0" borderId="0" xfId="51504" applyNumberFormat="1" applyFont="1" applyFill="1" applyAlignment="1" applyProtection="1">
      <alignment horizontal="fill"/>
    </xf>
    <xf numFmtId="39" fontId="110" fillId="0" borderId="0" xfId="51504" applyNumberFormat="1" applyFont="1" applyFill="1" applyAlignment="1" applyProtection="1"/>
    <xf numFmtId="39" fontId="110" fillId="0" borderId="0" xfId="51504" applyNumberFormat="1" applyFont="1" applyFill="1"/>
    <xf numFmtId="43" fontId="114" fillId="0" borderId="0" xfId="5860" applyFont="1" applyFill="1"/>
    <xf numFmtId="17" fontId="110" fillId="0" borderId="0" xfId="51504" applyNumberFormat="1" applyFont="1" applyFill="1"/>
    <xf numFmtId="37" fontId="110" fillId="0" borderId="0" xfId="51524" applyNumberFormat="1" applyFont="1" applyFill="1"/>
    <xf numFmtId="39" fontId="110" fillId="0" borderId="0" xfId="51523" applyNumberFormat="1" applyFont="1" applyFill="1"/>
    <xf numFmtId="39" fontId="110" fillId="0" borderId="0" xfId="51530" applyNumberFormat="1" applyFont="1" applyFill="1"/>
    <xf numFmtId="43" fontId="114" fillId="0" borderId="0" xfId="5860" applyFont="1" applyFill="1" applyBorder="1"/>
    <xf numFmtId="207" fontId="110" fillId="0" borderId="0" xfId="5865" applyNumberFormat="1" applyFont="1" applyFill="1" applyBorder="1"/>
    <xf numFmtId="39" fontId="110" fillId="0" borderId="0" xfId="51504" applyNumberFormat="1" applyFont="1" applyFill="1" applyBorder="1"/>
    <xf numFmtId="43" fontId="110" fillId="0" borderId="0" xfId="51528" applyFont="1" applyFill="1"/>
    <xf numFmtId="39" fontId="110" fillId="0" borderId="0" xfId="51504" applyNumberFormat="1" applyFont="1" applyFill="1" applyBorder="1" applyAlignment="1" applyProtection="1"/>
    <xf numFmtId="43" fontId="110" fillId="0" borderId="0" xfId="5860" applyFont="1" applyFill="1" applyBorder="1"/>
    <xf numFmtId="39" fontId="110" fillId="0" borderId="0" xfId="5865" applyFont="1" applyFill="1" applyBorder="1"/>
    <xf numFmtId="39" fontId="114" fillId="0" borderId="0" xfId="51504" applyNumberFormat="1" applyFont="1" applyFill="1"/>
    <xf numFmtId="207" fontId="110" fillId="0" borderId="0" xfId="5865" applyNumberFormat="1" applyFont="1" applyFill="1"/>
    <xf numFmtId="164" fontId="0" fillId="0" borderId="0" xfId="0" applyFill="1"/>
    <xf numFmtId="167" fontId="36" fillId="44" borderId="8" xfId="13" applyNumberFormat="1" applyFont="1" applyFill="1" applyBorder="1"/>
    <xf numFmtId="37" fontId="10" fillId="44" borderId="6" xfId="0" applyNumberFormat="1" applyFont="1" applyFill="1" applyBorder="1"/>
    <xf numFmtId="167" fontId="10" fillId="44" borderId="6" xfId="1" applyNumberFormat="1" applyFont="1" applyFill="1" applyBorder="1"/>
    <xf numFmtId="14" fontId="99" fillId="0" borderId="0" xfId="0" applyNumberFormat="1" applyFont="1" applyFill="1" applyAlignment="1">
      <alignment horizontal="center"/>
    </xf>
    <xf numFmtId="0" fontId="11" fillId="0" borderId="0" xfId="51500" applyFill="1" applyBorder="1" applyAlignment="1"/>
    <xf numFmtId="0" fontId="11" fillId="0" borderId="0" xfId="51500" applyFill="1"/>
    <xf numFmtId="10" fontId="0" fillId="0" borderId="0" xfId="51501" applyNumberFormat="1" applyFont="1" applyFill="1" applyBorder="1"/>
    <xf numFmtId="10" fontId="11" fillId="0" borderId="0" xfId="51500" applyNumberFormat="1" applyFill="1" applyBorder="1"/>
    <xf numFmtId="204" fontId="109" fillId="0" borderId="0" xfId="51501" applyNumberFormat="1" applyFont="1" applyFill="1" applyBorder="1"/>
    <xf numFmtId="169" fontId="11" fillId="0" borderId="0" xfId="51500" applyNumberFormat="1" applyFill="1"/>
    <xf numFmtId="9" fontId="11" fillId="0" borderId="0" xfId="51500" applyNumberFormat="1" applyFill="1" applyBorder="1"/>
    <xf numFmtId="0" fontId="7" fillId="0" borderId="0" xfId="51500" applyFont="1" applyFill="1" applyBorder="1"/>
    <xf numFmtId="169" fontId="11" fillId="0" borderId="0" xfId="2" applyNumberFormat="1" applyFont="1" applyFill="1" applyBorder="1"/>
    <xf numFmtId="0" fontId="11" fillId="0" borderId="0" xfId="51500" applyFill="1" applyAlignment="1">
      <alignment horizontal="center"/>
    </xf>
    <xf numFmtId="164" fontId="96" fillId="0" borderId="0" xfId="0" applyFont="1" applyFill="1" applyBorder="1" applyAlignment="1" applyProtection="1">
      <alignment horizontal="center"/>
    </xf>
    <xf numFmtId="164" fontId="96" fillId="0" borderId="0" xfId="0" applyFont="1" applyFill="1" applyBorder="1" applyAlignment="1">
      <alignment horizontal="center"/>
    </xf>
    <xf numFmtId="37" fontId="36" fillId="0" borderId="9" xfId="0" applyNumberFormat="1" applyFont="1" applyFill="1" applyBorder="1" applyProtection="1"/>
    <xf numFmtId="1" fontId="36" fillId="0" borderId="5" xfId="1" applyNumberFormat="1" applyFont="1" applyFill="1" applyBorder="1"/>
    <xf numFmtId="164" fontId="36" fillId="0" borderId="13" xfId="4" applyFont="1" applyFill="1" applyBorder="1" applyAlignment="1">
      <alignment horizontal="center"/>
    </xf>
    <xf numFmtId="37" fontId="36" fillId="0" borderId="13" xfId="0" applyNumberFormat="1" applyFont="1" applyFill="1" applyBorder="1" applyProtection="1"/>
    <xf numFmtId="37" fontId="96" fillId="0" borderId="10" xfId="4" applyNumberFormat="1" applyFont="1" applyFill="1" applyBorder="1"/>
    <xf numFmtId="37" fontId="36" fillId="0" borderId="4" xfId="4" applyNumberFormat="1" applyFont="1" applyFill="1" applyBorder="1"/>
    <xf numFmtId="37" fontId="96" fillId="0" borderId="6" xfId="4" applyNumberFormat="1" applyFont="1" applyFill="1" applyBorder="1"/>
    <xf numFmtId="206" fontId="110" fillId="0" borderId="0" xfId="5865" applyNumberFormat="1" applyFont="1" applyFill="1"/>
    <xf numFmtId="39" fontId="110" fillId="0" borderId="0" xfId="51510" applyFont="1" applyFill="1"/>
    <xf numFmtId="39" fontId="110" fillId="0" borderId="0" xfId="5865" applyFont="1" applyFill="1" applyAlignment="1"/>
    <xf numFmtId="209" fontId="110" fillId="0" borderId="0" xfId="0" applyNumberFormat="1" applyFont="1" applyFill="1"/>
    <xf numFmtId="39" fontId="110" fillId="0" borderId="0" xfId="5865" applyNumberFormat="1" applyFont="1" applyFill="1"/>
    <xf numFmtId="37" fontId="110" fillId="0" borderId="0" xfId="51504" applyNumberFormat="1" applyFont="1" applyFill="1"/>
    <xf numFmtId="39" fontId="110" fillId="0" borderId="0" xfId="15" applyNumberFormat="1" applyFont="1" applyFill="1"/>
    <xf numFmtId="37" fontId="110" fillId="0" borderId="0" xfId="5865" applyNumberFormat="1" applyFont="1" applyFill="1"/>
    <xf numFmtId="0" fontId="34" fillId="0" borderId="8" xfId="3" applyFont="1" applyFill="1" applyBorder="1"/>
    <xf numFmtId="44" fontId="11" fillId="0" borderId="0" xfId="2" applyFont="1" applyFill="1"/>
    <xf numFmtId="44" fontId="11" fillId="0" borderId="0" xfId="51500" applyNumberFormat="1" applyFill="1"/>
    <xf numFmtId="10" fontId="11" fillId="0" borderId="0" xfId="12" applyNumberFormat="1" applyFont="1" applyFill="1"/>
    <xf numFmtId="169" fontId="11" fillId="0" borderId="0" xfId="2" applyNumberFormat="1" applyFont="1" applyFill="1"/>
    <xf numFmtId="167" fontId="11" fillId="0" borderId="0" xfId="1" applyNumberFormat="1" applyFont="1" applyFill="1"/>
    <xf numFmtId="5" fontId="11" fillId="0" borderId="0" xfId="51500" applyNumberFormat="1" applyFill="1"/>
    <xf numFmtId="165" fontId="11" fillId="0" borderId="0" xfId="51500" applyNumberFormat="1" applyFill="1"/>
    <xf numFmtId="0" fontId="5" fillId="0" borderId="0" xfId="51500" applyFont="1" applyFill="1"/>
    <xf numFmtId="165" fontId="11" fillId="0" borderId="0" xfId="2" applyNumberFormat="1" applyFont="1" applyFill="1"/>
    <xf numFmtId="164" fontId="36" fillId="0" borderId="15" xfId="18" applyFont="1" applyFill="1" applyBorder="1" applyAlignment="1" applyProtection="1">
      <alignment horizontal="center"/>
    </xf>
    <xf numFmtId="37" fontId="4" fillId="44" borderId="10" xfId="0" applyNumberFormat="1" applyFont="1" applyFill="1" applyBorder="1"/>
    <xf numFmtId="37" fontId="4" fillId="44" borderId="5" xfId="0" applyNumberFormat="1" applyFont="1" applyFill="1" applyBorder="1"/>
    <xf numFmtId="3" fontId="4" fillId="44" borderId="5" xfId="0" applyNumberFormat="1" applyFont="1" applyFill="1" applyBorder="1"/>
    <xf numFmtId="167" fontId="4" fillId="44" borderId="10" xfId="1" applyNumberFormat="1" applyFont="1" applyFill="1" applyBorder="1"/>
    <xf numFmtId="17" fontId="36" fillId="0" borderId="1" xfId="0" applyNumberFormat="1" applyFont="1" applyFill="1" applyBorder="1" applyAlignment="1">
      <alignment horizontal="center"/>
    </xf>
    <xf numFmtId="14" fontId="96" fillId="0" borderId="0" xfId="0" applyNumberFormat="1" applyFont="1" applyFill="1" applyAlignment="1" applyProtection="1">
      <alignment horizontal="center"/>
    </xf>
    <xf numFmtId="0" fontId="107" fillId="0" borderId="0" xfId="0" applyNumberFormat="1" applyFont="1" applyFill="1" applyAlignment="1">
      <alignment horizontal="center"/>
    </xf>
    <xf numFmtId="164" fontId="107" fillId="0" borderId="0" xfId="51497" applyFont="1" applyFill="1"/>
    <xf numFmtId="164" fontId="107" fillId="0" borderId="0" xfId="51497" applyFont="1" applyFill="1" applyAlignment="1" applyProtection="1">
      <alignment horizontal="left"/>
    </xf>
    <xf numFmtId="0" fontId="107" fillId="0" borderId="0" xfId="3" applyFont="1" applyFill="1" applyBorder="1" applyAlignment="1">
      <alignment horizontal="center"/>
    </xf>
    <xf numFmtId="44" fontId="107" fillId="0" borderId="0" xfId="2" applyNumberFormat="1" applyFont="1" applyFill="1" applyProtection="1"/>
    <xf numFmtId="0" fontId="107" fillId="0" borderId="0" xfId="3" quotePrefix="1" applyFont="1" applyFill="1" applyBorder="1" applyAlignment="1">
      <alignment horizontal="center"/>
    </xf>
    <xf numFmtId="0" fontId="107" fillId="0" borderId="0" xfId="3" applyFont="1" applyFill="1" applyBorder="1" applyAlignment="1" applyProtection="1">
      <alignment horizontal="center"/>
    </xf>
    <xf numFmtId="164" fontId="107" fillId="0" borderId="0" xfId="0" applyFont="1" applyFill="1" applyBorder="1" applyAlignment="1" applyProtection="1">
      <alignment horizontal="left"/>
    </xf>
    <xf numFmtId="7" fontId="106" fillId="0" borderId="0" xfId="0" applyNumberFormat="1" applyFont="1" applyFill="1" applyAlignment="1" applyProtection="1">
      <alignment horizontal="right"/>
    </xf>
    <xf numFmtId="164" fontId="107" fillId="0" borderId="0" xfId="0" applyFont="1" applyFill="1" applyBorder="1"/>
    <xf numFmtId="202" fontId="107" fillId="0" borderId="21" xfId="0" applyNumberFormat="1" applyFont="1" applyFill="1" applyBorder="1"/>
    <xf numFmtId="164" fontId="107" fillId="0" borderId="22" xfId="0" applyFont="1" applyFill="1" applyBorder="1"/>
    <xf numFmtId="165" fontId="107" fillId="0" borderId="0" xfId="0" applyNumberFormat="1" applyFont="1" applyFill="1"/>
    <xf numFmtId="165" fontId="106" fillId="0" borderId="0" xfId="0" applyNumberFormat="1" applyFont="1" applyFill="1"/>
    <xf numFmtId="169" fontId="107" fillId="0" borderId="0" xfId="0" applyNumberFormat="1" applyFont="1" applyFill="1"/>
    <xf numFmtId="0" fontId="116" fillId="0" borderId="0" xfId="51532" applyFont="1"/>
    <xf numFmtId="0" fontId="34" fillId="0" borderId="12" xfId="51533" applyFont="1" applyBorder="1"/>
    <xf numFmtId="0" fontId="34" fillId="0" borderId="0" xfId="51533" applyFont="1"/>
    <xf numFmtId="208" fontId="34" fillId="0" borderId="9" xfId="51533" applyNumberFormat="1" applyFont="1" applyBorder="1"/>
    <xf numFmtId="0" fontId="34" fillId="0" borderId="12" xfId="51533" quotePrefix="1" applyFont="1" applyBorder="1" applyAlignment="1">
      <alignment horizontal="left" indent="1"/>
    </xf>
    <xf numFmtId="0" fontId="34" fillId="0" borderId="12" xfId="51533" quotePrefix="1" applyFont="1" applyBorder="1" applyAlignment="1">
      <alignment horizontal="left" indent="2"/>
    </xf>
    <xf numFmtId="208" fontId="34" fillId="0" borderId="9" xfId="51534" applyNumberFormat="1" applyFont="1" applyBorder="1"/>
    <xf numFmtId="208" fontId="116" fillId="0" borderId="0" xfId="51532" applyNumberFormat="1" applyFont="1"/>
    <xf numFmtId="208" fontId="34" fillId="0" borderId="13" xfId="51533" applyNumberFormat="1" applyFont="1" applyBorder="1"/>
    <xf numFmtId="208" fontId="34" fillId="0" borderId="50" xfId="51533" applyNumberFormat="1" applyFont="1" applyBorder="1"/>
    <xf numFmtId="0" fontId="34" fillId="0" borderId="12" xfId="51533" applyFont="1" applyBorder="1" applyAlignment="1">
      <alignment horizontal="left" indent="1"/>
    </xf>
    <xf numFmtId="208" fontId="34" fillId="0" borderId="51" xfId="51533" applyNumberFormat="1" applyFont="1" applyBorder="1"/>
    <xf numFmtId="208" fontId="104" fillId="0" borderId="52" xfId="51533" applyNumberFormat="1" applyFont="1" applyBorder="1"/>
    <xf numFmtId="0" fontId="34" fillId="0" borderId="15" xfId="51533" applyFont="1" applyBorder="1"/>
    <xf numFmtId="0" fontId="34" fillId="0" borderId="1" xfId="51533" applyFont="1" applyBorder="1"/>
    <xf numFmtId="0" fontId="34" fillId="0" borderId="12" xfId="51532" applyFont="1" applyBorder="1" applyAlignment="1">
      <alignment horizontal="left"/>
    </xf>
    <xf numFmtId="0" fontId="34" fillId="0" borderId="0" xfId="51532" applyFont="1"/>
    <xf numFmtId="202" fontId="34" fillId="0" borderId="9" xfId="51532" applyNumberFormat="1" applyFont="1" applyBorder="1"/>
    <xf numFmtId="0" fontId="34" fillId="0" borderId="12" xfId="51532" applyFont="1" applyBorder="1"/>
    <xf numFmtId="0" fontId="34" fillId="0" borderId="9" xfId="51532" applyFont="1" applyBorder="1"/>
    <xf numFmtId="0" fontId="34" fillId="0" borderId="15" xfId="51532" applyFont="1" applyBorder="1" applyAlignment="1">
      <alignment horizontal="left"/>
    </xf>
    <xf numFmtId="0" fontId="34" fillId="0" borderId="1" xfId="51532" applyFont="1" applyBorder="1"/>
    <xf numFmtId="0" fontId="34" fillId="0" borderId="13" xfId="51532" applyFont="1" applyBorder="1"/>
    <xf numFmtId="164" fontId="36" fillId="0" borderId="7" xfId="18" applyFont="1" applyFill="1" applyBorder="1"/>
    <xf numFmtId="164" fontId="34" fillId="0" borderId="0" xfId="51535" applyFont="1"/>
    <xf numFmtId="164" fontId="34" fillId="0" borderId="0" xfId="51535" applyFont="1" applyAlignment="1">
      <alignment horizontal="left"/>
    </xf>
    <xf numFmtId="164" fontId="104" fillId="0" borderId="0" xfId="51535" applyFont="1" applyAlignment="1">
      <alignment horizontal="centerContinuous"/>
    </xf>
    <xf numFmtId="164" fontId="34" fillId="0" borderId="0" xfId="51535" applyFont="1" applyAlignment="1">
      <alignment horizontal="centerContinuous"/>
    </xf>
    <xf numFmtId="164" fontId="104" fillId="0" borderId="0" xfId="4" applyFont="1"/>
    <xf numFmtId="164" fontId="34" fillId="0" borderId="0" xfId="51535" applyFont="1" applyAlignment="1">
      <alignment horizontal="center"/>
    </xf>
    <xf numFmtId="164" fontId="34" fillId="0" borderId="0" xfId="51535" applyFont="1" applyAlignment="1">
      <alignment horizontal="right"/>
    </xf>
    <xf numFmtId="164" fontId="34" fillId="0" borderId="49" xfId="51535" applyFont="1" applyBorder="1" applyAlignment="1">
      <alignment horizontal="center"/>
    </xf>
    <xf numFmtId="164" fontId="34" fillId="0" borderId="5" xfId="51535" applyFont="1" applyBorder="1" applyAlignment="1">
      <alignment horizontal="centerContinuous"/>
    </xf>
    <xf numFmtId="164" fontId="34" fillId="0" borderId="5" xfId="51535" applyFont="1" applyBorder="1"/>
    <xf numFmtId="1" fontId="34" fillId="0" borderId="0" xfId="51535" applyNumberFormat="1" applyFont="1" applyAlignment="1">
      <alignment horizontal="center"/>
    </xf>
    <xf numFmtId="210" fontId="34" fillId="0" borderId="0" xfId="51535" applyNumberFormat="1" applyFont="1" applyAlignment="1">
      <alignment horizontal="center"/>
    </xf>
    <xf numFmtId="211" fontId="34" fillId="0" borderId="0" xfId="51535" applyNumberFormat="1" applyFont="1" applyAlignment="1">
      <alignment horizontal="center"/>
    </xf>
    <xf numFmtId="7" fontId="34" fillId="0" borderId="0" xfId="51535" applyNumberFormat="1" applyFont="1"/>
    <xf numFmtId="7" fontId="34" fillId="0" borderId="0" xfId="51535" applyNumberFormat="1" applyFont="1" applyAlignment="1">
      <alignment horizontal="center"/>
    </xf>
    <xf numFmtId="212" fontId="34" fillId="0" borderId="0" xfId="51535" applyNumberFormat="1" applyFont="1" applyAlignment="1">
      <alignment horizontal="center"/>
    </xf>
    <xf numFmtId="10" fontId="34" fillId="0" borderId="0" xfId="51535" applyNumberFormat="1" applyFont="1"/>
    <xf numFmtId="165" fontId="34" fillId="0" borderId="0" xfId="51535" applyNumberFormat="1" applyFont="1"/>
    <xf numFmtId="3" fontId="34" fillId="0" borderId="0" xfId="51535" applyNumberFormat="1" applyFont="1" applyAlignment="1">
      <alignment horizontal="center"/>
    </xf>
    <xf numFmtId="164" fontId="104" fillId="0" borderId="0" xfId="4" applyFont="1" applyAlignment="1"/>
    <xf numFmtId="10" fontId="34" fillId="0" borderId="5" xfId="12" applyNumberFormat="1" applyFont="1" applyFill="1" applyBorder="1" applyAlignment="1" applyProtection="1">
      <alignment horizontal="center"/>
    </xf>
    <xf numFmtId="10" fontId="34" fillId="0" borderId="6" xfId="12" applyNumberFormat="1" applyFont="1" applyFill="1" applyBorder="1" applyAlignment="1" applyProtection="1">
      <alignment horizontal="center"/>
    </xf>
    <xf numFmtId="39" fontId="110" fillId="0" borderId="0" xfId="0" applyNumberFormat="1" applyFont="1"/>
    <xf numFmtId="43" fontId="110" fillId="0" borderId="0" xfId="5860" applyFont="1"/>
    <xf numFmtId="43" fontId="110" fillId="0" borderId="0" xfId="1" applyFont="1"/>
    <xf numFmtId="0" fontId="11" fillId="0" borderId="0" xfId="51500" applyFill="1" applyBorder="1" applyAlignment="1">
      <alignment horizontal="center"/>
    </xf>
    <xf numFmtId="164" fontId="36" fillId="0" borderId="0" xfId="0" applyFont="1" applyFill="1" applyAlignment="1">
      <alignment horizontal="center"/>
    </xf>
    <xf numFmtId="164" fontId="117" fillId="0" borderId="0" xfId="0" applyFont="1" applyFill="1"/>
    <xf numFmtId="17" fontId="36" fillId="0" borderId="0" xfId="0" applyNumberFormat="1" applyFont="1" applyFill="1" applyBorder="1"/>
    <xf numFmtId="3" fontId="36" fillId="0" borderId="0" xfId="1" applyNumberFormat="1" applyFont="1" applyFill="1"/>
    <xf numFmtId="164" fontId="113" fillId="0" borderId="0" xfId="0" applyFont="1" applyFill="1" applyAlignment="1">
      <alignment horizontal="center"/>
    </xf>
    <xf numFmtId="17" fontId="96" fillId="0" borderId="0" xfId="0" applyNumberFormat="1" applyFont="1" applyFill="1" applyAlignment="1" applyProtection="1">
      <alignment horizontal="center"/>
    </xf>
    <xf numFmtId="10" fontId="99" fillId="0" borderId="0" xfId="12" applyNumberFormat="1" applyFont="1" applyFill="1"/>
    <xf numFmtId="205" fontId="96" fillId="0" borderId="0" xfId="0" applyNumberFormat="1" applyFont="1" applyFill="1" applyAlignment="1" applyProtection="1">
      <alignment horizontal="center"/>
    </xf>
    <xf numFmtId="14" fontId="96" fillId="0" borderId="1" xfId="0" applyNumberFormat="1" applyFont="1" applyFill="1" applyBorder="1" applyAlignment="1">
      <alignment horizontal="center"/>
    </xf>
    <xf numFmtId="202" fontId="36" fillId="0" borderId="17" xfId="13" applyNumberFormat="1" applyFont="1" applyFill="1"/>
    <xf numFmtId="170" fontId="34" fillId="0" borderId="5" xfId="2" applyNumberFormat="1" applyFont="1" applyFill="1" applyBorder="1"/>
    <xf numFmtId="164" fontId="34" fillId="0" borderId="0" xfId="51535" applyFont="1" applyFill="1"/>
    <xf numFmtId="164" fontId="34" fillId="0" borderId="0" xfId="51535" applyFont="1" applyFill="1" applyAlignment="1">
      <alignment horizontal="center"/>
    </xf>
    <xf numFmtId="164" fontId="34" fillId="0" borderId="4" xfId="51535" applyFont="1" applyFill="1" applyBorder="1" applyAlignment="1">
      <alignment horizontal="center"/>
    </xf>
    <xf numFmtId="14" fontId="34" fillId="0" borderId="0" xfId="51535" applyNumberFormat="1" applyFont="1" applyFill="1" applyAlignment="1">
      <alignment horizontal="center"/>
    </xf>
    <xf numFmtId="14" fontId="34" fillId="0" borderId="5" xfId="51535" applyNumberFormat="1" applyFont="1" applyFill="1" applyBorder="1" applyAlignment="1">
      <alignment horizontal="center"/>
    </xf>
    <xf numFmtId="164" fontId="104" fillId="0" borderId="5" xfId="51535" applyFont="1" applyFill="1" applyBorder="1" applyAlignment="1">
      <alignment horizontal="centerContinuous"/>
    </xf>
    <xf numFmtId="164" fontId="34" fillId="0" borderId="49" xfId="51535" applyFont="1" applyFill="1" applyBorder="1" applyAlignment="1">
      <alignment horizontal="center"/>
    </xf>
    <xf numFmtId="164" fontId="34" fillId="0" borderId="6" xfId="51535" applyFont="1" applyFill="1" applyBorder="1" applyAlignment="1">
      <alignment horizontal="centerContinuous"/>
    </xf>
    <xf numFmtId="10" fontId="36" fillId="0" borderId="0" xfId="51501" applyNumberFormat="1" applyFont="1" applyFill="1" applyBorder="1"/>
    <xf numFmtId="208" fontId="36" fillId="0" borderId="0" xfId="51501" applyNumberFormat="1" applyFont="1" applyFill="1" applyBorder="1"/>
    <xf numFmtId="0" fontId="2" fillId="0" borderId="0" xfId="51500" applyFont="1" applyFill="1" applyBorder="1"/>
    <xf numFmtId="0" fontId="1" fillId="0" borderId="0" xfId="51500" applyFont="1" applyFill="1"/>
    <xf numFmtId="201" fontId="11" fillId="0" borderId="0" xfId="51500" applyNumberFormat="1" applyFill="1"/>
    <xf numFmtId="201" fontId="11" fillId="0" borderId="0" xfId="2" applyNumberFormat="1" applyFont="1" applyFill="1"/>
    <xf numFmtId="7" fontId="34" fillId="0" borderId="0" xfId="2" applyNumberFormat="1" applyFont="1" applyFill="1"/>
    <xf numFmtId="212" fontId="34" fillId="0" borderId="0" xfId="51535" applyNumberFormat="1" applyFont="1"/>
    <xf numFmtId="164" fontId="36" fillId="0" borderId="12" xfId="18" applyFont="1" applyFill="1" applyBorder="1"/>
    <xf numFmtId="170" fontId="36" fillId="0" borderId="0" xfId="2" applyNumberFormat="1" applyFont="1" applyFill="1" applyBorder="1" applyProtection="1"/>
    <xf numFmtId="169" fontId="36" fillId="0" borderId="0" xfId="2" applyNumberFormat="1" applyFont="1" applyFill="1" applyBorder="1" applyProtection="1"/>
    <xf numFmtId="171" fontId="36" fillId="0" borderId="0" xfId="18" applyNumberFormat="1" applyFont="1" applyFill="1" applyBorder="1"/>
    <xf numFmtId="164" fontId="36" fillId="0" borderId="2" xfId="4" applyFont="1" applyFill="1" applyBorder="1" applyAlignment="1">
      <alignment horizontal="center"/>
    </xf>
    <xf numFmtId="164" fontId="96" fillId="0" borderId="2" xfId="4" applyFont="1" applyFill="1" applyBorder="1" applyAlignment="1" applyProtection="1">
      <alignment horizontal="left"/>
    </xf>
    <xf numFmtId="164" fontId="96" fillId="0" borderId="0" xfId="18" applyFont="1" applyFill="1" applyAlignment="1" applyProtection="1"/>
    <xf numFmtId="171" fontId="104" fillId="0" borderId="0" xfId="51497" applyNumberFormat="1" applyFont="1" applyAlignment="1"/>
    <xf numFmtId="164" fontId="118" fillId="0" borderId="0" xfId="51497" applyFont="1" applyAlignment="1"/>
    <xf numFmtId="10" fontId="36" fillId="0" borderId="4" xfId="18" applyNumberFormat="1" applyFont="1" applyFill="1" applyBorder="1" applyAlignment="1">
      <alignment horizontal="center"/>
    </xf>
    <xf numFmtId="10" fontId="36" fillId="0" borderId="5" xfId="18" applyNumberFormat="1" applyFont="1" applyFill="1" applyBorder="1" applyAlignment="1">
      <alignment horizontal="center"/>
    </xf>
    <xf numFmtId="10" fontId="36" fillId="0" borderId="10" xfId="18" applyNumberFormat="1" applyFont="1" applyFill="1" applyBorder="1" applyAlignment="1">
      <alignment horizontal="center"/>
    </xf>
    <xf numFmtId="164" fontId="104" fillId="0" borderId="0" xfId="51497" applyFont="1" applyAlignment="1">
      <alignment horizontal="center"/>
    </xf>
    <xf numFmtId="164" fontId="104" fillId="0" borderId="0" xfId="0" applyFont="1" applyAlignment="1">
      <alignment horizontal="center"/>
    </xf>
    <xf numFmtId="164" fontId="106" fillId="0" borderId="0" xfId="0" applyFont="1" applyFill="1" applyBorder="1" applyAlignment="1" applyProtection="1">
      <alignment horizontal="center"/>
    </xf>
    <xf numFmtId="164" fontId="106" fillId="0" borderId="0" xfId="0" applyFont="1" applyFill="1" applyAlignment="1">
      <alignment horizontal="center"/>
    </xf>
    <xf numFmtId="164" fontId="106" fillId="0" borderId="0" xfId="0" applyFont="1" applyFill="1" applyAlignment="1" applyProtection="1">
      <alignment horizontal="center"/>
    </xf>
    <xf numFmtId="164" fontId="106" fillId="0" borderId="0" xfId="0" applyFont="1" applyFill="1" applyBorder="1" applyAlignment="1" applyProtection="1">
      <alignment horizontal="center" wrapText="1"/>
    </xf>
    <xf numFmtId="164" fontId="104" fillId="0" borderId="0" xfId="4" applyFont="1" applyFill="1" applyAlignment="1" applyProtection="1">
      <alignment horizontal="center"/>
    </xf>
    <xf numFmtId="171" fontId="104" fillId="0" borderId="0" xfId="51497" applyNumberFormat="1" applyFont="1" applyAlignment="1">
      <alignment horizontal="center"/>
    </xf>
    <xf numFmtId="164" fontId="118" fillId="0" borderId="0" xfId="51497" applyFont="1" applyAlignment="1">
      <alignment horizontal="center"/>
    </xf>
    <xf numFmtId="164" fontId="104" fillId="0" borderId="0" xfId="18" applyFont="1" applyFill="1" applyAlignment="1" applyProtection="1">
      <alignment horizontal="center"/>
    </xf>
    <xf numFmtId="164" fontId="104" fillId="0" borderId="0" xfId="4" applyFont="1" applyAlignment="1">
      <alignment horizontal="center"/>
    </xf>
    <xf numFmtId="164" fontId="104" fillId="0" borderId="0" xfId="51535" applyFont="1" applyAlignment="1">
      <alignment horizontal="center"/>
    </xf>
    <xf numFmtId="164" fontId="96" fillId="0" borderId="0" xfId="4" applyFont="1" applyFill="1" applyAlignment="1" applyProtection="1">
      <alignment horizontal="center"/>
    </xf>
    <xf numFmtId="164" fontId="96" fillId="0" borderId="0" xfId="18" applyFont="1" applyFill="1" applyAlignment="1" applyProtection="1">
      <alignment horizontal="center"/>
    </xf>
    <xf numFmtId="164" fontId="96" fillId="45" borderId="0" xfId="18" quotePrefix="1" applyFont="1" applyFill="1" applyAlignment="1" applyProtection="1">
      <alignment horizontal="center"/>
    </xf>
    <xf numFmtId="164" fontId="96" fillId="45" borderId="0" xfId="18" applyFont="1" applyFill="1" applyAlignment="1" applyProtection="1">
      <alignment horizontal="center"/>
    </xf>
    <xf numFmtId="164" fontId="36" fillId="0" borderId="15" xfId="18" applyFont="1" applyFill="1" applyBorder="1" applyAlignment="1" applyProtection="1">
      <alignment horizontal="center"/>
    </xf>
    <xf numFmtId="164" fontId="36" fillId="0" borderId="13" xfId="18" applyFont="1" applyFill="1" applyBorder="1" applyAlignment="1" applyProtection="1">
      <alignment horizontal="center"/>
    </xf>
    <xf numFmtId="164" fontId="96" fillId="45" borderId="0" xfId="4" applyFont="1" applyFill="1" applyAlignment="1" applyProtection="1">
      <alignment horizontal="center"/>
    </xf>
    <xf numFmtId="164" fontId="100" fillId="0" borderId="0" xfId="4" quotePrefix="1" applyFont="1" applyFill="1" applyBorder="1" applyAlignment="1" applyProtection="1">
      <alignment horizontal="justify" wrapText="1"/>
    </xf>
    <xf numFmtId="164" fontId="96" fillId="45" borderId="0" xfId="4" quotePrefix="1" applyFont="1" applyFill="1" applyAlignment="1" applyProtection="1">
      <alignment horizontal="center"/>
    </xf>
    <xf numFmtId="164" fontId="100" fillId="0" borderId="0" xfId="4" applyFont="1" applyFill="1" applyAlignment="1">
      <alignment horizontal="justify" wrapText="1"/>
    </xf>
    <xf numFmtId="0" fontId="11" fillId="0" borderId="0" xfId="51500" applyFill="1" applyAlignment="1">
      <alignment horizontal="left" vertical="top" wrapText="1"/>
    </xf>
    <xf numFmtId="0" fontId="1" fillId="0" borderId="0" xfId="51500" applyFont="1" applyFill="1" applyAlignment="1">
      <alignment horizontal="left" wrapText="1"/>
    </xf>
    <xf numFmtId="0" fontId="11" fillId="0" borderId="0" xfId="51500" applyFill="1" applyAlignment="1">
      <alignment horizontal="left" wrapText="1"/>
    </xf>
    <xf numFmtId="164" fontId="36" fillId="0" borderId="0" xfId="0" applyFont="1" applyFill="1" applyAlignment="1">
      <alignment horizontal="left" vertical="top" wrapText="1"/>
    </xf>
    <xf numFmtId="0" fontId="7" fillId="0" borderId="0" xfId="51500" applyFont="1" applyFill="1" applyBorder="1" applyAlignment="1">
      <alignment horizontal="center"/>
    </xf>
    <xf numFmtId="0" fontId="11" fillId="0" borderId="0" xfId="51500" applyFill="1" applyBorder="1" applyAlignment="1">
      <alignment horizontal="center"/>
    </xf>
    <xf numFmtId="0" fontId="2" fillId="0" borderId="0" xfId="51500" applyFont="1" applyFill="1" applyBorder="1" applyAlignment="1">
      <alignment horizontal="center"/>
    </xf>
    <xf numFmtId="0" fontId="8" fillId="0" borderId="0" xfId="51500" applyFont="1" applyFill="1" applyBorder="1" applyAlignment="1">
      <alignment horizontal="center"/>
    </xf>
    <xf numFmtId="0" fontId="108" fillId="0" borderId="0" xfId="51500" applyFont="1" applyFill="1" applyBorder="1" applyAlignment="1">
      <alignment horizontal="center"/>
    </xf>
    <xf numFmtId="0" fontId="108" fillId="0" borderId="0" xfId="51500" applyFont="1" applyFill="1" applyBorder="1" applyAlignment="1">
      <alignment horizontal="center" wrapText="1"/>
    </xf>
    <xf numFmtId="164" fontId="36" fillId="0" borderId="0" xfId="0" quotePrefix="1" applyFont="1" applyFill="1" applyAlignment="1">
      <alignment horizontal="left"/>
    </xf>
    <xf numFmtId="164" fontId="96" fillId="0" borderId="0" xfId="4" quotePrefix="1" applyFont="1" applyFill="1" applyAlignment="1" applyProtection="1">
      <alignment horizontal="center"/>
    </xf>
    <xf numFmtId="164" fontId="96" fillId="0" borderId="0" xfId="0" quotePrefix="1" applyFont="1" applyFill="1" applyAlignment="1">
      <alignment horizontal="left"/>
    </xf>
    <xf numFmtId="164" fontId="96" fillId="0" borderId="0" xfId="0" applyFont="1" applyFill="1" applyAlignment="1">
      <alignment horizontal="left"/>
    </xf>
    <xf numFmtId="164" fontId="96" fillId="0" borderId="0" xfId="0" quotePrefix="1" applyFont="1" applyFill="1" applyAlignment="1">
      <alignment horizontal="center"/>
    </xf>
    <xf numFmtId="164" fontId="36" fillId="0" borderId="0" xfId="0" applyFont="1" applyFill="1" applyAlignment="1">
      <alignment horizontal="center"/>
    </xf>
    <xf numFmtId="164" fontId="96" fillId="0" borderId="0" xfId="0" applyFont="1" applyFill="1" applyBorder="1" applyAlignment="1" applyProtection="1">
      <alignment horizontal="center"/>
    </xf>
    <xf numFmtId="17" fontId="110" fillId="0" borderId="0" xfId="5865" applyNumberFormat="1" applyFont="1" applyFill="1" applyBorder="1" applyAlignment="1">
      <alignment horizontal="right"/>
    </xf>
    <xf numFmtId="39" fontId="110" fillId="0" borderId="43" xfId="5865" applyFont="1" applyFill="1" applyBorder="1" applyAlignment="1">
      <alignment horizontal="left" vertical="top" wrapText="1"/>
    </xf>
    <xf numFmtId="39" fontId="110" fillId="0" borderId="44" xfId="5865" applyFont="1" applyFill="1" applyBorder="1" applyAlignment="1">
      <alignment horizontal="left" vertical="top" wrapText="1"/>
    </xf>
    <xf numFmtId="39" fontId="111" fillId="0" borderId="0" xfId="5865" applyFont="1" applyFill="1" applyAlignment="1">
      <alignment horizontal="center"/>
    </xf>
    <xf numFmtId="39" fontId="110" fillId="0" borderId="0" xfId="5865" applyFont="1" applyFill="1" applyBorder="1" applyAlignment="1">
      <alignment horizontal="right"/>
    </xf>
    <xf numFmtId="39" fontId="110" fillId="0" borderId="0" xfId="5865" applyFont="1" applyFill="1" applyAlignment="1">
      <alignment horizontal="right"/>
    </xf>
    <xf numFmtId="39" fontId="110" fillId="0" borderId="42" xfId="5865" applyFont="1" applyFill="1" applyBorder="1" applyAlignment="1">
      <alignment horizontal="left" vertical="top"/>
    </xf>
    <xf numFmtId="39" fontId="110" fillId="0" borderId="43" xfId="5865" applyFont="1" applyFill="1" applyBorder="1" applyAlignment="1">
      <alignment horizontal="left" vertical="top"/>
    </xf>
    <xf numFmtId="39" fontId="110" fillId="0" borderId="18" xfId="5865" applyNumberFormat="1" applyFont="1" applyFill="1" applyBorder="1" applyAlignment="1" applyProtection="1">
      <alignment horizontal="left"/>
    </xf>
    <xf numFmtId="39" fontId="110" fillId="0" borderId="19" xfId="5865" applyNumberFormat="1" applyFont="1" applyFill="1" applyBorder="1" applyAlignment="1" applyProtection="1">
      <alignment horizontal="left"/>
    </xf>
    <xf numFmtId="39" fontId="110" fillId="0" borderId="19" xfId="5865" applyNumberFormat="1" applyFont="1" applyFill="1" applyBorder="1" applyAlignment="1" applyProtection="1">
      <protection locked="0"/>
    </xf>
    <xf numFmtId="39" fontId="110" fillId="0" borderId="20" xfId="5865" applyNumberFormat="1" applyFont="1" applyFill="1" applyBorder="1" applyAlignment="1" applyProtection="1">
      <protection locked="0"/>
    </xf>
    <xf numFmtId="39" fontId="110" fillId="0" borderId="21" xfId="5865" applyNumberFormat="1" applyFont="1" applyFill="1" applyBorder="1" applyAlignment="1" applyProtection="1">
      <alignment horizontal="left"/>
    </xf>
    <xf numFmtId="39" fontId="110" fillId="0" borderId="0" xfId="5865" applyNumberFormat="1" applyFont="1" applyFill="1" applyBorder="1" applyAlignment="1" applyProtection="1">
      <alignment horizontal="left"/>
    </xf>
    <xf numFmtId="39" fontId="110" fillId="0" borderId="0" xfId="5865" applyNumberFormat="1" applyFont="1" applyFill="1" applyBorder="1" applyAlignment="1" applyProtection="1">
      <alignment horizontal="left"/>
      <protection locked="0"/>
    </xf>
    <xf numFmtId="39" fontId="110" fillId="0" borderId="22" xfId="5865" applyNumberFormat="1" applyFont="1" applyFill="1" applyBorder="1" applyAlignment="1" applyProtection="1">
      <alignment horizontal="left"/>
      <protection locked="0"/>
    </xf>
    <xf numFmtId="17" fontId="110" fillId="0" borderId="0" xfId="51504" applyNumberFormat="1" applyFont="1" applyFill="1" applyAlignment="1">
      <alignment horizontal="right"/>
    </xf>
    <xf numFmtId="39" fontId="110" fillId="0" borderId="43" xfId="51504" applyNumberFormat="1" applyFont="1" applyFill="1" applyBorder="1" applyAlignment="1">
      <alignment horizontal="left" vertical="top" wrapText="1"/>
    </xf>
    <xf numFmtId="39" fontId="110" fillId="0" borderId="44" xfId="51504" applyNumberFormat="1" applyFont="1" applyFill="1" applyBorder="1" applyAlignment="1">
      <alignment horizontal="left" vertical="top" wrapText="1"/>
    </xf>
    <xf numFmtId="39" fontId="110" fillId="0" borderId="0" xfId="51504" applyNumberFormat="1" applyFont="1" applyFill="1" applyAlignment="1">
      <alignment horizontal="right"/>
    </xf>
    <xf numFmtId="43" fontId="110" fillId="0" borderId="0" xfId="51528" applyFont="1" applyFill="1" applyAlignment="1">
      <alignment horizontal="right"/>
    </xf>
    <xf numFmtId="39" fontId="110" fillId="0" borderId="19" xfId="51504" applyNumberFormat="1" applyFont="1" applyFill="1" applyBorder="1" applyAlignment="1" applyProtection="1">
      <alignment horizontal="left"/>
      <protection locked="0"/>
    </xf>
    <xf numFmtId="39" fontId="110" fillId="0" borderId="20" xfId="51504" applyNumberFormat="1" applyFont="1" applyFill="1" applyBorder="1" applyAlignment="1" applyProtection="1">
      <alignment horizontal="left"/>
      <protection locked="0"/>
    </xf>
    <xf numFmtId="39" fontId="110" fillId="0" borderId="0" xfId="51504" applyNumberFormat="1" applyFont="1" applyFill="1" applyBorder="1" applyAlignment="1" applyProtection="1">
      <alignment horizontal="left"/>
      <protection locked="0"/>
    </xf>
    <xf numFmtId="39" fontId="110" fillId="0" borderId="22" xfId="51504" applyNumberFormat="1" applyFont="1" applyFill="1" applyBorder="1" applyAlignment="1" applyProtection="1">
      <alignment horizontal="left"/>
      <protection locked="0"/>
    </xf>
    <xf numFmtId="0" fontId="104" fillId="30" borderId="0" xfId="51531" applyFont="1" applyFill="1" applyAlignment="1">
      <alignment horizontal="center"/>
    </xf>
    <xf numFmtId="0" fontId="104" fillId="30" borderId="49" xfId="51531" quotePrefix="1" applyFont="1" applyFill="1" applyBorder="1" applyAlignment="1">
      <alignment horizontal="center"/>
    </xf>
    <xf numFmtId="0" fontId="104" fillId="30" borderId="11" xfId="51533" applyFont="1" applyFill="1" applyBorder="1" applyAlignment="1">
      <alignment horizontal="center"/>
    </xf>
    <xf numFmtId="0" fontId="104" fillId="30" borderId="2" xfId="51533" applyFont="1" applyFill="1" applyBorder="1" applyAlignment="1">
      <alignment horizontal="center"/>
    </xf>
    <xf numFmtId="0" fontId="104" fillId="30" borderId="16" xfId="51533" applyFont="1" applyFill="1" applyBorder="1" applyAlignment="1">
      <alignment horizontal="center"/>
    </xf>
  </cellXfs>
  <cellStyles count="51536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19" xfId="51503" xr:uid="{D613C055-D7B0-42B2-8C48-1FD3A5FF19B8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18" xfId="51512" xr:uid="{00000000-0005-0000-0000-00000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3 2" xfId="51520" xr:uid="{00000000-0005-0000-0000-000003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20" xfId="51506" xr:uid="{00000000-0005-0000-0000-00005BC90000}"/>
    <cellStyle name="Comma 21" xfId="51511" xr:uid="{00000000-0005-0000-0000-000060C90000}"/>
    <cellStyle name="Comma 22" xfId="51518" xr:uid="{00000000-0005-0000-0000-00006BC90000}"/>
    <cellStyle name="Comma 23" xfId="51525" xr:uid="{00000000-0005-0000-0000-00006EC90000}"/>
    <cellStyle name="Comma 24" xfId="51515" xr:uid="{00000000-0005-0000-0000-000071C90000}"/>
    <cellStyle name="Comma 25" xfId="51528" xr:uid="{00000000-0005-0000-0000-000074C90000}"/>
    <cellStyle name="Comma 26" xfId="51527" xr:uid="{00000000-0005-0000-0000-000077C9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20" xfId="51502" xr:uid="{6C5D8BB4-6487-457C-9C33-3892FAE07345}"/>
    <cellStyle name="Currency 21" xfId="51507" xr:uid="{00000000-0005-0000-0000-00005CC9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19" xfId="51521" xr:uid="{00000000-0005-0000-0000-00000C00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40" xfId="51504" xr:uid="{0597BD4B-79EF-4CCA-A7CE-C1370791D546}"/>
    <cellStyle name="Normal 2 41" xfId="51509" xr:uid="{00000000-0005-0000-0000-000004000000}"/>
    <cellStyle name="Normal 2 42" xfId="51517" xr:uid="{00000000-0005-0000-0000-00000A000000}"/>
    <cellStyle name="Normal 2 43" xfId="51522" xr:uid="{00000000-0005-0000-0000-00000A000000}"/>
    <cellStyle name="Normal 2 44" xfId="51513" xr:uid="{00000000-0005-0000-0000-00000A000000}"/>
    <cellStyle name="Normal 2 45" xfId="51524" xr:uid="{00000000-0005-0000-0000-00000A000000}"/>
    <cellStyle name="Normal 2 46" xfId="51523" xr:uid="{00000000-0005-0000-0000-00000A000000}"/>
    <cellStyle name="Normal 2 47" xfId="51530" xr:uid="{00000000-0005-0000-0000-00000A00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64" xfId="51500" xr:uid="{2792688B-6C4D-4DD0-925E-F6FF63B04DFA}"/>
    <cellStyle name="Normal 65" xfId="51505" xr:uid="{00000000-0005-0000-0000-00005DC90000}"/>
    <cellStyle name="Normal 66" xfId="51510" xr:uid="{00000000-0005-0000-0000-000064C90000}"/>
    <cellStyle name="Normal 67" xfId="51519" xr:uid="{00000000-0005-0000-0000-00006CC90000}"/>
    <cellStyle name="Normal 68" xfId="51526" xr:uid="{00000000-0005-0000-0000-00006FC90000}"/>
    <cellStyle name="Normal 69" xfId="51516" xr:uid="{00000000-0005-0000-0000-000072C9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70" xfId="51529" xr:uid="{00000000-0005-0000-0000-000075C90000}"/>
    <cellStyle name="Normal 71" xfId="51514" xr:uid="{00000000-0005-0000-0000-000078C90000}"/>
    <cellStyle name="Normal 72" xfId="51532" xr:uid="{39AD70D7-2E00-46B5-AF9B-45188407634F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81" xfId="51534" xr:uid="{A7092389-2786-4AAA-B7A2-F136B8409012}"/>
    <cellStyle name="Normal 89" xfId="51498" xr:uid="{5BDF5F4D-A2B4-4534-B5E0-033CA787873E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 92" xfId="51531" xr:uid="{761B903D-42D4-49D2-8384-51F41D7C5BA0}"/>
    <cellStyle name="Normal 93" xfId="51533" xr:uid="{4D009695-CAF1-4EF5-8AC1-9EEF71AE3CA9}"/>
    <cellStyle name="Normal 95" xfId="51499" xr:uid="{4499EBC7-692B-4DC4-AE7F-E935E2DE5AC0}"/>
    <cellStyle name="Normal_Book2" xfId="3" xr:uid="{00000000-0005-0000-0000-000003A20000}"/>
    <cellStyle name="Normal_CNGC Deferral Workpapers" xfId="4" xr:uid="{00000000-0005-0000-0000-000004A20000}"/>
    <cellStyle name="Normal_CNGC Deferral Workpapers 2" xfId="51535" xr:uid="{6F5D9E57-A292-45E9-8CAF-04B58E6CA628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ercent 7" xfId="51501" xr:uid="{6C603689-ED5E-4270-A0E3-1615E00B3043}"/>
    <cellStyle name="Percent 8" xfId="51508" xr:uid="{00000000-0005-0000-0000-000060C9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1" defaultTableStyle="TableStyleMedium9" defaultPivotStyle="PivotStyleLight16">
    <tableStyle name="Invisible" pivot="0" table="0" count="0" xr9:uid="{5D3ED61D-D27C-42D5-80D6-6B64B9755EE7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CNGC-Advice-W22-09-03-Rule-21-Decoupling-WP-09.15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4-18%20DEFSUM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AP 2021"/>
      <sheetName val="WACAP2021Amort"/>
      <sheetName val="WACAP 2020"/>
      <sheetName val="WACAP2020Amort"/>
      <sheetName val="Ammort Split 2020"/>
      <sheetName val="Authorized Margins 2020"/>
      <sheetName val="WACAP 2019"/>
      <sheetName val="WACAP2019 Amort"/>
      <sheetName val="Ammort Split 2019"/>
      <sheetName val="WACAP 2018"/>
      <sheetName val="Ammort Split 2018"/>
      <sheetName val="Authorized Margins 2018"/>
      <sheetName val="WACAP 2017"/>
      <sheetName val="Authorized Margins"/>
      <sheetName val="Ammort Split 2017"/>
      <sheetName val="WACAP 2016"/>
      <sheetName val="Authorized Margins (original)"/>
      <sheetName val="WACAP2016 (original)"/>
    </sheetNames>
    <sheetDataSet>
      <sheetData sheetId="0">
        <row r="19">
          <cell r="Q19">
            <v>-2371653.719999996</v>
          </cell>
        </row>
        <row r="31">
          <cell r="Q31">
            <v>-207076.29000000007</v>
          </cell>
        </row>
        <row r="43">
          <cell r="Q43">
            <v>128981.43800000002</v>
          </cell>
        </row>
        <row r="55">
          <cell r="Q55">
            <v>18834.519999999997</v>
          </cell>
        </row>
        <row r="72">
          <cell r="Q72">
            <v>25884.017000000033</v>
          </cell>
        </row>
        <row r="88">
          <cell r="Q88">
            <v>-1493061.1700000011</v>
          </cell>
        </row>
        <row r="105">
          <cell r="Q105">
            <v>-277047.62000000005</v>
          </cell>
        </row>
        <row r="120">
          <cell r="Q120">
            <v>-4413.96</v>
          </cell>
        </row>
        <row r="135">
          <cell r="Q135">
            <v>13960.709999999997</v>
          </cell>
        </row>
      </sheetData>
      <sheetData sheetId="1">
        <row r="15">
          <cell r="R15">
            <v>1230901.5205000006</v>
          </cell>
        </row>
        <row r="24">
          <cell r="R24">
            <v>65669.660079999856</v>
          </cell>
        </row>
        <row r="33">
          <cell r="R33">
            <v>-25364.098820000007</v>
          </cell>
        </row>
        <row r="42">
          <cell r="R42">
            <v>2507233.2598900017</v>
          </cell>
        </row>
        <row r="51">
          <cell r="R51">
            <v>-838976.26523000014</v>
          </cell>
        </row>
        <row r="61">
          <cell r="R61">
            <v>5788.2416200000007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10">
          <cell r="A10">
            <v>41305</v>
          </cell>
        </row>
        <row r="54">
          <cell r="A54">
            <v>42643</v>
          </cell>
        </row>
        <row r="55">
          <cell r="A55">
            <v>42674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tabSelected="1" view="pageBreakPreview" zoomScale="60" zoomScaleNormal="100" workbookViewId="0">
      <selection activeCell="B22" sqref="B22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610" t="s">
        <v>187</v>
      </c>
      <c r="C2" s="610"/>
      <c r="D2" s="610"/>
      <c r="E2" s="610"/>
      <c r="F2" s="610"/>
      <c r="G2" s="300"/>
      <c r="H2" s="300"/>
      <c r="I2" s="300"/>
      <c r="J2" s="300"/>
    </row>
    <row r="4" spans="2:10" ht="15.75">
      <c r="B4" s="611" t="s">
        <v>188</v>
      </c>
      <c r="C4" s="611"/>
      <c r="D4" s="611"/>
      <c r="E4" s="611"/>
      <c r="F4" s="611"/>
      <c r="G4" s="301"/>
      <c r="H4" s="301"/>
      <c r="I4" s="301"/>
      <c r="J4" s="301"/>
    </row>
    <row r="7" spans="2:10" ht="15.75">
      <c r="B7" s="611" t="s">
        <v>200</v>
      </c>
      <c r="C7" s="611"/>
      <c r="D7" s="611"/>
      <c r="E7" s="611"/>
      <c r="F7" s="611"/>
    </row>
    <row r="10" spans="2:10" ht="15.75">
      <c r="B10" s="302" t="s">
        <v>0</v>
      </c>
      <c r="C10" s="303"/>
      <c r="D10" s="303"/>
      <c r="E10" s="303"/>
      <c r="F10" s="302" t="s">
        <v>189</v>
      </c>
      <c r="G10" s="303"/>
    </row>
    <row r="11" spans="2:10" ht="15.75">
      <c r="B11" s="303"/>
      <c r="C11" s="303"/>
      <c r="D11" s="303"/>
      <c r="E11" s="303"/>
      <c r="F11" s="303"/>
      <c r="G11" s="303"/>
    </row>
    <row r="12" spans="2:10" ht="15.75">
      <c r="B12" s="303" t="s">
        <v>194</v>
      </c>
      <c r="C12" s="303"/>
      <c r="D12" s="303"/>
      <c r="E12" s="303"/>
      <c r="F12" s="304" t="s">
        <v>193</v>
      </c>
      <c r="G12" s="303"/>
    </row>
    <row r="13" spans="2:10" ht="15.75">
      <c r="B13" s="303" t="s">
        <v>195</v>
      </c>
      <c r="C13" s="303"/>
      <c r="D13" s="303"/>
      <c r="E13" s="303"/>
      <c r="F13" s="305">
        <v>2</v>
      </c>
      <c r="G13" s="303"/>
    </row>
    <row r="14" spans="2:10" ht="15.75">
      <c r="B14" s="303" t="s">
        <v>196</v>
      </c>
      <c r="C14" s="303"/>
      <c r="D14" s="303"/>
      <c r="E14" s="303"/>
      <c r="F14" s="305">
        <v>3</v>
      </c>
      <c r="G14" s="303"/>
    </row>
    <row r="15" spans="2:10" ht="15.75">
      <c r="B15" s="303" t="s">
        <v>199</v>
      </c>
      <c r="C15" s="303"/>
      <c r="D15" s="303"/>
      <c r="E15" s="303"/>
      <c r="F15" s="305">
        <v>4</v>
      </c>
      <c r="G15" s="303"/>
    </row>
    <row r="16" spans="2:10" ht="15.75">
      <c r="B16" s="392" t="s">
        <v>203</v>
      </c>
      <c r="C16" s="303"/>
      <c r="D16" s="303"/>
      <c r="E16" s="303"/>
      <c r="F16" s="305">
        <v>5</v>
      </c>
      <c r="G16" s="303"/>
    </row>
    <row r="17" spans="2:9" ht="15.75">
      <c r="C17" s="391"/>
      <c r="D17" s="391"/>
      <c r="E17" s="391"/>
      <c r="F17" s="305"/>
      <c r="G17" s="391"/>
      <c r="H17" s="391"/>
      <c r="I17" s="391"/>
    </row>
    <row r="18" spans="2:9" ht="12.75">
      <c r="B18" s="413"/>
      <c r="C18" s="413"/>
      <c r="D18" s="413"/>
      <c r="E18" s="413"/>
      <c r="F18" s="413"/>
      <c r="G18" s="413"/>
    </row>
    <row r="19" spans="2:9" ht="15.75">
      <c r="B19" s="303"/>
      <c r="C19" s="303"/>
      <c r="D19" s="303"/>
      <c r="E19" s="303"/>
      <c r="F19" s="305"/>
      <c r="G19" s="303"/>
    </row>
    <row r="20" spans="2:9" ht="15.75">
      <c r="B20" s="303"/>
      <c r="C20" s="303"/>
      <c r="D20" s="303"/>
      <c r="E20" s="303"/>
      <c r="F20" s="305"/>
      <c r="G20" s="303"/>
    </row>
    <row r="21" spans="2:9" ht="15.75">
      <c r="B21" s="303"/>
      <c r="C21" s="303"/>
      <c r="D21" s="303"/>
      <c r="E21" s="303"/>
      <c r="F21" s="305"/>
      <c r="G21" s="303"/>
    </row>
    <row r="22" spans="2:9" ht="15.75">
      <c r="B22" s="303"/>
      <c r="C22" s="303"/>
      <c r="D22" s="303"/>
      <c r="E22" s="303"/>
      <c r="F22" s="303"/>
      <c r="G22" s="303"/>
    </row>
    <row r="23" spans="2:9" ht="15.75">
      <c r="B23" s="303"/>
      <c r="C23" s="303"/>
      <c r="D23" s="303"/>
      <c r="E23" s="303"/>
      <c r="F23" s="303"/>
      <c r="G23" s="303"/>
    </row>
    <row r="24" spans="2:9" ht="15.75">
      <c r="B24" s="303"/>
      <c r="C24" s="303"/>
      <c r="D24" s="303"/>
      <c r="E24" s="303"/>
      <c r="F24" s="303"/>
      <c r="G24" s="303"/>
    </row>
    <row r="25" spans="2:9" ht="15.75">
      <c r="B25" s="303"/>
      <c r="C25" s="303"/>
      <c r="D25" s="303"/>
      <c r="E25" s="303"/>
      <c r="F25" s="303"/>
      <c r="G25" s="303"/>
    </row>
    <row r="26" spans="2:9" ht="15.75">
      <c r="B26" s="303"/>
      <c r="C26" s="303"/>
      <c r="D26" s="303"/>
      <c r="E26" s="303"/>
      <c r="F26" s="303"/>
      <c r="G26" s="303"/>
    </row>
    <row r="27" spans="2:9" ht="15.75">
      <c r="B27" s="303"/>
      <c r="C27" s="303"/>
      <c r="D27" s="303"/>
      <c r="E27" s="303"/>
      <c r="F27" s="303"/>
      <c r="G27" s="303"/>
    </row>
    <row r="28" spans="2:9" ht="15.75">
      <c r="B28" s="303"/>
      <c r="C28" s="303"/>
      <c r="D28" s="303"/>
      <c r="E28" s="303"/>
      <c r="F28" s="303"/>
      <c r="G28" s="303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0" customWidth="1"/>
    <col min="2" max="2" width="27" style="37" bestFit="1" customWidth="1"/>
    <col min="3" max="3" width="16.1640625" style="37" customWidth="1"/>
    <col min="4" max="4" width="1.83203125" style="37" customWidth="1"/>
    <col min="5" max="5" width="19" style="37" bestFit="1" customWidth="1"/>
    <col min="6" max="6" width="1.83203125" style="37" customWidth="1"/>
    <col min="7" max="7" width="16.33203125" style="37" customWidth="1"/>
    <col min="8" max="8" width="1.83203125" style="37" customWidth="1"/>
    <col min="9" max="9" width="15.33203125" style="37" customWidth="1"/>
    <col min="10" max="10" width="1.83203125" style="37" customWidth="1"/>
    <col min="11" max="16384" width="12" style="37"/>
  </cols>
  <sheetData>
    <row r="2" spans="1:15">
      <c r="A2" s="37"/>
      <c r="B2" s="36"/>
      <c r="C2" s="622" t="s">
        <v>33</v>
      </c>
      <c r="D2" s="622"/>
      <c r="E2" s="622"/>
      <c r="F2" s="622"/>
      <c r="G2" s="622"/>
      <c r="H2" s="622"/>
      <c r="I2" s="36"/>
      <c r="K2" s="68" t="s">
        <v>169</v>
      </c>
    </row>
    <row r="3" spans="1:15">
      <c r="A3" s="37"/>
      <c r="B3" s="36"/>
      <c r="C3" s="622" t="s">
        <v>74</v>
      </c>
      <c r="D3" s="622"/>
      <c r="E3" s="622"/>
      <c r="F3" s="622"/>
      <c r="G3" s="622"/>
      <c r="H3" s="622"/>
      <c r="I3" s="36"/>
      <c r="K3" s="104"/>
    </row>
    <row r="4" spans="1:15">
      <c r="A4" s="37"/>
      <c r="B4" s="36"/>
      <c r="C4" s="630" t="s">
        <v>171</v>
      </c>
      <c r="D4" s="628"/>
      <c r="E4" s="628"/>
      <c r="F4" s="628"/>
      <c r="G4" s="628"/>
      <c r="H4" s="628"/>
      <c r="I4" s="36"/>
      <c r="K4" s="95"/>
    </row>
    <row r="5" spans="1:15">
      <c r="A5" s="37"/>
      <c r="B5" s="36"/>
      <c r="C5" s="622" t="s">
        <v>35</v>
      </c>
      <c r="D5" s="622"/>
      <c r="E5" s="622"/>
      <c r="F5" s="622"/>
      <c r="G5" s="622"/>
      <c r="H5" s="622"/>
      <c r="I5" s="36"/>
      <c r="J5" s="45"/>
    </row>
    <row r="6" spans="1:15">
      <c r="C6" s="36"/>
      <c r="D6" s="36"/>
      <c r="E6" s="36"/>
      <c r="F6" s="36"/>
      <c r="G6" s="36"/>
      <c r="H6" s="36"/>
      <c r="I6" s="36"/>
      <c r="J6" s="45"/>
    </row>
    <row r="7" spans="1:15" s="50" customFormat="1">
      <c r="C7" s="78" t="s">
        <v>77</v>
      </c>
      <c r="G7" s="78" t="s">
        <v>78</v>
      </c>
    </row>
    <row r="8" spans="1:15" s="50" customFormat="1">
      <c r="A8" s="78" t="s">
        <v>3</v>
      </c>
      <c r="C8" s="78" t="s">
        <v>79</v>
      </c>
      <c r="E8" s="78" t="s">
        <v>80</v>
      </c>
      <c r="G8" s="78" t="s">
        <v>81</v>
      </c>
      <c r="I8" s="78" t="s">
        <v>2</v>
      </c>
      <c r="K8" s="78" t="s">
        <v>42</v>
      </c>
    </row>
    <row r="9" spans="1:15" s="50" customFormat="1">
      <c r="A9" s="78" t="s">
        <v>6</v>
      </c>
      <c r="B9" s="78" t="s">
        <v>0</v>
      </c>
      <c r="C9" s="78" t="s">
        <v>82</v>
      </c>
      <c r="E9" s="48" t="s">
        <v>142</v>
      </c>
      <c r="G9" s="78" t="s">
        <v>83</v>
      </c>
      <c r="I9" s="78" t="s">
        <v>84</v>
      </c>
      <c r="K9" s="78" t="s">
        <v>47</v>
      </c>
    </row>
    <row r="10" spans="1:15" s="50" customFormat="1">
      <c r="A10" s="107"/>
      <c r="B10" s="108" t="s">
        <v>9</v>
      </c>
      <c r="C10" s="108" t="s">
        <v>10</v>
      </c>
      <c r="D10" s="107"/>
      <c r="E10" s="108" t="s">
        <v>11</v>
      </c>
      <c r="F10" s="107"/>
      <c r="G10" s="108" t="s">
        <v>12</v>
      </c>
      <c r="H10" s="107"/>
      <c r="I10" s="108" t="s">
        <v>13</v>
      </c>
      <c r="J10" s="107"/>
      <c r="K10" s="108" t="s">
        <v>87</v>
      </c>
    </row>
    <row r="11" spans="1:15" ht="9" customHeight="1"/>
    <row r="12" spans="1:15">
      <c r="A12" s="78">
        <v>1</v>
      </c>
      <c r="B12" s="45" t="s">
        <v>94</v>
      </c>
      <c r="C12" s="111">
        <v>56.370317240093023</v>
      </c>
      <c r="E12" s="85">
        <f>+'Ex-2'!H13/'Ex-2'!E13/12</f>
        <v>57.664772056836391</v>
      </c>
      <c r="G12" s="85">
        <f>+C12*'Ex-2'!K13</f>
        <v>0.23393681654638609</v>
      </c>
      <c r="I12" s="85">
        <f>E12+G12</f>
        <v>57.89870887338278</v>
      </c>
      <c r="K12" s="112">
        <f>G12/E12</f>
        <v>4.0568410868911421E-3</v>
      </c>
      <c r="O12" s="176"/>
    </row>
    <row r="13" spans="1:15">
      <c r="C13" s="44"/>
      <c r="E13" s="85"/>
      <c r="G13" s="86"/>
      <c r="I13" s="86"/>
      <c r="O13" s="176"/>
    </row>
    <row r="14" spans="1:15">
      <c r="A14" s="78">
        <v>2</v>
      </c>
      <c r="B14" s="45" t="s">
        <v>95</v>
      </c>
      <c r="C14" s="44">
        <v>271.0939048231167</v>
      </c>
      <c r="E14" s="85">
        <f>+'Ex-2'!H14/'Ex-2'!E14/12</f>
        <v>259.86452224096837</v>
      </c>
      <c r="G14" s="85">
        <f>+C14*'Ex-2'!K14</f>
        <v>1.1955241202699447</v>
      </c>
      <c r="I14" s="85">
        <f>E14+G14</f>
        <v>261.06004636123834</v>
      </c>
      <c r="K14" s="112">
        <f>G14/E14</f>
        <v>4.6005669029393461E-3</v>
      </c>
      <c r="O14" s="176"/>
    </row>
    <row r="15" spans="1:15">
      <c r="C15" s="44"/>
      <c r="E15" s="113"/>
      <c r="G15" s="114"/>
      <c r="I15" s="86"/>
      <c r="N15" s="50"/>
      <c r="O15" s="176"/>
    </row>
    <row r="16" spans="1:15">
      <c r="A16" s="78">
        <v>3</v>
      </c>
      <c r="B16" s="45" t="s">
        <v>96</v>
      </c>
      <c r="C16" s="115" t="s">
        <v>85</v>
      </c>
      <c r="E16" s="109">
        <f>+'Ex-2'!H15/'Ex-2'!F15</f>
        <v>0.7876636832230588</v>
      </c>
      <c r="G16" s="109">
        <f>+'Ex-2'!K15</f>
        <v>8.8000000000000057E-4</v>
      </c>
      <c r="I16" s="109">
        <f>E16+G16</f>
        <v>0.78854368322305879</v>
      </c>
      <c r="K16" s="112">
        <f>G16/E16</f>
        <v>1.117228099687304E-3</v>
      </c>
      <c r="O16" s="176"/>
    </row>
    <row r="17" spans="1:15">
      <c r="C17" s="44"/>
      <c r="E17" s="109"/>
      <c r="G17" s="109"/>
      <c r="I17" s="109"/>
      <c r="K17" s="112"/>
      <c r="O17" s="176"/>
    </row>
    <row r="18" spans="1:15">
      <c r="A18" s="50">
        <v>4</v>
      </c>
      <c r="B18" s="45" t="s">
        <v>97</v>
      </c>
      <c r="C18" s="115" t="s">
        <v>85</v>
      </c>
      <c r="E18" s="109">
        <f>+'Ex-2'!H16/'Ex-2'!F16</f>
        <v>0.78941506326855304</v>
      </c>
      <c r="G18" s="109">
        <f>+'Ex-2'!K16</f>
        <v>2.63E-3</v>
      </c>
      <c r="I18" s="109">
        <f>E18+G18</f>
        <v>0.79204506326855306</v>
      </c>
      <c r="K18" s="112">
        <f>G18/E18</f>
        <v>3.3315807138396265E-3</v>
      </c>
      <c r="O18" s="176"/>
    </row>
    <row r="19" spans="1:15">
      <c r="C19" s="44"/>
      <c r="E19" s="109"/>
      <c r="G19" s="109"/>
      <c r="I19" s="109"/>
      <c r="O19" s="176"/>
    </row>
    <row r="20" spans="1:15">
      <c r="A20" s="78">
        <v>5</v>
      </c>
      <c r="B20" s="45" t="s">
        <v>98</v>
      </c>
      <c r="C20" s="115" t="s">
        <v>85</v>
      </c>
      <c r="E20" s="109">
        <f>+'Ex-2'!H19/'Ex-2'!F19</f>
        <v>0.67713906976052907</v>
      </c>
      <c r="G20" s="109">
        <f>+'Ex-2'!K19</f>
        <v>6.0999999999999997E-4</v>
      </c>
      <c r="I20" s="109">
        <f>E20+G20</f>
        <v>0.67774906976052907</v>
      </c>
      <c r="K20" s="112">
        <f>G20/E20</f>
        <v>9.0084892046729352E-4</v>
      </c>
      <c r="O20" s="176"/>
    </row>
    <row r="21" spans="1:15">
      <c r="E21" s="35"/>
      <c r="G21" s="35"/>
      <c r="I21" s="109"/>
      <c r="K21" s="112"/>
    </row>
    <row r="22" spans="1:15">
      <c r="A22" s="50">
        <v>6</v>
      </c>
      <c r="B22" s="45" t="s">
        <v>113</v>
      </c>
      <c r="C22" s="115" t="s">
        <v>85</v>
      </c>
      <c r="E22" s="109">
        <f>+'Ex-2'!H20/'Ex-2'!F20</f>
        <v>0.74387404261093115</v>
      </c>
      <c r="G22" s="35">
        <f>+'Ex-2'!K20</f>
        <v>1.31E-3</v>
      </c>
      <c r="I22" s="109">
        <f>E22+G22</f>
        <v>0.74518404261093119</v>
      </c>
      <c r="K22" s="112">
        <f>G22/E22</f>
        <v>1.7610508297910457E-3</v>
      </c>
    </row>
    <row r="23" spans="1:15">
      <c r="E23" s="35"/>
      <c r="G23" s="35"/>
      <c r="I23" s="109"/>
      <c r="K23" s="112"/>
    </row>
    <row r="24" spans="1:15">
      <c r="A24" s="50">
        <v>7</v>
      </c>
      <c r="B24" s="37" t="s">
        <v>162</v>
      </c>
      <c r="C24" s="115" t="s">
        <v>85</v>
      </c>
      <c r="E24" s="109">
        <f>+'Ex-2'!H24/'Ex-2'!F24</f>
        <v>3.2134414224994058E-2</v>
      </c>
      <c r="G24" s="109">
        <f>+'Ex-2'!K24</f>
        <v>3.6999999999999999E-4</v>
      </c>
      <c r="I24" s="109">
        <f>E24+G24</f>
        <v>3.250441422499406E-2</v>
      </c>
      <c r="K24" s="112">
        <f>G24/E24</f>
        <v>1.1514135512456768E-2</v>
      </c>
    </row>
    <row r="25" spans="1:15">
      <c r="G25" s="35"/>
      <c r="I25" s="86"/>
    </row>
    <row r="26" spans="1:15">
      <c r="A26" s="78">
        <v>8</v>
      </c>
      <c r="B26" s="45" t="s">
        <v>165</v>
      </c>
      <c r="C26" s="115" t="s">
        <v>85</v>
      </c>
      <c r="E26" s="260" t="s">
        <v>166</v>
      </c>
      <c r="G26" s="109">
        <v>0</v>
      </c>
      <c r="I26" s="260" t="s">
        <v>166</v>
      </c>
      <c r="K26" s="260" t="s">
        <v>166</v>
      </c>
    </row>
    <row r="27" spans="1:15" ht="22.5" customHeight="1"/>
    <row r="28" spans="1:15" ht="29.25" customHeight="1">
      <c r="B28" s="631" t="s">
        <v>167</v>
      </c>
      <c r="C28" s="631"/>
      <c r="D28" s="631"/>
      <c r="E28" s="631"/>
      <c r="F28" s="631"/>
      <c r="G28" s="631"/>
      <c r="H28" s="631"/>
      <c r="I28" s="631"/>
      <c r="J28" s="631"/>
      <c r="K28" s="631"/>
    </row>
    <row r="29" spans="1:15">
      <c r="B29" s="45"/>
    </row>
    <row r="30" spans="1:15">
      <c r="B30" s="45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13A4-2942-4296-9CF6-951C00F8E6EB}">
  <dimension ref="A1:K58"/>
  <sheetViews>
    <sheetView view="pageBreakPreview" topLeftCell="A37" zoomScale="130" zoomScaleNormal="100" zoomScaleSheetLayoutView="130" workbookViewId="0">
      <selection activeCell="J61" sqref="J61"/>
    </sheetView>
  </sheetViews>
  <sheetFormatPr defaultColWidth="9.33203125" defaultRowHeight="15"/>
  <cols>
    <col min="1" max="1" width="8.6640625" style="471" customWidth="1"/>
    <col min="2" max="2" width="49.83203125" style="463" bestFit="1" customWidth="1"/>
    <col min="3" max="3" width="9.33203125" style="463"/>
    <col min="4" max="4" width="17" style="463" hidden="1" customWidth="1"/>
    <col min="5" max="5" width="11.33203125" style="463" hidden="1" customWidth="1"/>
    <col min="6" max="6" width="20.5" style="463" bestFit="1" customWidth="1"/>
    <col min="7" max="7" width="19.83203125" style="463" bestFit="1" customWidth="1"/>
    <col min="8" max="8" width="17.6640625" style="463" bestFit="1" customWidth="1"/>
    <col min="9" max="9" width="19" style="463" bestFit="1" customWidth="1"/>
    <col min="10" max="10" width="17.6640625" style="463" bestFit="1" customWidth="1"/>
    <col min="11" max="11" width="25.1640625" style="463" bestFit="1" customWidth="1"/>
    <col min="12" max="16384" width="9.33203125" style="463"/>
  </cols>
  <sheetData>
    <row r="1" spans="1:11">
      <c r="A1" s="570"/>
      <c r="B1" s="636" t="s">
        <v>261</v>
      </c>
      <c r="C1" s="636"/>
      <c r="D1" s="636"/>
      <c r="E1" s="636"/>
      <c r="F1" s="636"/>
      <c r="G1" s="636"/>
      <c r="I1" s="462"/>
      <c r="K1" s="386" t="str">
        <f>+'DMA Summary of Def. Accts.'!N1</f>
        <v>CNGC Advice W22-09-03</v>
      </c>
    </row>
    <row r="2" spans="1:11">
      <c r="A2" s="570"/>
      <c r="B2" s="637" t="s">
        <v>203</v>
      </c>
      <c r="C2" s="637"/>
      <c r="D2" s="637"/>
      <c r="E2" s="637"/>
      <c r="F2" s="637"/>
      <c r="G2" s="637"/>
      <c r="I2" s="462"/>
      <c r="K2" s="387" t="s">
        <v>191</v>
      </c>
    </row>
    <row r="3" spans="1:11">
      <c r="A3" s="570"/>
      <c r="B3" s="638" t="s">
        <v>341</v>
      </c>
      <c r="C3" s="639"/>
      <c r="D3" s="639"/>
      <c r="E3" s="639"/>
      <c r="F3" s="639"/>
      <c r="G3" s="639"/>
      <c r="I3" s="462"/>
      <c r="K3" s="387" t="s">
        <v>366</v>
      </c>
    </row>
    <row r="4" spans="1:11">
      <c r="A4" s="570"/>
      <c r="B4" s="414"/>
      <c r="C4" s="414"/>
      <c r="D4" s="414"/>
      <c r="E4" s="414"/>
      <c r="F4" s="414"/>
      <c r="G4" s="414"/>
      <c r="H4" s="414"/>
      <c r="I4" s="414"/>
    </row>
    <row r="5" spans="1:11">
      <c r="A5" s="570"/>
      <c r="B5" s="640" t="s">
        <v>342</v>
      </c>
      <c r="C5" s="640"/>
      <c r="D5" s="640"/>
      <c r="E5" s="640"/>
      <c r="F5" s="640"/>
      <c r="G5" s="640"/>
      <c r="H5" s="414"/>
      <c r="I5" s="414"/>
    </row>
    <row r="6" spans="1:11">
      <c r="A6" s="570"/>
      <c r="B6" s="414"/>
      <c r="C6" s="414"/>
      <c r="D6" s="414"/>
      <c r="E6" s="414"/>
      <c r="F6" s="414"/>
      <c r="G6" s="414"/>
      <c r="H6" s="414"/>
      <c r="I6" s="414"/>
    </row>
    <row r="7" spans="1:11">
      <c r="A7" s="570" t="s">
        <v>129</v>
      </c>
      <c r="B7" s="414"/>
      <c r="C7" s="414"/>
      <c r="D7" s="570" t="s">
        <v>204</v>
      </c>
      <c r="E7" s="570"/>
      <c r="F7" s="570"/>
      <c r="G7" s="570" t="s">
        <v>205</v>
      </c>
      <c r="H7" s="570"/>
      <c r="I7" s="570"/>
    </row>
    <row r="8" spans="1:11">
      <c r="A8" s="570"/>
      <c r="B8" s="414"/>
      <c r="C8" s="414"/>
      <c r="D8" s="414"/>
      <c r="E8" s="414"/>
      <c r="F8" s="414"/>
      <c r="G8" s="414"/>
      <c r="H8" s="414"/>
      <c r="I8" s="414"/>
    </row>
    <row r="9" spans="1:11">
      <c r="A9" s="570">
        <v>1</v>
      </c>
      <c r="B9" s="414" t="s">
        <v>206</v>
      </c>
      <c r="C9" s="414"/>
      <c r="D9" s="415">
        <v>1338806000</v>
      </c>
      <c r="E9" s="414"/>
      <c r="F9" s="414"/>
      <c r="G9" s="415">
        <v>488393608</v>
      </c>
      <c r="H9" s="415"/>
      <c r="I9" s="415"/>
    </row>
    <row r="10" spans="1:11">
      <c r="A10" s="570"/>
      <c r="B10" s="414"/>
      <c r="C10" s="414"/>
      <c r="D10" s="414"/>
      <c r="E10" s="414"/>
      <c r="F10" s="414"/>
      <c r="G10" s="414"/>
      <c r="H10" s="414"/>
      <c r="I10" s="414"/>
    </row>
    <row r="11" spans="1:11">
      <c r="A11" s="570">
        <v>2</v>
      </c>
      <c r="B11" s="414" t="s">
        <v>207</v>
      </c>
      <c r="C11" s="414"/>
      <c r="D11" s="415">
        <v>99114000</v>
      </c>
      <c r="E11" s="414"/>
      <c r="F11" s="414"/>
      <c r="G11" s="415">
        <v>24683914</v>
      </c>
      <c r="H11" s="415"/>
      <c r="I11" s="415"/>
    </row>
    <row r="12" spans="1:11">
      <c r="A12" s="570"/>
      <c r="B12" s="414"/>
      <c r="C12" s="414"/>
      <c r="D12" s="415"/>
      <c r="E12" s="414"/>
      <c r="F12" s="414"/>
      <c r="G12" s="414"/>
      <c r="H12" s="414"/>
      <c r="I12" s="414"/>
    </row>
    <row r="13" spans="1:11">
      <c r="A13" s="570">
        <v>3</v>
      </c>
      <c r="B13" s="414" t="s">
        <v>208</v>
      </c>
      <c r="C13" s="414"/>
      <c r="D13" s="464">
        <f>D11/D9</f>
        <v>7.4031637145336962E-2</v>
      </c>
      <c r="E13" s="414"/>
      <c r="F13" s="414"/>
      <c r="G13" s="590">
        <f>G11/G9</f>
        <v>5.0541025917767539E-2</v>
      </c>
      <c r="H13" s="464"/>
      <c r="I13" s="464"/>
    </row>
    <row r="14" spans="1:11">
      <c r="A14" s="570">
        <v>4</v>
      </c>
      <c r="B14" s="414" t="s">
        <v>209</v>
      </c>
      <c r="C14" s="414"/>
      <c r="D14" s="464">
        <v>7.3200000000000001E-2</v>
      </c>
      <c r="E14" s="414"/>
      <c r="F14" s="414"/>
      <c r="G14" s="590">
        <v>6.9500000000000006E-2</v>
      </c>
      <c r="H14" s="464"/>
      <c r="I14" s="464"/>
    </row>
    <row r="15" spans="1:11">
      <c r="A15" s="570">
        <v>5</v>
      </c>
      <c r="B15" s="414" t="s">
        <v>210</v>
      </c>
      <c r="C15" s="414"/>
      <c r="D15" s="465">
        <f>D13-D14</f>
        <v>8.3163714533696087E-4</v>
      </c>
      <c r="E15" s="414"/>
      <c r="F15" s="414"/>
      <c r="G15" s="465">
        <f>G13-G14</f>
        <v>-1.8958974082232467E-2</v>
      </c>
      <c r="H15" s="465"/>
      <c r="I15" s="465"/>
    </row>
    <row r="16" spans="1:11">
      <c r="A16" s="570"/>
      <c r="B16" s="414"/>
      <c r="C16" s="414"/>
      <c r="D16" s="414"/>
      <c r="E16" s="414"/>
      <c r="F16" s="414"/>
      <c r="G16" s="414"/>
      <c r="H16" s="414"/>
      <c r="I16" s="414"/>
    </row>
    <row r="17" spans="1:11">
      <c r="A17" s="570">
        <v>6</v>
      </c>
      <c r="B17" s="414" t="s">
        <v>211</v>
      </c>
      <c r="C17" s="414"/>
      <c r="D17" s="415">
        <f>IF(D15&gt;0,D9*D15,0)</f>
        <v>1113400.7999999952</v>
      </c>
      <c r="E17" s="414"/>
      <c r="F17" s="414"/>
      <c r="G17" s="415">
        <f>IF(G15&gt;0,G9*G15,0)</f>
        <v>0</v>
      </c>
      <c r="H17" s="415"/>
      <c r="I17" s="415"/>
    </row>
    <row r="18" spans="1:11">
      <c r="A18" s="570">
        <v>7</v>
      </c>
      <c r="B18" s="414" t="s">
        <v>212</v>
      </c>
      <c r="C18" s="414"/>
      <c r="D18" s="466">
        <v>0.61931199999999997</v>
      </c>
      <c r="E18" s="414"/>
      <c r="F18" s="414"/>
      <c r="G18" s="591">
        <f>+' Conversion Factor'!C25</f>
        <v>0.75505829999999996</v>
      </c>
      <c r="H18" s="466"/>
      <c r="I18" s="466"/>
    </row>
    <row r="19" spans="1:11">
      <c r="A19" s="570">
        <v>8</v>
      </c>
      <c r="B19" s="414" t="s">
        <v>213</v>
      </c>
      <c r="C19" s="414"/>
      <c r="D19" s="415">
        <f>D17/D18</f>
        <v>1797802.7230216679</v>
      </c>
      <c r="E19" s="414"/>
      <c r="F19" s="414"/>
      <c r="G19" s="415">
        <f>G17/G18</f>
        <v>0</v>
      </c>
      <c r="H19" s="415"/>
      <c r="I19" s="415"/>
      <c r="J19" s="467"/>
    </row>
    <row r="20" spans="1:11">
      <c r="A20" s="570">
        <v>9</v>
      </c>
      <c r="B20" s="414" t="s">
        <v>214</v>
      </c>
      <c r="C20" s="414"/>
      <c r="D20" s="468">
        <v>0.5</v>
      </c>
      <c r="E20" s="414"/>
      <c r="F20" s="414"/>
      <c r="G20" s="468">
        <v>0.5</v>
      </c>
      <c r="H20" s="468"/>
      <c r="I20" s="468"/>
    </row>
    <row r="21" spans="1:11">
      <c r="A21" s="570">
        <v>10</v>
      </c>
      <c r="B21" s="592" t="s">
        <v>343</v>
      </c>
      <c r="C21" s="414"/>
      <c r="D21" s="416">
        <f>D19*D20</f>
        <v>898901.36151083396</v>
      </c>
      <c r="E21" s="414"/>
      <c r="F21" s="414"/>
      <c r="G21" s="416">
        <v>0</v>
      </c>
      <c r="H21" s="416"/>
      <c r="I21" s="416"/>
    </row>
    <row r="22" spans="1:11">
      <c r="A22" s="570"/>
      <c r="B22" s="414"/>
      <c r="C22" s="414"/>
      <c r="D22" s="414"/>
      <c r="E22" s="414"/>
      <c r="F22" s="414"/>
      <c r="G22" s="414"/>
      <c r="H22" s="414"/>
      <c r="I22" s="414"/>
    </row>
    <row r="23" spans="1:11">
      <c r="A23" s="570">
        <v>11</v>
      </c>
      <c r="B23" s="469" t="s">
        <v>262</v>
      </c>
      <c r="C23" s="414"/>
      <c r="D23" s="414"/>
      <c r="E23" s="414"/>
      <c r="F23" s="414"/>
      <c r="G23" s="470">
        <v>286905704</v>
      </c>
      <c r="H23" s="414"/>
      <c r="I23" s="414"/>
    </row>
    <row r="24" spans="1:11">
      <c r="A24" s="570">
        <v>12</v>
      </c>
      <c r="B24" s="592" t="s">
        <v>344</v>
      </c>
      <c r="C24" s="414"/>
      <c r="D24" s="414"/>
      <c r="E24" s="414"/>
      <c r="F24" s="414"/>
      <c r="G24" s="470">
        <f>+'DMA Summary of Def. Accts.'!F19</f>
        <v>6548286.8810446383</v>
      </c>
      <c r="H24" s="414"/>
      <c r="I24" s="414"/>
    </row>
    <row r="25" spans="1:11">
      <c r="A25" s="570">
        <v>13</v>
      </c>
      <c r="B25" s="469" t="s">
        <v>260</v>
      </c>
      <c r="C25" s="414"/>
      <c r="D25" s="414"/>
      <c r="E25" s="414"/>
      <c r="F25" s="414"/>
      <c r="G25" s="465">
        <f>+G24/G23</f>
        <v>2.2823829536148359E-2</v>
      </c>
      <c r="H25" s="414"/>
      <c r="I25" s="414"/>
    </row>
    <row r="26" spans="1:11">
      <c r="A26" s="570"/>
      <c r="B26" s="414"/>
      <c r="C26" s="414"/>
      <c r="D26" s="414"/>
      <c r="E26" s="414"/>
      <c r="F26" s="414"/>
      <c r="G26" s="414"/>
      <c r="H26" s="414"/>
      <c r="I26" s="414"/>
    </row>
    <row r="27" spans="1:11">
      <c r="A27" s="570" t="s">
        <v>129</v>
      </c>
      <c r="B27" s="641" t="s">
        <v>267</v>
      </c>
      <c r="C27" s="641"/>
      <c r="D27" s="641"/>
      <c r="E27" s="641"/>
      <c r="F27" s="641"/>
      <c r="G27" s="641"/>
      <c r="H27" s="414"/>
      <c r="I27" s="414"/>
    </row>
    <row r="28" spans="1:11">
      <c r="A28" s="570"/>
      <c r="B28" s="414"/>
      <c r="C28" s="414"/>
      <c r="D28" s="414"/>
      <c r="E28" s="414"/>
      <c r="F28" s="414"/>
      <c r="G28" s="414"/>
      <c r="H28" s="414"/>
      <c r="I28" s="414"/>
    </row>
    <row r="29" spans="1:11">
      <c r="A29" s="570"/>
      <c r="B29" s="414"/>
      <c r="C29" s="414"/>
      <c r="D29" s="414"/>
      <c r="E29" s="414"/>
      <c r="F29" s="570" t="s">
        <v>53</v>
      </c>
      <c r="G29" s="570" t="s">
        <v>273</v>
      </c>
      <c r="H29" s="570" t="s">
        <v>274</v>
      </c>
      <c r="I29" s="570" t="s">
        <v>275</v>
      </c>
      <c r="J29" s="471" t="s">
        <v>276</v>
      </c>
      <c r="K29" s="471" t="s">
        <v>277</v>
      </c>
    </row>
    <row r="30" spans="1:11">
      <c r="A30" s="570"/>
      <c r="B30" s="414"/>
      <c r="C30" s="414"/>
      <c r="D30" s="414"/>
      <c r="E30" s="414"/>
      <c r="F30" s="570">
        <v>503</v>
      </c>
      <c r="G30" s="570">
        <v>504</v>
      </c>
      <c r="H30" s="570">
        <v>505</v>
      </c>
      <c r="I30" s="570">
        <v>511</v>
      </c>
      <c r="J30" s="471">
        <v>570</v>
      </c>
      <c r="K30" s="471"/>
    </row>
    <row r="31" spans="1:11">
      <c r="A31" s="570"/>
      <c r="B31" s="414"/>
      <c r="C31" s="414"/>
      <c r="D31" s="414"/>
      <c r="E31" s="414"/>
      <c r="F31" s="570"/>
      <c r="G31" s="570"/>
      <c r="H31" s="570"/>
      <c r="I31" s="570"/>
      <c r="J31" s="471"/>
      <c r="K31" s="471"/>
    </row>
    <row r="32" spans="1:11" ht="33" customHeight="1">
      <c r="A32" s="471">
        <v>1</v>
      </c>
      <c r="B32" s="635" t="s">
        <v>354</v>
      </c>
      <c r="C32" s="635"/>
      <c r="F32" s="493">
        <f>+'DMA Amount of Change'!G12</f>
        <v>160697460.31999999</v>
      </c>
      <c r="G32" s="493">
        <f>+'DMA Amount of Change'!G13</f>
        <v>103915277.34</v>
      </c>
      <c r="H32" s="493">
        <f>+'DMA Amount of Change'!G14</f>
        <v>11638459.84</v>
      </c>
      <c r="I32" s="493">
        <f>+'DMA Amount of Change'!G15</f>
        <v>12937586.609999999</v>
      </c>
      <c r="J32" s="493">
        <f>+'DMA Amount of Change'!G16</f>
        <v>1682021.53</v>
      </c>
      <c r="K32" s="467">
        <f>SUM(F32:J32)</f>
        <v>290870805.63999999</v>
      </c>
    </row>
    <row r="34" spans="1:11">
      <c r="A34" s="471">
        <v>2</v>
      </c>
      <c r="B34" s="593" t="s">
        <v>355</v>
      </c>
      <c r="F34" s="494">
        <f>+'DMA Amount of Change'!E12</f>
        <v>131993811.11343679</v>
      </c>
      <c r="G34" s="494">
        <f>+'DMA Amount of Change'!E13</f>
        <v>93567596.866792873</v>
      </c>
      <c r="H34" s="494">
        <f>+'DMA Amount of Change'!E14</f>
        <v>12906567.97753373</v>
      </c>
      <c r="I34" s="494">
        <f>+'DMA Amount of Change'!E15</f>
        <v>15549500.235253498</v>
      </c>
      <c r="J34" s="494">
        <f>+'DMA Amount of Change'!E16</f>
        <v>2331720.8069831203</v>
      </c>
      <c r="K34" s="494">
        <f>SUM(F34:J34)</f>
        <v>256349197</v>
      </c>
    </row>
    <row r="36" spans="1:11">
      <c r="A36" s="471">
        <v>3</v>
      </c>
      <c r="B36" s="463" t="s">
        <v>278</v>
      </c>
      <c r="F36" s="496">
        <f>+'DMA Summary of Def. Accts.'!G12</f>
        <v>1.9044999999999999E-2</v>
      </c>
      <c r="G36" s="498">
        <f>+'DMA Summary of Def. Accts.'!H13</f>
        <v>4.1263000000000001E-2</v>
      </c>
      <c r="H36" s="496">
        <f>+'DMA Summary of Def. Accts.'!I14</f>
        <v>1.5561E-2</v>
      </c>
      <c r="I36" s="496">
        <f>+'DMA Summary of Def. Accts.'!J15</f>
        <v>-8.4999999999999995E-4</v>
      </c>
      <c r="J36" s="496">
        <f>+'DMA Summary of Def. Accts.'!K16</f>
        <v>-6.0039999999999998E-3</v>
      </c>
    </row>
    <row r="38" spans="1:11">
      <c r="A38" s="471">
        <v>4</v>
      </c>
      <c r="B38" s="463" t="s">
        <v>279</v>
      </c>
      <c r="F38" s="594">
        <f>-'DMA Proposed Rate 594'!D12</f>
        <v>1.0749999999999999E-2</v>
      </c>
      <c r="G38" s="595">
        <f>-'DMA Proposed Rate 594'!D13</f>
        <v>3.1900000000000001E-3</v>
      </c>
      <c r="H38" s="594">
        <f>-'DMA Proposed Rate 594'!D14</f>
        <v>7.2700000000000004E-3</v>
      </c>
      <c r="I38" s="594">
        <f>-'DMA Proposed Rate 594'!D15</f>
        <v>-5.3830000000000003E-2</v>
      </c>
      <c r="J38" s="594">
        <f>-'DMA Proposed Rate 594'!D16</f>
        <v>2.82E-3</v>
      </c>
    </row>
    <row r="40" spans="1:11">
      <c r="A40" s="471">
        <v>5</v>
      </c>
      <c r="B40" s="463" t="s">
        <v>280</v>
      </c>
      <c r="F40" s="496">
        <f>+F36-F38</f>
        <v>8.2950000000000003E-3</v>
      </c>
      <c r="G40" s="496">
        <f t="shared" ref="G40:J40" si="0">+G36-G38</f>
        <v>3.8073000000000003E-2</v>
      </c>
      <c r="H40" s="496">
        <f t="shared" si="0"/>
        <v>8.2909999999999998E-3</v>
      </c>
      <c r="I40" s="496">
        <f t="shared" si="0"/>
        <v>5.2980000000000006E-2</v>
      </c>
      <c r="J40" s="496">
        <f t="shared" si="0"/>
        <v>-8.8240000000000002E-3</v>
      </c>
    </row>
    <row r="42" spans="1:11">
      <c r="A42" s="471">
        <v>6</v>
      </c>
      <c r="B42" s="463" t="s">
        <v>281</v>
      </c>
      <c r="F42" s="493">
        <f>+F34*F40</f>
        <v>1094888.6631859583</v>
      </c>
      <c r="G42" s="493">
        <f t="shared" ref="G42:J42" si="1">+G34*G40</f>
        <v>3562399.1155094053</v>
      </c>
      <c r="H42" s="493">
        <f t="shared" si="1"/>
        <v>107008.35510173214</v>
      </c>
      <c r="I42" s="493">
        <f t="shared" si="1"/>
        <v>823812.52246373042</v>
      </c>
      <c r="J42" s="493">
        <f t="shared" si="1"/>
        <v>-20575.104400819055</v>
      </c>
      <c r="K42" s="467">
        <f>SUM(F42:J42)</f>
        <v>5567533.5518600075</v>
      </c>
    </row>
    <row r="44" spans="1:11">
      <c r="A44" s="471">
        <v>7</v>
      </c>
      <c r="B44" s="174" t="s">
        <v>268</v>
      </c>
      <c r="F44" s="492">
        <f>+F42/F32</f>
        <v>6.8133538700965472E-3</v>
      </c>
      <c r="G44" s="492">
        <f t="shared" ref="G44:J44" si="2">+G42/G32</f>
        <v>3.4281764979114719E-2</v>
      </c>
      <c r="H44" s="492">
        <f t="shared" si="2"/>
        <v>9.1943742189973601E-3</v>
      </c>
      <c r="I44" s="492">
        <f t="shared" si="2"/>
        <v>6.367590396086481E-2</v>
      </c>
      <c r="J44" s="492">
        <f t="shared" si="2"/>
        <v>-1.2232366847776946E-2</v>
      </c>
    </row>
    <row r="45" spans="1:11">
      <c r="G45" s="490"/>
    </row>
    <row r="46" spans="1:11">
      <c r="A46" s="471">
        <v>8</v>
      </c>
      <c r="B46" s="463" t="s">
        <v>282</v>
      </c>
      <c r="F46" s="495">
        <f>IF(F44&gt;0.03,F32*0.03-F42,0)</f>
        <v>0</v>
      </c>
      <c r="G46" s="495">
        <f t="shared" ref="G46:J46" si="3">IF(G44&gt;0.03,G32*0.03-G42,0)</f>
        <v>-444940.79530940531</v>
      </c>
      <c r="H46" s="495">
        <f t="shared" si="3"/>
        <v>0</v>
      </c>
      <c r="I46" s="495">
        <f t="shared" si="3"/>
        <v>-435684.92416373047</v>
      </c>
      <c r="J46" s="495">
        <f t="shared" si="3"/>
        <v>0</v>
      </c>
    </row>
    <row r="47" spans="1:11">
      <c r="G47" s="491"/>
    </row>
    <row r="48" spans="1:11">
      <c r="A48" s="471">
        <v>9</v>
      </c>
      <c r="B48" s="174" t="s">
        <v>269</v>
      </c>
      <c r="F48" s="496">
        <f>ROUND(F46/F34,5)</f>
        <v>0</v>
      </c>
      <c r="G48" s="496">
        <f t="shared" ref="G48:J48" si="4">ROUND(G46/G34,5)</f>
        <v>-4.7600000000000003E-3</v>
      </c>
      <c r="H48" s="496">
        <f t="shared" si="4"/>
        <v>0</v>
      </c>
      <c r="I48" s="496">
        <f t="shared" si="4"/>
        <v>-2.802E-2</v>
      </c>
      <c r="J48" s="496">
        <f t="shared" si="4"/>
        <v>0</v>
      </c>
    </row>
    <row r="49" spans="1:11">
      <c r="B49" s="174"/>
      <c r="F49" s="496"/>
      <c r="G49" s="496"/>
      <c r="H49" s="496"/>
      <c r="I49" s="496"/>
      <c r="J49" s="496"/>
    </row>
    <row r="50" spans="1:11">
      <c r="A50" s="471">
        <v>10</v>
      </c>
      <c r="B50" s="463" t="s">
        <v>270</v>
      </c>
      <c r="F50" s="496">
        <f>+F36+F48</f>
        <v>1.9044999999999999E-2</v>
      </c>
      <c r="G50" s="496">
        <f>+G36+G48</f>
        <v>3.6503000000000001E-2</v>
      </c>
      <c r="H50" s="496">
        <f>+H36+H48</f>
        <v>1.5561E-2</v>
      </c>
      <c r="I50" s="496">
        <f>+I36+I48</f>
        <v>-2.887E-2</v>
      </c>
      <c r="J50" s="496">
        <f>+J36+J48</f>
        <v>-6.0039999999999998E-3</v>
      </c>
    </row>
    <row r="52" spans="1:11">
      <c r="A52" s="471">
        <v>11</v>
      </c>
      <c r="B52" s="463" t="s">
        <v>271</v>
      </c>
      <c r="F52" s="493">
        <f>(F50-F38)*F34</f>
        <v>1094888.6631859583</v>
      </c>
      <c r="G52" s="493">
        <f>(G50-G38)*G34</f>
        <v>3117017.3544234713</v>
      </c>
      <c r="H52" s="493">
        <f>(H50-H38)*H34</f>
        <v>107008.35510173214</v>
      </c>
      <c r="I52" s="493">
        <f>(I50-I38)*I34</f>
        <v>388115.52587192738</v>
      </c>
      <c r="J52" s="493">
        <f>(J50-J38)*J34</f>
        <v>-20575.104400819055</v>
      </c>
      <c r="K52" s="467">
        <f>SUM(F52:J52)</f>
        <v>4686454.7941822708</v>
      </c>
    </row>
    <row r="53" spans="1:11">
      <c r="G53" s="467"/>
      <c r="K53" s="467"/>
    </row>
    <row r="54" spans="1:11">
      <c r="A54" s="471">
        <v>12</v>
      </c>
      <c r="B54" s="463" t="s">
        <v>272</v>
      </c>
      <c r="F54" s="492">
        <f>+F52/F32</f>
        <v>6.8133538700965472E-3</v>
      </c>
      <c r="G54" s="492">
        <f>+G52/G32</f>
        <v>2.9995756487517365E-2</v>
      </c>
      <c r="H54" s="492">
        <f>+H52/H32</f>
        <v>9.1943742189973601E-3</v>
      </c>
      <c r="I54" s="492">
        <f>+I52/I32</f>
        <v>2.999906687170981E-2</v>
      </c>
      <c r="J54" s="492">
        <f>+J52/J32</f>
        <v>-1.2232366847776946E-2</v>
      </c>
    </row>
    <row r="56" spans="1:11">
      <c r="B56" s="497" t="s">
        <v>284</v>
      </c>
    </row>
    <row r="57" spans="1:11" ht="27" customHeight="1">
      <c r="B57" s="633" t="s">
        <v>356</v>
      </c>
      <c r="C57" s="634"/>
      <c r="D57" s="634"/>
      <c r="E57" s="634"/>
      <c r="F57" s="634"/>
    </row>
    <row r="58" spans="1:11" ht="43.5" customHeight="1">
      <c r="B58" s="632" t="s">
        <v>283</v>
      </c>
      <c r="C58" s="632"/>
      <c r="D58" s="632"/>
      <c r="E58" s="632"/>
      <c r="F58" s="632"/>
    </row>
  </sheetData>
  <mergeCells count="8">
    <mergeCell ref="B58:F58"/>
    <mergeCell ref="B57:F57"/>
    <mergeCell ref="B32:C32"/>
    <mergeCell ref="B1:G1"/>
    <mergeCell ref="B2:G2"/>
    <mergeCell ref="B3:G3"/>
    <mergeCell ref="B5:G5"/>
    <mergeCell ref="B27:G27"/>
  </mergeCells>
  <printOptions horizontalCentered="1"/>
  <pageMargins left="0.7" right="0.7" top="0.75" bottom="0.75" header="0.3" footer="0.3"/>
  <pageSetup scale="54" firstPageNumber="5" orientation="portrait" useFirstPageNumber="1" r:id="rId1"/>
  <headerFooter scaleWithDoc="0" alignWithMargins="0">
    <oddFooter>&amp;LTab Name: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I20" sqref="I20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pageSetUpPr fitToPage="1"/>
  </sheetPr>
  <dimension ref="A1:I33"/>
  <sheetViews>
    <sheetView topLeftCell="A4" zoomScaleNormal="100" workbookViewId="0">
      <pane xSplit="1" topLeftCell="B1" activePane="topRight" state="frozen"/>
      <selection sqref="A1:XFD1048576"/>
      <selection pane="topRight" activeCell="D23" sqref="D23"/>
    </sheetView>
  </sheetViews>
  <sheetFormatPr defaultColWidth="9.33203125" defaultRowHeight="15"/>
  <cols>
    <col min="1" max="1" width="24.33203125" style="174" bestFit="1" customWidth="1"/>
    <col min="2" max="2" width="32.5" style="174" bestFit="1" customWidth="1"/>
    <col min="3" max="3" width="41.1640625" style="174" customWidth="1"/>
    <col min="4" max="4" width="24.33203125" style="174" bestFit="1" customWidth="1"/>
    <col min="5" max="5" width="11.1640625" style="174" bestFit="1" customWidth="1"/>
    <col min="6" max="6" width="8.6640625" style="174" bestFit="1" customWidth="1"/>
    <col min="7" max="9" width="10.6640625" style="174" customWidth="1"/>
    <col min="10" max="11" width="9.33203125" style="174"/>
    <col min="12" max="12" width="14.1640625" style="174" bestFit="1" customWidth="1"/>
    <col min="13" max="16384" width="9.33203125" style="174"/>
  </cols>
  <sheetData>
    <row r="1" spans="1:9">
      <c r="C1" s="622" t="s">
        <v>33</v>
      </c>
      <c r="D1" s="622"/>
      <c r="E1" s="622"/>
      <c r="F1" s="622"/>
      <c r="G1" s="622"/>
      <c r="H1" s="622"/>
    </row>
    <row r="2" spans="1:9">
      <c r="C2" s="622" t="s">
        <v>345</v>
      </c>
      <c r="D2" s="622"/>
      <c r="E2" s="622"/>
      <c r="F2" s="622"/>
      <c r="G2" s="622"/>
      <c r="H2" s="622"/>
    </row>
    <row r="3" spans="1:9">
      <c r="C3" s="622" t="s">
        <v>35</v>
      </c>
      <c r="D3" s="622"/>
      <c r="E3" s="622"/>
      <c r="F3" s="622"/>
      <c r="G3" s="622"/>
      <c r="H3" s="622"/>
    </row>
    <row r="7" spans="1:9">
      <c r="A7" s="183"/>
      <c r="B7" s="2"/>
      <c r="C7" s="75"/>
    </row>
    <row r="8" spans="1:9">
      <c r="A8" s="642" t="s">
        <v>346</v>
      </c>
      <c r="B8" s="642"/>
      <c r="C8" s="642"/>
    </row>
    <row r="9" spans="1:9">
      <c r="D9" s="178"/>
      <c r="G9" s="571"/>
      <c r="H9" s="571"/>
      <c r="I9" s="571"/>
    </row>
    <row r="10" spans="1:9">
      <c r="A10" s="179"/>
      <c r="B10" s="179"/>
      <c r="C10" s="75"/>
      <c r="D10" s="181"/>
      <c r="E10" s="181"/>
      <c r="F10" s="181"/>
      <c r="G10" s="181"/>
      <c r="H10" s="181"/>
      <c r="I10" s="181"/>
    </row>
    <row r="11" spans="1:9" ht="30">
      <c r="A11" s="364" t="s">
        <v>249</v>
      </c>
      <c r="B11" s="182" t="s">
        <v>248</v>
      </c>
      <c r="C11" s="182" t="s">
        <v>25</v>
      </c>
      <c r="D11" s="268" t="s">
        <v>347</v>
      </c>
      <c r="E11" s="182" t="s">
        <v>105</v>
      </c>
      <c r="F11" s="182" t="s">
        <v>24</v>
      </c>
      <c r="G11" s="182" t="s">
        <v>1</v>
      </c>
      <c r="H11" s="182" t="s">
        <v>4</v>
      </c>
      <c r="I11" s="182" t="s">
        <v>27</v>
      </c>
    </row>
    <row r="12" spans="1:9">
      <c r="B12" s="571"/>
      <c r="D12" s="178"/>
      <c r="E12" s="571" t="s">
        <v>23</v>
      </c>
      <c r="G12" s="571" t="s">
        <v>127</v>
      </c>
      <c r="H12" s="571" t="s">
        <v>127</v>
      </c>
      <c r="I12" s="571" t="s">
        <v>128</v>
      </c>
    </row>
    <row r="13" spans="1:9">
      <c r="A13" s="174" t="s">
        <v>227</v>
      </c>
      <c r="B13" s="571" t="str">
        <f>+'Int calc thru 10-31-2022'!B11</f>
        <v>503-Residential</v>
      </c>
      <c r="C13" s="174" t="s">
        <v>178</v>
      </c>
      <c r="D13" s="178">
        <f>-'[1]WACAP 2021'!$Q$19</f>
        <v>2371653.719999996</v>
      </c>
      <c r="E13" s="571" t="s">
        <v>23</v>
      </c>
      <c r="G13" s="571" t="s">
        <v>127</v>
      </c>
      <c r="H13" s="571" t="s">
        <v>127</v>
      </c>
      <c r="I13" s="571" t="s">
        <v>128</v>
      </c>
    </row>
    <row r="14" spans="1:9">
      <c r="A14" s="174" t="s">
        <v>227</v>
      </c>
      <c r="B14" s="571" t="str">
        <f>+'Int calc thru 10-31-2022'!B12</f>
        <v>504-Commercial</v>
      </c>
      <c r="C14" s="174" t="s">
        <v>178</v>
      </c>
      <c r="D14" s="178">
        <f>-'[1]WACAP 2021'!$Q$55-'[1]WACAP 2021'!$Q$88</f>
        <v>1474226.6500000011</v>
      </c>
      <c r="E14" s="571" t="s">
        <v>23</v>
      </c>
      <c r="G14" s="571" t="s">
        <v>127</v>
      </c>
      <c r="H14" s="571" t="s">
        <v>127</v>
      </c>
      <c r="I14" s="571" t="s">
        <v>128</v>
      </c>
    </row>
    <row r="15" spans="1:9">
      <c r="A15" s="174" t="s">
        <v>227</v>
      </c>
      <c r="B15" s="571" t="str">
        <f>+'Int calc thru 10-31-2022'!B13</f>
        <v>505-Industrial</v>
      </c>
      <c r="C15" s="174" t="s">
        <v>178</v>
      </c>
      <c r="D15" s="178">
        <f>-'[1]WACAP 2021'!$Q$31-'[1]WACAP 2021'!$Q$120</f>
        <v>211490.25000000006</v>
      </c>
      <c r="E15" s="571" t="s">
        <v>23</v>
      </c>
      <c r="G15" s="571" t="s">
        <v>127</v>
      </c>
      <c r="H15" s="571" t="s">
        <v>127</v>
      </c>
      <c r="I15" s="571" t="s">
        <v>128</v>
      </c>
    </row>
    <row r="16" spans="1:9">
      <c r="A16" s="174" t="s">
        <v>227</v>
      </c>
      <c r="B16" s="571" t="str">
        <f>+'Int calc thru 10-31-2022'!B14</f>
        <v>511-Large Volume</v>
      </c>
      <c r="C16" s="174" t="s">
        <v>178</v>
      </c>
      <c r="D16" s="178">
        <f>-'[1]WACAP 2021'!$Q$43-'[1]WACAP 2021'!$Q$72-'[1]WACAP 2021'!$Q$105</f>
        <v>122182.16500000001</v>
      </c>
      <c r="E16" s="571" t="s">
        <v>23</v>
      </c>
      <c r="G16" s="571" t="s">
        <v>127</v>
      </c>
      <c r="H16" s="571" t="s">
        <v>127</v>
      </c>
      <c r="I16" s="571" t="s">
        <v>128</v>
      </c>
    </row>
    <row r="17" spans="1:9">
      <c r="A17" s="174" t="s">
        <v>227</v>
      </c>
      <c r="B17" s="571" t="str">
        <f>+'Int calc thru 10-31-2022'!B15</f>
        <v>570-Interruptible Commercial</v>
      </c>
      <c r="C17" s="174" t="s">
        <v>178</v>
      </c>
      <c r="D17" s="178">
        <f>-'[1]WACAP 2021'!$Q$135</f>
        <v>-13960.709999999997</v>
      </c>
      <c r="E17" s="571" t="s">
        <v>23</v>
      </c>
      <c r="G17" s="571" t="s">
        <v>127</v>
      </c>
      <c r="H17" s="571" t="s">
        <v>127</v>
      </c>
      <c r="I17" s="571" t="s">
        <v>128</v>
      </c>
    </row>
    <row r="18" spans="1:9">
      <c r="A18" s="174" t="s">
        <v>241</v>
      </c>
      <c r="B18" s="571" t="str">
        <f>+B13</f>
        <v>503-Residential</v>
      </c>
      <c r="C18" s="174" t="s">
        <v>247</v>
      </c>
      <c r="D18" s="178">
        <f>+[1]WACAP2021Amort!$R$15</f>
        <v>1230901.5205000006</v>
      </c>
      <c r="E18" s="571" t="s">
        <v>23</v>
      </c>
      <c r="G18" s="571" t="s">
        <v>127</v>
      </c>
      <c r="H18" s="571" t="s">
        <v>127</v>
      </c>
      <c r="I18" s="571" t="s">
        <v>127</v>
      </c>
    </row>
    <row r="19" spans="1:9">
      <c r="A19" s="174" t="s">
        <v>241</v>
      </c>
      <c r="B19" s="571" t="str">
        <f>+B14</f>
        <v>504-Commercial</v>
      </c>
      <c r="C19" s="174" t="s">
        <v>247</v>
      </c>
      <c r="D19" s="178">
        <f>+[1]WACAP2021Amort!$R$33+[1]WACAP2021Amort!$R$42</f>
        <v>2481869.1610700018</v>
      </c>
      <c r="E19" s="571" t="s">
        <v>23</v>
      </c>
      <c r="G19" s="571" t="s">
        <v>127</v>
      </c>
      <c r="H19" s="571" t="s">
        <v>127</v>
      </c>
      <c r="I19" s="571" t="s">
        <v>127</v>
      </c>
    </row>
    <row r="20" spans="1:9">
      <c r="A20" s="174" t="s">
        <v>241</v>
      </c>
      <c r="B20" s="571" t="str">
        <f>+B15</f>
        <v>505-Industrial</v>
      </c>
      <c r="C20" s="174" t="s">
        <v>247</v>
      </c>
      <c r="D20" s="178">
        <f>+[1]WACAP2021Amort!$R$24</f>
        <v>65669.660079999856</v>
      </c>
      <c r="E20" s="571" t="s">
        <v>23</v>
      </c>
      <c r="G20" s="571" t="s">
        <v>127</v>
      </c>
      <c r="H20" s="571" t="s">
        <v>127</v>
      </c>
      <c r="I20" s="571" t="s">
        <v>127</v>
      </c>
    </row>
    <row r="21" spans="1:9">
      <c r="A21" s="174" t="s">
        <v>241</v>
      </c>
      <c r="B21" s="571" t="str">
        <f>+B16</f>
        <v>511-Large Volume</v>
      </c>
      <c r="C21" s="174" t="s">
        <v>247</v>
      </c>
      <c r="D21" s="178">
        <f>+[1]WACAP2021Amort!$R$51</f>
        <v>-838976.26523000014</v>
      </c>
      <c r="E21" s="571" t="s">
        <v>23</v>
      </c>
      <c r="G21" s="571" t="s">
        <v>127</v>
      </c>
      <c r="H21" s="571" t="s">
        <v>127</v>
      </c>
      <c r="I21" s="571" t="s">
        <v>127</v>
      </c>
    </row>
    <row r="22" spans="1:9">
      <c r="A22" s="174" t="s">
        <v>241</v>
      </c>
      <c r="B22" s="571" t="str">
        <f>+B17</f>
        <v>570-Interruptible Commercial</v>
      </c>
      <c r="C22" s="174" t="s">
        <v>247</v>
      </c>
      <c r="D22" s="178">
        <f>+[1]WACAP2021Amort!$R$61</f>
        <v>5788.2416200000007</v>
      </c>
      <c r="E22" s="571" t="s">
        <v>23</v>
      </c>
      <c r="G22" s="571" t="s">
        <v>127</v>
      </c>
      <c r="H22" s="571" t="s">
        <v>127</v>
      </c>
      <c r="I22" s="571" t="s">
        <v>127</v>
      </c>
    </row>
    <row r="23" spans="1:9">
      <c r="B23" s="571"/>
      <c r="D23" s="178"/>
      <c r="E23" s="571"/>
      <c r="G23" s="571"/>
      <c r="H23" s="571"/>
      <c r="I23" s="571"/>
    </row>
    <row r="24" spans="1:9">
      <c r="A24" s="177"/>
      <c r="B24" s="177"/>
      <c r="D24" s="178"/>
    </row>
    <row r="25" spans="1:9">
      <c r="A25" s="182" t="s">
        <v>99</v>
      </c>
      <c r="B25" s="182"/>
      <c r="C25" s="182"/>
      <c r="D25" s="268"/>
      <c r="E25" s="182"/>
    </row>
    <row r="26" spans="1:9">
      <c r="A26" s="174" t="s">
        <v>177</v>
      </c>
      <c r="C26" s="174" t="s">
        <v>178</v>
      </c>
      <c r="D26" s="178">
        <f>SUM(D12:D17,D18:D23)</f>
        <v>7110844.3930400005</v>
      </c>
      <c r="G26" s="571"/>
      <c r="H26" s="571"/>
      <c r="I26" s="571"/>
    </row>
    <row r="27" spans="1:9">
      <c r="D27" s="178"/>
      <c r="G27" s="571"/>
      <c r="H27" s="571"/>
      <c r="I27" s="571"/>
    </row>
    <row r="28" spans="1:9">
      <c r="D28" s="178"/>
      <c r="G28" s="571"/>
      <c r="H28" s="571"/>
      <c r="I28" s="571"/>
    </row>
    <row r="29" spans="1:9" ht="15.75" thickBot="1">
      <c r="D29" s="269">
        <f>-D26</f>
        <v>-7110844.3930400005</v>
      </c>
      <c r="G29" s="571"/>
      <c r="H29" s="571"/>
      <c r="I29" s="571"/>
    </row>
    <row r="30" spans="1:9" ht="15.75" thickTop="1"/>
    <row r="33" spans="4:4">
      <c r="D33" s="174">
        <v>7110884.3899999997</v>
      </c>
    </row>
  </sheetData>
  <mergeCells count="4">
    <mergeCell ref="A8:C8"/>
    <mergeCell ref="C1:H1"/>
    <mergeCell ref="C2:H2"/>
    <mergeCell ref="C3:H3"/>
  </mergeCells>
  <printOptions horizontalCentered="1"/>
  <pageMargins left="0.25" right="0.25" top="1" bottom="1" header="0.5" footer="0.5"/>
  <pageSetup scale="97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N24"/>
  <sheetViews>
    <sheetView zoomScaleNormal="100" workbookViewId="0">
      <selection activeCell="C14" sqref="C14"/>
    </sheetView>
  </sheetViews>
  <sheetFormatPr defaultColWidth="9.33203125" defaultRowHeight="15"/>
  <cols>
    <col min="1" max="1" width="27.33203125" style="174" customWidth="1"/>
    <col min="2" max="2" width="34.1640625" style="174" bestFit="1" customWidth="1"/>
    <col min="3" max="3" width="17.6640625" style="174" bestFit="1" customWidth="1"/>
    <col min="4" max="12" width="14.5" style="174" bestFit="1" customWidth="1"/>
    <col min="13" max="13" width="1.6640625" style="174" customWidth="1"/>
    <col min="14" max="14" width="15.1640625" style="571" bestFit="1" customWidth="1"/>
    <col min="15" max="15" width="9.33203125" style="174"/>
    <col min="16" max="16" width="17.6640625" style="174" bestFit="1" customWidth="1"/>
    <col min="17" max="16384" width="9.33203125" style="174"/>
  </cols>
  <sheetData>
    <row r="1" spans="1:14">
      <c r="B1" s="622" t="s">
        <v>33</v>
      </c>
      <c r="C1" s="622"/>
      <c r="D1" s="622"/>
      <c r="E1" s="622"/>
      <c r="F1" s="622"/>
      <c r="G1" s="622"/>
      <c r="H1" s="622"/>
      <c r="I1" s="622"/>
      <c r="J1" s="622"/>
      <c r="K1" s="622"/>
    </row>
    <row r="2" spans="1:14">
      <c r="B2" s="622" t="s">
        <v>175</v>
      </c>
      <c r="C2" s="622"/>
      <c r="D2" s="622"/>
      <c r="E2" s="622"/>
      <c r="F2" s="622"/>
      <c r="G2" s="622"/>
      <c r="H2" s="622"/>
      <c r="I2" s="622"/>
      <c r="J2" s="622"/>
      <c r="K2" s="622"/>
    </row>
    <row r="3" spans="1:14">
      <c r="B3" s="643" t="s">
        <v>340</v>
      </c>
      <c r="C3" s="643"/>
      <c r="D3" s="643"/>
      <c r="E3" s="643"/>
      <c r="F3" s="643"/>
      <c r="G3" s="643"/>
      <c r="H3" s="643"/>
      <c r="I3" s="643"/>
      <c r="J3" s="643"/>
      <c r="K3" s="643"/>
    </row>
    <row r="4" spans="1:14">
      <c r="B4" s="622" t="s">
        <v>35</v>
      </c>
      <c r="C4" s="622"/>
      <c r="D4" s="622"/>
      <c r="E4" s="622"/>
      <c r="F4" s="622"/>
      <c r="G4" s="622"/>
      <c r="H4" s="622"/>
      <c r="I4" s="622"/>
      <c r="J4" s="622"/>
      <c r="K4" s="622"/>
    </row>
    <row r="7" spans="1:14">
      <c r="A7" s="74" t="s">
        <v>21</v>
      </c>
      <c r="B7" s="75" t="s">
        <v>183</v>
      </c>
      <c r="C7" s="576">
        <f>+EstimatedBalances!D6</f>
        <v>44592</v>
      </c>
      <c r="D7" s="576">
        <f>+EstimatedBalances!E6</f>
        <v>44620</v>
      </c>
      <c r="E7" s="576">
        <f>+EstimatedBalances!F6</f>
        <v>44651</v>
      </c>
      <c r="F7" s="576">
        <f>+EstimatedBalances!G6</f>
        <v>44681</v>
      </c>
      <c r="G7" s="576">
        <f>+EstimatedBalances!H6</f>
        <v>44712</v>
      </c>
      <c r="H7" s="576">
        <f>+EstimatedBalances!I6</f>
        <v>44742</v>
      </c>
      <c r="I7" s="576">
        <f>+EstimatedBalances!J6</f>
        <v>44773</v>
      </c>
      <c r="J7" s="271">
        <f>+EstimatedBalances!K6</f>
        <v>44804</v>
      </c>
      <c r="K7" s="271">
        <f>+EstimatedBalances!L6</f>
        <v>44834</v>
      </c>
      <c r="L7" s="271">
        <f>+EstimatedBalances!M6</f>
        <v>44865</v>
      </c>
      <c r="M7" s="271"/>
      <c r="N7" s="289" t="s">
        <v>26</v>
      </c>
    </row>
    <row r="8" spans="1:14">
      <c r="A8" s="74" t="s">
        <v>22</v>
      </c>
      <c r="C8" s="577">
        <v>3.2500000000000001E-2</v>
      </c>
      <c r="D8" s="577">
        <v>3.2500000000000001E-2</v>
      </c>
      <c r="E8" s="577">
        <v>3.2500000000000001E-2</v>
      </c>
      <c r="F8" s="577">
        <v>3.2500000000000001E-2</v>
      </c>
      <c r="G8" s="577">
        <v>3.2500000000000001E-2</v>
      </c>
      <c r="H8" s="577">
        <v>3.2500000000000001E-2</v>
      </c>
      <c r="I8" s="577">
        <v>3.5999999999999997E-2</v>
      </c>
      <c r="J8" s="272">
        <v>3.5999999999999997E-2</v>
      </c>
      <c r="K8" s="272">
        <v>3.5999999999999997E-2</v>
      </c>
      <c r="L8" s="272">
        <v>3.5999999999999997E-2</v>
      </c>
      <c r="M8" s="272"/>
      <c r="N8" s="75" t="s">
        <v>28</v>
      </c>
    </row>
    <row r="9" spans="1:14">
      <c r="A9" s="32" t="s">
        <v>29</v>
      </c>
      <c r="B9" s="33" t="s">
        <v>0</v>
      </c>
      <c r="C9" s="273">
        <f>+C8/365*31</f>
        <v>2.7602739726027398E-3</v>
      </c>
      <c r="D9" s="273">
        <f>+D8/365*28</f>
        <v>2.4931506849315069E-3</v>
      </c>
      <c r="E9" s="273">
        <f t="shared" ref="E9:M9" si="0">+E8/365*31</f>
        <v>2.7602739726027398E-3</v>
      </c>
      <c r="F9" s="273">
        <f>+F8/365*30</f>
        <v>2.6712328767123285E-3</v>
      </c>
      <c r="G9" s="273">
        <f>+G8/365*31</f>
        <v>2.7602739726027398E-3</v>
      </c>
      <c r="H9" s="273">
        <f>+H8/365*30</f>
        <v>2.6712328767123285E-3</v>
      </c>
      <c r="I9" s="273">
        <f t="shared" si="0"/>
        <v>3.0575342465753424E-3</v>
      </c>
      <c r="J9" s="273">
        <f t="shared" si="0"/>
        <v>3.0575342465753424E-3</v>
      </c>
      <c r="K9" s="273">
        <f>+K8/365*30</f>
        <v>2.958904109589041E-3</v>
      </c>
      <c r="L9" s="273">
        <f t="shared" si="0"/>
        <v>3.0575342465753424E-3</v>
      </c>
      <c r="M9" s="273">
        <f t="shared" si="0"/>
        <v>0</v>
      </c>
      <c r="N9" s="461">
        <v>44500</v>
      </c>
    </row>
    <row r="10" spans="1:14">
      <c r="J10" s="85"/>
      <c r="K10" s="85"/>
      <c r="L10" s="85"/>
      <c r="N10" s="299"/>
    </row>
    <row r="11" spans="1:14">
      <c r="A11" s="174" t="str">
        <f>+'Balances at 12-31-2021'!A13</f>
        <v>47WA.1862.20477</v>
      </c>
      <c r="B11" s="174" t="s">
        <v>242</v>
      </c>
      <c r="C11" s="85">
        <f>+'Balances at 12-31-2021'!D13*C9</f>
        <v>6546.4140353424546</v>
      </c>
      <c r="D11" s="85">
        <f>ROUND(EstimatedBalances!D10*'Int calc thru 10-31-2022'!D9,2)</f>
        <v>5929.21</v>
      </c>
      <c r="E11" s="85">
        <f>ROUND(EstimatedBalances!E10*'Int calc thru 10-31-2022'!E$9,2)</f>
        <v>6580.85</v>
      </c>
      <c r="F11" s="85">
        <f>ROUND(EstimatedBalances!F10*'Int calc thru 10-31-2022'!F$9,2)</f>
        <v>6386.14</v>
      </c>
      <c r="G11" s="85">
        <f>ROUND(EstimatedBalances!G10*'Int calc thru 10-31-2022'!G$9,2)</f>
        <v>6616.64</v>
      </c>
      <c r="H11" s="85">
        <f>ROUND(EstimatedBalances!H10*'Int calc thru 10-31-2022'!H$9,2)</f>
        <v>6420.88</v>
      </c>
      <c r="I11" s="85">
        <f>ROUND(EstimatedBalances!I10*'Int calc thru 10-31-2022'!I$9,2)</f>
        <v>7369.07</v>
      </c>
      <c r="J11" s="85">
        <f>ROUND(EstimatedBalances!J10*'Int calc thru 10-31-2022'!J$9,2)</f>
        <v>7391.6</v>
      </c>
      <c r="K11" s="85">
        <f>ROUND(EstimatedBalances!K10*'Int calc thru 10-31-2022'!K$9,2)</f>
        <v>7175.03</v>
      </c>
      <c r="L11" s="85">
        <f>ROUND(EstimatedBalances!L10*'Int calc thru 10-31-2022'!L$9,2)</f>
        <v>7436.14</v>
      </c>
      <c r="N11" s="299">
        <f t="shared" ref="N11:N20" si="1">SUM(C11:M11)</f>
        <v>67851.974035342457</v>
      </c>
    </row>
    <row r="12" spans="1:14">
      <c r="A12" s="174" t="str">
        <f>+'Balances at 12-31-2021'!A14</f>
        <v>47WA.1862.20477</v>
      </c>
      <c r="B12" s="174" t="s">
        <v>243</v>
      </c>
      <c r="C12" s="85">
        <f>+'Balances at 12-31-2021'!D14*C9</f>
        <v>4069.2694517123318</v>
      </c>
      <c r="D12" s="85">
        <f>ROUND(EstimatedBalances!D11*'Int calc thru 10-31-2022'!D9,2)</f>
        <v>3685.61</v>
      </c>
      <c r="E12" s="85">
        <f>ROUND(EstimatedBalances!E11*'Int calc thru 10-31-2022'!E$9,2)</f>
        <v>4090.68</v>
      </c>
      <c r="F12" s="85">
        <f>ROUND(EstimatedBalances!F11*'Int calc thru 10-31-2022'!F$9,2)</f>
        <v>3969.64</v>
      </c>
      <c r="G12" s="85">
        <f>ROUND(EstimatedBalances!G11*'Int calc thru 10-31-2022'!G$9,2)</f>
        <v>4112.92</v>
      </c>
      <c r="H12" s="85">
        <f>ROUND(EstimatedBalances!H11*'Int calc thru 10-31-2022'!H$9,2)</f>
        <v>3991.24</v>
      </c>
      <c r="I12" s="85">
        <f>ROUND(EstimatedBalances!I11*'Int calc thru 10-31-2022'!I$9,2)</f>
        <v>4580.63</v>
      </c>
      <c r="J12" s="85">
        <f>ROUND(EstimatedBalances!J11*'Int calc thru 10-31-2022'!J$9,2)</f>
        <v>4594.6400000000003</v>
      </c>
      <c r="K12" s="85">
        <f>ROUND(EstimatedBalances!K11*'Int calc thru 10-31-2022'!K$9,2)</f>
        <v>4460.0200000000004</v>
      </c>
      <c r="L12" s="85">
        <f>ROUND(EstimatedBalances!L11*'Int calc thru 10-31-2022'!L$9,2)</f>
        <v>4622.32</v>
      </c>
      <c r="N12" s="299">
        <f t="shared" si="1"/>
        <v>42176.969451712335</v>
      </c>
    </row>
    <row r="13" spans="1:14">
      <c r="A13" s="174" t="str">
        <f>+'Balances at 12-31-2021'!A15</f>
        <v>47WA.1862.20477</v>
      </c>
      <c r="B13" s="174" t="s">
        <v>244</v>
      </c>
      <c r="C13" s="85">
        <f>+'Balances at 12-31-2021'!D15*C9</f>
        <v>583.77103253424673</v>
      </c>
      <c r="D13" s="85">
        <f>ROUND(EstimatedBalances!D12*'Int calc thru 10-31-2022'!D9,2)</f>
        <v>528.73</v>
      </c>
      <c r="E13" s="85">
        <f>ROUND(EstimatedBalances!E12*'Int calc thru 10-31-2022'!E$9,2)</f>
        <v>586.84</v>
      </c>
      <c r="F13" s="85">
        <f>ROUND(EstimatedBalances!F12*'Int calc thru 10-31-2022'!F$9,2)</f>
        <v>569.48</v>
      </c>
      <c r="G13" s="85">
        <f>ROUND(EstimatedBalances!G12*'Int calc thru 10-31-2022'!G$9,2)</f>
        <v>590.03</v>
      </c>
      <c r="H13" s="85">
        <f>ROUND(EstimatedBalances!H12*'Int calc thru 10-31-2022'!H$9,2)</f>
        <v>572.58000000000004</v>
      </c>
      <c r="I13" s="85">
        <f>ROUND(EstimatedBalances!I12*'Int calc thru 10-31-2022'!I$9,2)</f>
        <v>657.13</v>
      </c>
      <c r="J13" s="85">
        <f>ROUND(EstimatedBalances!J12*'Int calc thru 10-31-2022'!J$9,2)</f>
        <v>659.14</v>
      </c>
      <c r="K13" s="85">
        <f>ROUND(EstimatedBalances!K12*'Int calc thru 10-31-2022'!K$9,2)</f>
        <v>639.83000000000004</v>
      </c>
      <c r="L13" s="85">
        <f>ROUND(EstimatedBalances!L12*'Int calc thru 10-31-2022'!L$9,2)</f>
        <v>663.11</v>
      </c>
      <c r="N13" s="299">
        <f t="shared" si="1"/>
        <v>6050.6410325342467</v>
      </c>
    </row>
    <row r="14" spans="1:14">
      <c r="A14" s="174" t="str">
        <f>+'Balances at 12-31-2021'!A16</f>
        <v>47WA.1862.20477</v>
      </c>
      <c r="B14" s="174" t="s">
        <v>245</v>
      </c>
      <c r="C14" s="85">
        <f>+'Balances at 12-31-2021'!D16*C9</f>
        <v>337.25624996575345</v>
      </c>
      <c r="D14" s="85">
        <f>ROUND(EstimatedBalances!D13*'Int calc thru 10-31-2022'!D9,2)</f>
        <v>305.45999999999998</v>
      </c>
      <c r="E14" s="85">
        <f>ROUND(EstimatedBalances!E13*'Int calc thru 10-31-2022'!E$9,2)</f>
        <v>339.03</v>
      </c>
      <c r="F14" s="85">
        <f>ROUND(EstimatedBalances!F13*'Int calc thru 10-31-2022'!F$9,2)</f>
        <v>329</v>
      </c>
      <c r="G14" s="85">
        <f>ROUND(EstimatedBalances!G13*'Int calc thru 10-31-2022'!G$9,2)</f>
        <v>340.87</v>
      </c>
      <c r="H14" s="85">
        <f>ROUND(EstimatedBalances!H13*'Int calc thru 10-31-2022'!H$9,2)</f>
        <v>330.79</v>
      </c>
      <c r="I14" s="85">
        <f>ROUND(EstimatedBalances!I13*'Int calc thru 10-31-2022'!I$9,2)</f>
        <v>379.64</v>
      </c>
      <c r="J14" s="85">
        <f>ROUND(EstimatedBalances!J13*'Int calc thru 10-31-2022'!J$9,2)</f>
        <v>380.8</v>
      </c>
      <c r="K14" s="85">
        <f>ROUND(EstimatedBalances!K13*'Int calc thru 10-31-2022'!K$9,2)</f>
        <v>369.64</v>
      </c>
      <c r="L14" s="85">
        <f>ROUND(EstimatedBalances!L13*'Int calc thru 10-31-2022'!L$9,2)</f>
        <v>383.09</v>
      </c>
      <c r="N14" s="299">
        <f t="shared" si="1"/>
        <v>3495.5762499657535</v>
      </c>
    </row>
    <row r="15" spans="1:14">
      <c r="A15" s="174" t="str">
        <f>+'Balances at 12-31-2021'!A17</f>
        <v>47WA.1862.20477</v>
      </c>
      <c r="B15" s="174" t="s">
        <v>246</v>
      </c>
      <c r="C15" s="85">
        <f>+'Balances at 12-31-2021'!D17*C9</f>
        <v>-38.535384452054785</v>
      </c>
      <c r="D15" s="85">
        <f>ROUND(EstimatedBalances!D14*'Int calc thru 10-31-2022'!D9,2)</f>
        <v>-34.9</v>
      </c>
      <c r="E15" s="85">
        <f>ROUND(EstimatedBalances!E14*'Int calc thru 10-31-2022'!E$9,2)</f>
        <v>-38.74</v>
      </c>
      <c r="F15" s="85">
        <f>ROUND(EstimatedBalances!F14*'Int calc thru 10-31-2022'!F$9,2)</f>
        <v>-37.590000000000003</v>
      </c>
      <c r="G15" s="85">
        <f>ROUND(EstimatedBalances!G14*'Int calc thru 10-31-2022'!G$9,2)</f>
        <v>-38.950000000000003</v>
      </c>
      <c r="H15" s="85">
        <f>ROUND(EstimatedBalances!H14*'Int calc thru 10-31-2022'!H$9,2)</f>
        <v>-37.799999999999997</v>
      </c>
      <c r="I15" s="85">
        <f>ROUND(EstimatedBalances!I14*'Int calc thru 10-31-2022'!I$9,2)</f>
        <v>-43.38</v>
      </c>
      <c r="J15" s="85">
        <f>ROUND(EstimatedBalances!J14*'Int calc thru 10-31-2022'!J$9,2)</f>
        <v>-43.51</v>
      </c>
      <c r="K15" s="85">
        <f>ROUND(EstimatedBalances!K14*'Int calc thru 10-31-2022'!K$9,2)</f>
        <v>-42.24</v>
      </c>
      <c r="L15" s="85">
        <f>ROUND(EstimatedBalances!L14*'Int calc thru 10-31-2022'!L$9,2)</f>
        <v>-43.77</v>
      </c>
      <c r="N15" s="299">
        <f t="shared" si="1"/>
        <v>-399.41538445205481</v>
      </c>
    </row>
    <row r="16" spans="1:14">
      <c r="A16" s="174" t="str">
        <f>+'Balances at 12-31-2021'!A18</f>
        <v>47WA.1862.20480</v>
      </c>
      <c r="B16" s="174" t="str">
        <f>+'Balances at 12-31-2021'!B18</f>
        <v>503-Residential</v>
      </c>
      <c r="C16" s="85">
        <f>+'Balances at 12-31-2021'!D18*C9</f>
        <v>3397.6254298732892</v>
      </c>
      <c r="D16" s="85">
        <f>ROUND(EstimatedBalances!D15*'Int calc thru 10-31-2022'!D9,2)</f>
        <v>2387.4699999999998</v>
      </c>
      <c r="E16" s="85">
        <f>ROUND(EstimatedBalances!E15*'Int calc thru 10-31-2022'!E$9,2)</f>
        <v>2070.34</v>
      </c>
      <c r="F16" s="85">
        <f>ROUND(EstimatedBalances!F15*'Int calc thru 10-31-2022'!F$9,2)</f>
        <v>1467.42</v>
      </c>
      <c r="G16" s="85">
        <f>ROUND(EstimatedBalances!G15*'Int calc thru 10-31-2022'!G$9,2)</f>
        <v>1151.4000000000001</v>
      </c>
      <c r="H16" s="85">
        <f>ROUND(EstimatedBalances!H15*'Int calc thru 10-31-2022'!H$9,2)</f>
        <v>815.93</v>
      </c>
      <c r="I16" s="85">
        <f>ROUND(EstimatedBalances!I15*'Int calc thru 10-31-2022'!I$9,2)</f>
        <v>728.39</v>
      </c>
      <c r="J16" s="85">
        <f>ROUND(EstimatedBalances!J15*'Int calc thru 10-31-2022'!J$9,2)</f>
        <v>613.28</v>
      </c>
      <c r="K16" s="85">
        <f>ROUND(EstimatedBalances!K15*'Int calc thru 10-31-2022'!K$9,2)</f>
        <v>499.72</v>
      </c>
      <c r="L16" s="85">
        <f>ROUND(EstimatedBalances!L15*'Int calc thru 10-31-2022'!L$9,2)</f>
        <v>397.02</v>
      </c>
      <c r="N16" s="299">
        <f t="shared" si="1"/>
        <v>13528.595429873289</v>
      </c>
    </row>
    <row r="17" spans="1:14">
      <c r="A17" s="174" t="str">
        <f>+'Balances at 12-31-2021'!A19</f>
        <v>47WA.1862.20480</v>
      </c>
      <c r="B17" s="174" t="str">
        <f>+'Balances at 12-31-2021'!B19</f>
        <v>504-Commercial</v>
      </c>
      <c r="C17" s="85">
        <f>+'Balances at 12-31-2021'!D19*C9</f>
        <v>6850.6388487069225</v>
      </c>
      <c r="D17" s="85">
        <f>ROUND(EstimatedBalances!D16*'Int calc thru 10-31-2022'!D9,2)</f>
        <v>6066.02</v>
      </c>
      <c r="E17" s="85">
        <f>ROUND(EstimatedBalances!E16*'Int calc thru 10-31-2022'!E$9,2)</f>
        <v>6610.57</v>
      </c>
      <c r="F17" s="85">
        <f>ROUND(EstimatedBalances!F16*'Int calc thru 10-31-2022'!F$9,2)</f>
        <v>6301.14</v>
      </c>
      <c r="G17" s="85">
        <f>ROUND(EstimatedBalances!G16*'Int calc thru 10-31-2022'!G$9,2)</f>
        <v>6452.4</v>
      </c>
      <c r="H17" s="85">
        <f>ROUND(EstimatedBalances!H16*'Int calc thru 10-31-2022'!H$9,2)</f>
        <v>6196.87</v>
      </c>
      <c r="I17" s="85">
        <f>ROUND(EstimatedBalances!I16*'Int calc thru 10-31-2022'!I$9,2)</f>
        <v>7063.58</v>
      </c>
      <c r="J17" s="85">
        <f>ROUND(EstimatedBalances!J16*'Int calc thru 10-31-2022'!J$9,2)</f>
        <v>7054.54</v>
      </c>
      <c r="K17" s="85">
        <f>ROUND(EstimatedBalances!K16*'Int calc thru 10-31-2022'!K$9,2)</f>
        <v>6820.38</v>
      </c>
      <c r="L17" s="85">
        <f>ROUND(EstimatedBalances!L16*'Int calc thru 10-31-2022'!L$9,2)</f>
        <v>7035.53</v>
      </c>
      <c r="N17" s="299">
        <f t="shared" si="1"/>
        <v>66451.668848706933</v>
      </c>
    </row>
    <row r="18" spans="1:14">
      <c r="A18" s="174" t="str">
        <f>+'Balances at 12-31-2021'!A20</f>
        <v>47WA.1862.20480</v>
      </c>
      <c r="B18" s="174" t="str">
        <f>+'Balances at 12-31-2021'!B20</f>
        <v>505-Industrial</v>
      </c>
      <c r="C18" s="85">
        <f>+'Balances at 12-31-2021'!D20*C9</f>
        <v>181.26625350849275</v>
      </c>
      <c r="D18" s="85">
        <f>ROUND(EstimatedBalances!D17*'Int calc thru 10-31-2022'!D9,2)</f>
        <v>133.29</v>
      </c>
      <c r="E18" s="85">
        <f>ROUND(EstimatedBalances!E17*'Int calc thru 10-31-2022'!E$9,2)</f>
        <v>120.54</v>
      </c>
      <c r="F18" s="85">
        <f>ROUND(EstimatedBalances!F17*'Int calc thru 10-31-2022'!F$9,2)</f>
        <v>86.97</v>
      </c>
      <c r="G18" s="85">
        <f>ROUND(EstimatedBalances!G17*'Int calc thru 10-31-2022'!G$9,2)</f>
        <v>69.319999999999993</v>
      </c>
      <c r="H18" s="85">
        <f>ROUND(EstimatedBalances!H17*'Int calc thru 10-31-2022'!H$9,2)</f>
        <v>47.67</v>
      </c>
      <c r="I18" s="85">
        <f>ROUND(EstimatedBalances!I17*'Int calc thru 10-31-2022'!I$9,2)</f>
        <v>20.37</v>
      </c>
      <c r="J18" s="85">
        <f>ROUND(EstimatedBalances!J17*'Int calc thru 10-31-2022'!J$9,2)</f>
        <v>9.09</v>
      </c>
      <c r="K18" s="85">
        <f>ROUND(EstimatedBalances!K17*'Int calc thru 10-31-2022'!K$9,2)</f>
        <v>-2.5</v>
      </c>
      <c r="L18" s="85">
        <f>ROUND(EstimatedBalances!L17*'Int calc thru 10-31-2022'!L$9,2)</f>
        <v>-18.41</v>
      </c>
      <c r="N18" s="299">
        <f t="shared" si="1"/>
        <v>647.60625350849273</v>
      </c>
    </row>
    <row r="19" spans="1:14">
      <c r="A19" s="174" t="str">
        <f>+'Balances at 12-31-2021'!A21</f>
        <v>47WA.1862.20480</v>
      </c>
      <c r="B19" s="174" t="str">
        <f>+'Balances at 12-31-2021'!B21</f>
        <v>511-Large Volume</v>
      </c>
      <c r="C19" s="85">
        <f>+'Balances at 12-31-2021'!D21*C9</f>
        <v>-2315.8043485458224</v>
      </c>
      <c r="D19" s="85">
        <f>ROUND(EstimatedBalances!D18*'Int calc thru 10-31-2022'!D9,2)</f>
        <v>-1770.52</v>
      </c>
      <c r="E19" s="85">
        <f>ROUND(EstimatedBalances!E18*'Int calc thru 10-31-2022'!E$9,2)</f>
        <v>-1695.3</v>
      </c>
      <c r="F19" s="85">
        <f>ROUND(EstimatedBalances!F18*'Int calc thru 10-31-2022'!F$9,2)</f>
        <v>-1372.79</v>
      </c>
      <c r="G19" s="85">
        <f>ROUND(EstimatedBalances!G18*'Int calc thru 10-31-2022'!G$9,2)</f>
        <v>-1219.43</v>
      </c>
      <c r="H19" s="85">
        <f>ROUND(EstimatedBalances!H18*'Int calc thru 10-31-2022'!H$9,2)</f>
        <v>-1013.17</v>
      </c>
      <c r="I19" s="85">
        <f>ROUND(EstimatedBalances!I18*'Int calc thru 10-31-2022'!I$9,2)</f>
        <v>-1002.42</v>
      </c>
      <c r="J19" s="85">
        <f>ROUND(EstimatedBalances!J18*'Int calc thru 10-31-2022'!J$9,2)</f>
        <v>-883.32</v>
      </c>
      <c r="K19" s="85">
        <f>ROUND(EstimatedBalances!K18*'Int calc thru 10-31-2022'!K$9,2)</f>
        <v>-745.74</v>
      </c>
      <c r="L19" s="85">
        <f>ROUND(EstimatedBalances!L18*'Int calc thru 10-31-2022'!L$9,2)</f>
        <v>-649.52</v>
      </c>
      <c r="N19" s="299">
        <f t="shared" si="1"/>
        <v>-12668.014348545823</v>
      </c>
    </row>
    <row r="20" spans="1:14">
      <c r="A20" s="174" t="str">
        <f>+'Balances at 12-31-2021'!A22</f>
        <v>47WA.1862.20480</v>
      </c>
      <c r="B20" s="174" t="str">
        <f>+'Balances at 12-31-2021'!B22</f>
        <v>570-Interruptible Commercial</v>
      </c>
      <c r="C20" s="85">
        <f>+'Balances at 12-31-2021'!D22*C9</f>
        <v>15.97713269082192</v>
      </c>
      <c r="D20" s="85">
        <f>ROUND(EstimatedBalances!D19*'Int calc thru 10-31-2022'!D9,2)</f>
        <v>12.66</v>
      </c>
      <c r="E20" s="85">
        <f>ROUND(EstimatedBalances!E19*'Int calc thru 10-31-2022'!E$9,2)</f>
        <v>12.28</v>
      </c>
      <c r="F20" s="85">
        <f>ROUND(EstimatedBalances!F19*'Int calc thru 10-31-2022'!F$9,2)</f>
        <v>10.25</v>
      </c>
      <c r="G20" s="85">
        <f>ROUND(EstimatedBalances!G19*'Int calc thru 10-31-2022'!G$9,2)</f>
        <v>8.98</v>
      </c>
      <c r="H20" s="85">
        <f>ROUND(EstimatedBalances!H19*'Int calc thru 10-31-2022'!H$9,2)</f>
        <v>7.36</v>
      </c>
      <c r="I20" s="85">
        <f>ROUND(EstimatedBalances!I19*'Int calc thru 10-31-2022'!I$9,2)</f>
        <v>7.45</v>
      </c>
      <c r="J20" s="85">
        <f>ROUND(EstimatedBalances!J19*'Int calc thru 10-31-2022'!J$9,2)</f>
        <v>6.71</v>
      </c>
      <c r="K20" s="85">
        <f>ROUND(EstimatedBalances!K19*'Int calc thru 10-31-2022'!K$9,2)</f>
        <v>5.54</v>
      </c>
      <c r="L20" s="85">
        <f>ROUND(EstimatedBalances!L19*'Int calc thru 10-31-2022'!L$9,2)</f>
        <v>4.4000000000000004</v>
      </c>
      <c r="N20" s="299">
        <f t="shared" si="1"/>
        <v>91.607132690821928</v>
      </c>
    </row>
    <row r="21" spans="1:14">
      <c r="J21" s="85"/>
      <c r="K21" s="85"/>
      <c r="L21" s="85"/>
      <c r="N21" s="299"/>
    </row>
    <row r="22" spans="1:14" ht="15.75" thickBot="1">
      <c r="A22" s="175" t="s">
        <v>26</v>
      </c>
      <c r="C22" s="280">
        <f t="shared" ref="C22:I22" si="2">SUM(C10:C20)</f>
        <v>19627.878701336438</v>
      </c>
      <c r="D22" s="280">
        <f t="shared" si="2"/>
        <v>17243.03</v>
      </c>
      <c r="E22" s="280">
        <f t="shared" si="2"/>
        <v>18677.09</v>
      </c>
      <c r="F22" s="280">
        <f t="shared" si="2"/>
        <v>17709.66</v>
      </c>
      <c r="G22" s="280">
        <f t="shared" si="2"/>
        <v>18084.18</v>
      </c>
      <c r="H22" s="280">
        <f t="shared" si="2"/>
        <v>17332.350000000002</v>
      </c>
      <c r="I22" s="280">
        <f t="shared" si="2"/>
        <v>19760.46</v>
      </c>
      <c r="J22" s="280">
        <f>SUM(J10:J20)</f>
        <v>19782.97</v>
      </c>
      <c r="K22" s="280">
        <f>SUM(K10:K20)</f>
        <v>19179.679999999997</v>
      </c>
      <c r="L22" s="280">
        <f>SUM(L10:L20)</f>
        <v>19829.91</v>
      </c>
      <c r="M22" s="280">
        <f>SUM(M10:M16)</f>
        <v>0</v>
      </c>
      <c r="N22" s="291">
        <f>SUM(N10:N20)</f>
        <v>187227.20870133644</v>
      </c>
    </row>
    <row r="23" spans="1:14" ht="15.75" thickTop="1"/>
    <row r="24" spans="1:14"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92"/>
    </row>
  </sheetData>
  <mergeCells count="4">
    <mergeCell ref="B1:K1"/>
    <mergeCell ref="B2:K2"/>
    <mergeCell ref="B3:K3"/>
    <mergeCell ref="B4:K4"/>
  </mergeCells>
  <phoneticPr fontId="31" type="noConversion"/>
  <printOptions horizontalCentered="1"/>
  <pageMargins left="0.25" right="0.25" top="1" bottom="1" header="0.5" footer="0.5"/>
  <pageSetup scale="74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1CF-4CFF-47F4-A6A9-7D12CBC60768}">
  <sheetPr>
    <pageSetUpPr fitToPage="1"/>
  </sheetPr>
  <dimension ref="A1:P21"/>
  <sheetViews>
    <sheetView workbookViewId="0">
      <selection activeCell="D15" sqref="D15"/>
    </sheetView>
  </sheetViews>
  <sheetFormatPr defaultColWidth="9.33203125" defaultRowHeight="15"/>
  <cols>
    <col min="1" max="1" width="22.1640625" style="174" customWidth="1"/>
    <col min="2" max="2" width="11.1640625" style="174" bestFit="1" customWidth="1"/>
    <col min="3" max="3" width="12.1640625" style="174" customWidth="1"/>
    <col min="4" max="4" width="15.6640625" style="174" bestFit="1" customWidth="1"/>
    <col min="5" max="6" width="16.6640625" style="174" bestFit="1" customWidth="1"/>
    <col min="7" max="8" width="15.6640625" style="174" bestFit="1" customWidth="1"/>
    <col min="9" max="10" width="14.83203125" style="174" bestFit="1" customWidth="1"/>
    <col min="11" max="11" width="17.6640625" style="174" customWidth="1"/>
    <col min="12" max="12" width="17" style="174" customWidth="1"/>
    <col min="13" max="13" width="17.33203125" style="174" customWidth="1"/>
    <col min="14" max="14" width="20" style="174" customWidth="1"/>
    <col min="15" max="15" width="12.6640625" style="174" customWidth="1"/>
    <col min="16" max="16" width="15.6640625" style="174" bestFit="1" customWidth="1"/>
    <col min="17" max="16384" width="9.33203125" style="174"/>
  </cols>
  <sheetData>
    <row r="1" spans="1:16">
      <c r="A1" s="622" t="s">
        <v>33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6">
      <c r="A2" s="622" t="s">
        <v>360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6">
      <c r="A3" s="622" t="s">
        <v>35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370"/>
    </row>
    <row r="4" spans="1:16">
      <c r="A4" s="183"/>
      <c r="M4" s="371"/>
      <c r="N4" s="369"/>
      <c r="O4" s="372"/>
    </row>
    <row r="5" spans="1:16">
      <c r="A5" s="2"/>
      <c r="M5" s="371"/>
      <c r="N5" s="369"/>
      <c r="O5" s="372"/>
    </row>
    <row r="6" spans="1:16">
      <c r="A6" s="373"/>
      <c r="K6" s="368"/>
      <c r="L6" s="368"/>
      <c r="M6" s="368"/>
      <c r="N6" s="369"/>
      <c r="O6" s="374"/>
    </row>
    <row r="9" spans="1:16">
      <c r="C9" s="578">
        <v>44501</v>
      </c>
      <c r="D9" s="289" t="s">
        <v>217</v>
      </c>
      <c r="E9" s="289" t="s">
        <v>217</v>
      </c>
      <c r="F9" s="289" t="s">
        <v>217</v>
      </c>
      <c r="G9" s="289" t="s">
        <v>217</v>
      </c>
      <c r="H9" s="289" t="s">
        <v>217</v>
      </c>
      <c r="I9" s="289" t="s">
        <v>217</v>
      </c>
      <c r="J9" s="289" t="s">
        <v>217</v>
      </c>
      <c r="K9" s="289" t="s">
        <v>217</v>
      </c>
      <c r="L9" s="289" t="s">
        <v>217</v>
      </c>
      <c r="M9" s="289" t="s">
        <v>217</v>
      </c>
      <c r="N9" s="375" t="s">
        <v>217</v>
      </c>
    </row>
    <row r="10" spans="1:16">
      <c r="C10" s="290" t="s">
        <v>218</v>
      </c>
      <c r="D10" s="264">
        <v>44562</v>
      </c>
      <c r="E10" s="264">
        <v>44593</v>
      </c>
      <c r="F10" s="264">
        <v>44621</v>
      </c>
      <c r="G10" s="264">
        <v>44652</v>
      </c>
      <c r="H10" s="264">
        <v>44682</v>
      </c>
      <c r="I10" s="264">
        <v>44713</v>
      </c>
      <c r="J10" s="264">
        <v>44743</v>
      </c>
      <c r="K10" s="264">
        <v>44774</v>
      </c>
      <c r="L10" s="264">
        <v>44805</v>
      </c>
      <c r="M10" s="264">
        <v>44835</v>
      </c>
      <c r="N10" s="375" t="s">
        <v>219</v>
      </c>
    </row>
    <row r="11" spans="1:16">
      <c r="C11" s="266" t="s">
        <v>220</v>
      </c>
      <c r="D11" s="77" t="s">
        <v>221</v>
      </c>
      <c r="E11" s="77" t="s">
        <v>221</v>
      </c>
      <c r="F11" s="77" t="s">
        <v>221</v>
      </c>
      <c r="G11" s="77" t="s">
        <v>221</v>
      </c>
      <c r="H11" s="77" t="s">
        <v>221</v>
      </c>
      <c r="I11" s="77" t="s">
        <v>221</v>
      </c>
      <c r="J11" s="77" t="s">
        <v>221</v>
      </c>
      <c r="K11" s="77" t="s">
        <v>221</v>
      </c>
      <c r="L11" s="77" t="s">
        <v>221</v>
      </c>
      <c r="M11" s="77" t="s">
        <v>221</v>
      </c>
      <c r="N11" s="579">
        <v>44865</v>
      </c>
    </row>
    <row r="12" spans="1:16">
      <c r="A12" s="174" t="s">
        <v>227</v>
      </c>
      <c r="B12" s="174" t="s">
        <v>23</v>
      </c>
      <c r="C12" s="580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6">
      <c r="A13" s="174" t="s">
        <v>241</v>
      </c>
      <c r="B13" s="174" t="s">
        <v>23</v>
      </c>
      <c r="C13" s="580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6">
      <c r="B14" s="571">
        <v>503</v>
      </c>
      <c r="C14" s="580">
        <v>-1.0749999999999999E-2</v>
      </c>
      <c r="D14" s="85">
        <f>+$C$14*'Test Period Volumes'!$C11</f>
        <v>-276686.11225000001</v>
      </c>
      <c r="E14" s="85">
        <f>+$C$14*'Test Period Volumes'!$C12</f>
        <v>-209950.43474999999</v>
      </c>
      <c r="F14" s="85">
        <f>+$C$14*'Test Period Volumes'!$C13</f>
        <v>-202778.41099999999</v>
      </c>
      <c r="G14" s="85">
        <f>+$C$14*'Test Period Volumes'!$C14</f>
        <v>-133675.17499999999</v>
      </c>
      <c r="H14" s="85">
        <f>+$C$14*'Test Period Volumes'!$C15</f>
        <v>-112833.10724999999</v>
      </c>
      <c r="I14" s="85">
        <f>+$C$14*'Test Period Volumes'!$C16</f>
        <v>-68041.866999999998</v>
      </c>
      <c r="J14" s="85">
        <f>+$C$14*'Test Period Volumes'!$C17</f>
        <v>-38373.543999999994</v>
      </c>
      <c r="K14" s="85">
        <f>+$C$14*'Test Period Volumes'!$C19</f>
        <v>-32308.039743990477</v>
      </c>
      <c r="L14" s="85">
        <f>+C14*'Test Period Volumes'!C20</f>
        <v>-39536.591852103447</v>
      </c>
      <c r="M14" s="85">
        <f>+C14*'Test Period Volumes'!C21</f>
        <v>-91077.132913819616</v>
      </c>
      <c r="N14" s="85">
        <f>SUM(D14:M14)</f>
        <v>-1205260.4157599132</v>
      </c>
      <c r="P14" s="86"/>
    </row>
    <row r="15" spans="1:16">
      <c r="B15" s="571">
        <v>504</v>
      </c>
      <c r="C15" s="580">
        <v>-3.1900000000000001E-3</v>
      </c>
      <c r="D15" s="85">
        <f>+$C$15*'Test Period Volumes'!D11</f>
        <v>-55645.080809999999</v>
      </c>
      <c r="E15" s="85">
        <f>+$C$15*'Test Period Volumes'!D12</f>
        <v>-44243.596539999999</v>
      </c>
      <c r="F15" s="85">
        <f>+$C$15*'Test Period Volumes'!D13</f>
        <v>-42620.224679999999</v>
      </c>
      <c r="G15" s="85">
        <f>+$C$15*'Test Period Volumes'!D14</f>
        <v>-27594.642019999999</v>
      </c>
      <c r="H15" s="85">
        <f>+$C$15*'Test Period Volumes'!D15</f>
        <v>-24192.23906</v>
      </c>
      <c r="I15" s="85">
        <f>+$C$15*'Test Period Volumes'!D16</f>
        <v>-15830.231450000001</v>
      </c>
      <c r="J15" s="85">
        <f>+$C$15*'Test Period Volumes'!D17</f>
        <v>-10021.385</v>
      </c>
      <c r="K15" s="85">
        <f>+$C$15*'Test Period Volumes'!D19</f>
        <v>-9282.3367002748691</v>
      </c>
      <c r="L15" s="85">
        <f>+C15*'Test Period Volumes'!D20</f>
        <v>-10807.78466455878</v>
      </c>
      <c r="M15" s="85">
        <f>+C15*'Test Period Volumes'!D21</f>
        <v>-20239.583217316278</v>
      </c>
      <c r="N15" s="85">
        <f>SUM(D15:M15)</f>
        <v>-260477.10414214991</v>
      </c>
      <c r="P15" s="86"/>
    </row>
    <row r="16" spans="1:16">
      <c r="B16" s="571">
        <v>505</v>
      </c>
      <c r="C16" s="580">
        <v>-7.2700000000000004E-3</v>
      </c>
      <c r="D16" s="85">
        <f>+$C$16*'Test Period Volumes'!E11</f>
        <v>-12389.882960000001</v>
      </c>
      <c r="E16" s="85">
        <f>+$C$16*'Test Period Volumes'!E12</f>
        <v>-9924.8367900000012</v>
      </c>
      <c r="F16" s="85">
        <f>+$C$16*'Test Period Volumes'!E13</f>
        <v>-11231.3503</v>
      </c>
      <c r="G16" s="85">
        <f>+$C$16*'Test Period Volumes'!E14</f>
        <v>-7532.8759300000002</v>
      </c>
      <c r="H16" s="85">
        <f>+$C$16*'Test Period Volumes'!E15</f>
        <v>-7335.1173900000003</v>
      </c>
      <c r="I16" s="85">
        <f>+$C$16*'Test Period Volumes'!E13</f>
        <v>-11231.3503</v>
      </c>
      <c r="J16" s="85">
        <f>+$C$16*'Test Period Volumes'!E17</f>
        <v>-3712.2437500000001</v>
      </c>
      <c r="K16" s="85">
        <f>+$C$16*'Test Period Volumes'!E19</f>
        <v>-3826.238876619067</v>
      </c>
      <c r="L16" s="85">
        <f>+C16*'Test Period Volumes'!E20</f>
        <v>-5173.772633554644</v>
      </c>
      <c r="M16" s="85">
        <f>+C16*'Test Period Volumes'!E21</f>
        <v>-14164.19471747257</v>
      </c>
      <c r="N16" s="85">
        <f>SUM(D16:M16)</f>
        <v>-86521.863647646285</v>
      </c>
      <c r="P16" s="86"/>
    </row>
    <row r="17" spans="1:16">
      <c r="B17" s="571">
        <v>511</v>
      </c>
      <c r="C17" s="580">
        <v>5.3830000000000003E-2</v>
      </c>
      <c r="D17" s="85">
        <f>+$C$17*'Test Period Volumes'!F11</f>
        <v>131138.60046000002</v>
      </c>
      <c r="E17" s="85">
        <f>+$C$17*'Test Period Volumes'!F12</f>
        <v>97747.528480000008</v>
      </c>
      <c r="F17" s="85">
        <f>+$C$17*'Test Period Volumes'!F13</f>
        <v>101956.7115</v>
      </c>
      <c r="G17" s="85">
        <f>+$C$17*'Test Period Volumes'!F14</f>
        <v>73507.879480000003</v>
      </c>
      <c r="H17" s="85">
        <f>+$C$17*'Test Period Volumes'!F15</f>
        <v>63708.773940000006</v>
      </c>
      <c r="I17" s="85">
        <f>+$C$17*'Test Period Volumes'!F16</f>
        <v>52452.544130000002</v>
      </c>
      <c r="J17" s="85">
        <f>+$C$17*'Test Period Volumes'!F17</f>
        <v>39953.756430000001</v>
      </c>
      <c r="K17" s="85">
        <f>+$C$17*'Test Period Volumes'!F19</f>
        <v>37749.852329459143</v>
      </c>
      <c r="L17" s="85">
        <f>+C17*'Test Period Volumes'!F20</f>
        <v>40344.894681153324</v>
      </c>
      <c r="M17" s="85">
        <f>+C17*'Test Period Volumes'!F21</f>
        <v>74391.950459728367</v>
      </c>
      <c r="N17" s="85">
        <f>SUM(D17:M17)</f>
        <v>712952.49189034093</v>
      </c>
      <c r="P17" s="86"/>
    </row>
    <row r="18" spans="1:16">
      <c r="B18" s="571">
        <v>570</v>
      </c>
      <c r="C18" s="580">
        <v>-2.82E-3</v>
      </c>
      <c r="D18" s="85">
        <f>+$C$18*'Test Period Volumes'!G11</f>
        <v>-725.49293999999998</v>
      </c>
      <c r="E18" s="85">
        <f>+$C$18*'Test Period Volumes'!G12</f>
        <v>-641.65715999999998</v>
      </c>
      <c r="F18" s="85">
        <f>+$C$18*'Test Period Volumes'!G13</f>
        <v>-623.02542000000005</v>
      </c>
      <c r="G18" s="85">
        <f>+$C$18*'Test Period Volumes'!G14</f>
        <v>-596.94324000000006</v>
      </c>
      <c r="H18" s="85">
        <f>+$C$18*'Test Period Volumes'!G15</f>
        <v>-507.14879999999999</v>
      </c>
      <c r="I18" s="85">
        <f>+$C$18*'Test Period Volumes'!G16</f>
        <v>-324.61583999999999</v>
      </c>
      <c r="J18" s="85">
        <f>+$C$18*'Test Period Volumes'!G17</f>
        <v>-250.64724000000001</v>
      </c>
      <c r="K18" s="85">
        <f>+$C$18*'Test Period Volumes'!G19</f>
        <v>-328.44612531805802</v>
      </c>
      <c r="L18" s="85">
        <f>+C18*'Test Period Volumes'!G20</f>
        <v>-437.19713580314868</v>
      </c>
      <c r="M18" s="85">
        <f>+C18*'Test Period Volumes'!G21</f>
        <v>-848.3204534588873</v>
      </c>
      <c r="N18" s="85">
        <f>SUM(D18:M18)</f>
        <v>-5283.4943545800943</v>
      </c>
    </row>
    <row r="19" spans="1:16" ht="15.75" thickBot="1">
      <c r="A19" s="175" t="s">
        <v>222</v>
      </c>
      <c r="C19" s="175"/>
      <c r="D19" s="376">
        <f t="shared" ref="D19:J19" si="0">SUM(D12:D18)</f>
        <v>-214307.96850000002</v>
      </c>
      <c r="E19" s="376">
        <f t="shared" si="0"/>
        <v>-167012.99675999998</v>
      </c>
      <c r="F19" s="376">
        <f t="shared" si="0"/>
        <v>-155296.29989999998</v>
      </c>
      <c r="G19" s="376">
        <f t="shared" si="0"/>
        <v>-95891.756709999987</v>
      </c>
      <c r="H19" s="376">
        <f t="shared" si="0"/>
        <v>-81158.838559999975</v>
      </c>
      <c r="I19" s="376">
        <f t="shared" si="0"/>
        <v>-42975.520460000007</v>
      </c>
      <c r="J19" s="376">
        <f t="shared" si="0"/>
        <v>-12404.063559999997</v>
      </c>
      <c r="K19" s="376">
        <f>SUM(K12:K18)</f>
        <v>-7995.2091167433337</v>
      </c>
      <c r="L19" s="376">
        <f>SUM(L12:L18)</f>
        <v>-15610.451604866696</v>
      </c>
      <c r="M19" s="376">
        <f>SUM(M12:M18)</f>
        <v>-51937.28084233898</v>
      </c>
      <c r="N19" s="376">
        <f>SUM(N12:N18)</f>
        <v>-844590.38601394848</v>
      </c>
      <c r="P19" s="86"/>
    </row>
    <row r="20" spans="1:16" ht="15.75" thickTop="1"/>
    <row r="21" spans="1:16"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</sheetData>
  <mergeCells count="3">
    <mergeCell ref="A1:N1"/>
    <mergeCell ref="A2:N2"/>
    <mergeCell ref="A3:N3"/>
  </mergeCells>
  <printOptions horizontalCentered="1"/>
  <pageMargins left="0.25" right="0.25" top="1" bottom="1" header="0.5" footer="0.5"/>
  <pageSetup scale="74"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O23"/>
  <sheetViews>
    <sheetView zoomScaleNormal="100" workbookViewId="0">
      <selection activeCell="D13" sqref="D13"/>
    </sheetView>
  </sheetViews>
  <sheetFormatPr defaultColWidth="9.33203125" defaultRowHeight="15"/>
  <cols>
    <col min="1" max="1" width="19.33203125" style="174" bestFit="1" customWidth="1"/>
    <col min="2" max="2" width="32.5" style="174" bestFit="1" customWidth="1"/>
    <col min="3" max="4" width="17.6640625" style="174" bestFit="1" customWidth="1"/>
    <col min="5" max="5" width="17.6640625" style="174" customWidth="1"/>
    <col min="6" max="13" width="17.6640625" style="174" bestFit="1" customWidth="1"/>
    <col min="14" max="14" width="7.1640625" style="174" bestFit="1" customWidth="1"/>
    <col min="15" max="15" width="17.6640625" style="174" bestFit="1" customWidth="1"/>
    <col min="16" max="16384" width="9.33203125" style="174"/>
  </cols>
  <sheetData>
    <row r="1" spans="1:15">
      <c r="B1" s="622" t="s">
        <v>33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5">
      <c r="B2" s="646" t="s">
        <v>348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</row>
    <row r="3" spans="1:15">
      <c r="B3" s="622" t="s">
        <v>35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1:15">
      <c r="A4" s="644"/>
      <c r="B4" s="645"/>
    </row>
    <row r="6" spans="1:15">
      <c r="C6" s="505">
        <v>44561</v>
      </c>
      <c r="D6" s="505">
        <v>44592</v>
      </c>
      <c r="E6" s="505">
        <v>44620</v>
      </c>
      <c r="F6" s="505">
        <v>44651</v>
      </c>
      <c r="G6" s="505">
        <v>44681</v>
      </c>
      <c r="H6" s="505">
        <v>44712</v>
      </c>
      <c r="I6" s="505">
        <v>44742</v>
      </c>
      <c r="J6" s="505">
        <v>44773</v>
      </c>
      <c r="K6" s="505">
        <v>44804</v>
      </c>
      <c r="L6" s="505">
        <v>44834</v>
      </c>
      <c r="M6" s="505">
        <v>44865</v>
      </c>
      <c r="N6" s="264"/>
      <c r="O6" s="76" t="s">
        <v>106</v>
      </c>
    </row>
    <row r="7" spans="1:15">
      <c r="A7" s="2" t="s">
        <v>18</v>
      </c>
      <c r="B7" s="75" t="s">
        <v>183</v>
      </c>
      <c r="C7" s="290" t="s">
        <v>17</v>
      </c>
      <c r="D7" s="290" t="s">
        <v>17</v>
      </c>
      <c r="E7" s="290" t="s">
        <v>17</v>
      </c>
      <c r="F7" s="290" t="s">
        <v>17</v>
      </c>
      <c r="G7" s="290" t="s">
        <v>17</v>
      </c>
      <c r="H7" s="290" t="s">
        <v>17</v>
      </c>
      <c r="I7" s="290" t="s">
        <v>17</v>
      </c>
      <c r="J7" s="290" t="s">
        <v>17</v>
      </c>
      <c r="K7" s="290" t="s">
        <v>17</v>
      </c>
      <c r="L7" s="290" t="s">
        <v>17</v>
      </c>
      <c r="M7" s="290" t="s">
        <v>17</v>
      </c>
      <c r="N7" s="290"/>
      <c r="O7" s="290" t="s">
        <v>107</v>
      </c>
    </row>
    <row r="8" spans="1:15">
      <c r="A8" s="34" t="s">
        <v>20</v>
      </c>
      <c r="C8" s="290" t="s">
        <v>19</v>
      </c>
      <c r="D8" s="290" t="s">
        <v>19</v>
      </c>
      <c r="E8" s="290" t="s">
        <v>19</v>
      </c>
      <c r="F8" s="290" t="s">
        <v>19</v>
      </c>
      <c r="G8" s="290" t="s">
        <v>19</v>
      </c>
      <c r="H8" s="290" t="s">
        <v>19</v>
      </c>
      <c r="I8" s="290" t="s">
        <v>19</v>
      </c>
      <c r="J8" s="290" t="s">
        <v>19</v>
      </c>
      <c r="K8" s="290" t="s">
        <v>19</v>
      </c>
      <c r="L8" s="290" t="s">
        <v>19</v>
      </c>
      <c r="M8" s="290" t="s">
        <v>19</v>
      </c>
      <c r="N8" s="290"/>
      <c r="O8" s="505">
        <v>44500</v>
      </c>
    </row>
    <row r="9" spans="1:15">
      <c r="C9" s="34" t="s">
        <v>20</v>
      </c>
      <c r="D9" s="34" t="s">
        <v>20</v>
      </c>
      <c r="E9" s="34" t="s">
        <v>20</v>
      </c>
      <c r="F9" s="34" t="s">
        <v>20</v>
      </c>
      <c r="G9" s="34" t="s">
        <v>20</v>
      </c>
      <c r="H9" s="34" t="s">
        <v>20</v>
      </c>
      <c r="I9" s="34" t="s">
        <v>20</v>
      </c>
      <c r="J9" s="34" t="s">
        <v>20</v>
      </c>
      <c r="K9" s="34" t="s">
        <v>20</v>
      </c>
      <c r="L9" s="34" t="s">
        <v>20</v>
      </c>
      <c r="M9" s="34"/>
      <c r="N9" s="34"/>
      <c r="O9" s="34"/>
    </row>
    <row r="10" spans="1:15">
      <c r="A10" s="571" t="str">
        <f>+'Int calc thru 10-31-2022'!A11</f>
        <v>47WA.1862.20477</v>
      </c>
      <c r="B10" s="174" t="str">
        <f>+'Int calc thru 10-31-2022'!B11</f>
        <v>503-Residential</v>
      </c>
      <c r="C10" s="417">
        <f>+'Balances at 12-31-2021'!D13</f>
        <v>2371653.719999996</v>
      </c>
      <c r="D10" s="417">
        <f>+C10+'Int calc thru 10-31-2022'!C11</f>
        <v>2378200.1340353386</v>
      </c>
      <c r="E10" s="270">
        <f>+D10+'Int calc thru 10-31-2022'!D11</f>
        <v>2384129.3440353386</v>
      </c>
      <c r="F10" s="270">
        <f>+E10+'Int calc thru 10-31-2022'!E11</f>
        <v>2390710.1940353387</v>
      </c>
      <c r="G10" s="270">
        <f>+F10+'Int calc thru 10-31-2022'!F11</f>
        <v>2397096.3340353388</v>
      </c>
      <c r="H10" s="270">
        <f>+G10+'Int calc thru 10-31-2022'!G11</f>
        <v>2403712.974035339</v>
      </c>
      <c r="I10" s="270">
        <f>+H10+'Int calc thru 10-31-2022'!H11</f>
        <v>2410133.8540353389</v>
      </c>
      <c r="J10" s="270">
        <f>+I10+'Int calc thru 10-31-2022'!I11</f>
        <v>2417502.9240353387</v>
      </c>
      <c r="K10" s="270">
        <f>+J10+'Int calc thru 10-31-2022'!J11</f>
        <v>2424894.5240353388</v>
      </c>
      <c r="L10" s="270">
        <f>+K10+'Int calc thru 10-31-2022'!K11</f>
        <v>2432069.5540353386</v>
      </c>
      <c r="M10" s="270">
        <f>+L10+'Int calc thru 10-31-2022'!L11</f>
        <v>2439505.6940353387</v>
      </c>
      <c r="N10" s="270"/>
      <c r="O10" s="270">
        <f t="shared" ref="O10:O19" si="0">+M10-C10</f>
        <v>67851.97403534269</v>
      </c>
    </row>
    <row r="11" spans="1:15">
      <c r="A11" s="571" t="str">
        <f>+'Int calc thru 10-31-2022'!A12</f>
        <v>47WA.1862.20477</v>
      </c>
      <c r="B11" s="174" t="str">
        <f>+'Int calc thru 10-31-2022'!B12</f>
        <v>504-Commercial</v>
      </c>
      <c r="C11" s="417">
        <f>+'Balances at 12-31-2021'!D14</f>
        <v>1474226.6500000011</v>
      </c>
      <c r="D11" s="417">
        <f>+C11+'Int calc thru 10-31-2022'!C12</f>
        <v>1478295.9194517133</v>
      </c>
      <c r="E11" s="270">
        <f>+D11+'Int calc thru 10-31-2022'!D12</f>
        <v>1481981.5294517134</v>
      </c>
      <c r="F11" s="270">
        <f>+E11+'Int calc thru 10-31-2022'!E12</f>
        <v>1486072.2094517134</v>
      </c>
      <c r="G11" s="270">
        <f>+F11+'Int calc thru 10-31-2022'!F12</f>
        <v>1490041.8494517133</v>
      </c>
      <c r="H11" s="270">
        <f>+G11+'Int calc thru 10-31-2022'!G12</f>
        <v>1494154.7694517132</v>
      </c>
      <c r="I11" s="270">
        <f>+H11+'Int calc thru 10-31-2022'!H12</f>
        <v>1498146.0094517132</v>
      </c>
      <c r="J11" s="270">
        <f>+I11+'Int calc thru 10-31-2022'!I12</f>
        <v>1502726.6394517131</v>
      </c>
      <c r="K11" s="270">
        <f>+J11+'Int calc thru 10-31-2022'!J12</f>
        <v>1507321.279451713</v>
      </c>
      <c r="L11" s="270">
        <f>+K11+'Int calc thru 10-31-2022'!K12</f>
        <v>1511781.299451713</v>
      </c>
      <c r="M11" s="270">
        <f>+L11+'Int calc thru 10-31-2022'!L12</f>
        <v>1516403.619451713</v>
      </c>
      <c r="N11" s="270"/>
      <c r="O11" s="270">
        <f t="shared" si="0"/>
        <v>42176.969451711979</v>
      </c>
    </row>
    <row r="12" spans="1:15">
      <c r="A12" s="571" t="str">
        <f>+'Int calc thru 10-31-2022'!A13</f>
        <v>47WA.1862.20477</v>
      </c>
      <c r="B12" s="174" t="str">
        <f>+'Int calc thru 10-31-2022'!B13</f>
        <v>505-Industrial</v>
      </c>
      <c r="C12" s="417">
        <f>+'Balances at 12-31-2021'!D15</f>
        <v>211490.25000000006</v>
      </c>
      <c r="D12" s="417">
        <f>+C12+'Int calc thru 10-31-2022'!C13</f>
        <v>212074.02103253431</v>
      </c>
      <c r="E12" s="270">
        <f>+D12+'Int calc thru 10-31-2022'!D13</f>
        <v>212602.75103253432</v>
      </c>
      <c r="F12" s="270">
        <f>+E12+'Int calc thru 10-31-2022'!E13</f>
        <v>213189.59103253431</v>
      </c>
      <c r="G12" s="270">
        <f>+F12+'Int calc thru 10-31-2022'!F13</f>
        <v>213759.07103253432</v>
      </c>
      <c r="H12" s="270">
        <f>+G12+'Int calc thru 10-31-2022'!G13</f>
        <v>214349.10103253432</v>
      </c>
      <c r="I12" s="270">
        <f>+H12+'Int calc thru 10-31-2022'!H13</f>
        <v>214921.68103253431</v>
      </c>
      <c r="J12" s="270">
        <f>+I12+'Int calc thru 10-31-2022'!I13</f>
        <v>215578.81103253432</v>
      </c>
      <c r="K12" s="270">
        <f>+J12+'Int calc thru 10-31-2022'!J13</f>
        <v>216237.95103253433</v>
      </c>
      <c r="L12" s="270">
        <f>+K12+'Int calc thru 10-31-2022'!K13</f>
        <v>216877.78103253432</v>
      </c>
      <c r="M12" s="270">
        <f>+L12+'Int calc thru 10-31-2022'!L13</f>
        <v>217540.8910325343</v>
      </c>
      <c r="N12" s="270"/>
      <c r="O12" s="270">
        <f t="shared" si="0"/>
        <v>6050.641032534244</v>
      </c>
    </row>
    <row r="13" spans="1:15">
      <c r="A13" s="571" t="str">
        <f>+'Int calc thru 10-31-2022'!A14</f>
        <v>47WA.1862.20477</v>
      </c>
      <c r="B13" s="174" t="str">
        <f>+'Int calc thru 10-31-2022'!B14</f>
        <v>511-Large Volume</v>
      </c>
      <c r="C13" s="417">
        <f>+'Balances at 12-31-2021'!D16</f>
        <v>122182.16500000001</v>
      </c>
      <c r="D13" s="417">
        <f>+C13+'Int calc thru 10-31-2022'!C14</f>
        <v>122519.42124996576</v>
      </c>
      <c r="E13" s="270">
        <f>+D13+'Int calc thru 10-31-2022'!D14</f>
        <v>122824.88124996577</v>
      </c>
      <c r="F13" s="270">
        <f>+E13+'Int calc thru 10-31-2022'!E14</f>
        <v>123163.91124996576</v>
      </c>
      <c r="G13" s="270">
        <f>+F13+'Int calc thru 10-31-2022'!F14</f>
        <v>123492.91124996576</v>
      </c>
      <c r="H13" s="270">
        <f>+G13+'Int calc thru 10-31-2022'!G14</f>
        <v>123833.78124996576</v>
      </c>
      <c r="I13" s="270">
        <f>+H13+'Int calc thru 10-31-2022'!H14</f>
        <v>124164.57124996575</v>
      </c>
      <c r="J13" s="270">
        <f>+I13+'Int calc thru 10-31-2022'!I14</f>
        <v>124544.21124996575</v>
      </c>
      <c r="K13" s="270">
        <f>+J13+'Int calc thru 10-31-2022'!J14</f>
        <v>124925.01124996576</v>
      </c>
      <c r="L13" s="270">
        <f>+K13+'Int calc thru 10-31-2022'!K14</f>
        <v>125294.65124996575</v>
      </c>
      <c r="M13" s="270">
        <f>+L13+'Int calc thru 10-31-2022'!L14</f>
        <v>125677.74124996575</v>
      </c>
      <c r="N13" s="270"/>
      <c r="O13" s="270">
        <f t="shared" si="0"/>
        <v>3495.576249965743</v>
      </c>
    </row>
    <row r="14" spans="1:15">
      <c r="A14" s="571" t="str">
        <f>+'Int calc thru 10-31-2022'!A15</f>
        <v>47WA.1862.20477</v>
      </c>
      <c r="B14" s="174" t="str">
        <f>+'Int calc thru 10-31-2022'!B15</f>
        <v>570-Interruptible Commercial</v>
      </c>
      <c r="C14" s="417">
        <f>+'Balances at 12-31-2021'!D17</f>
        <v>-13960.709999999997</v>
      </c>
      <c r="D14" s="417">
        <f>+C14+'Int calc thru 10-31-2022'!C15</f>
        <v>-13999.245384452051</v>
      </c>
      <c r="E14" s="270">
        <f>+D14+'Int calc thru 10-31-2022'!D15</f>
        <v>-14034.145384452051</v>
      </c>
      <c r="F14" s="270">
        <f>+E14+'Int calc thru 10-31-2022'!E15</f>
        <v>-14072.885384452051</v>
      </c>
      <c r="G14" s="270">
        <f>+F14+'Int calc thru 10-31-2022'!F15</f>
        <v>-14110.475384452051</v>
      </c>
      <c r="H14" s="270">
        <f>+G14+'Int calc thru 10-31-2022'!G15</f>
        <v>-14149.425384452052</v>
      </c>
      <c r="I14" s="270">
        <f>+H14+'Int calc thru 10-31-2022'!H15</f>
        <v>-14187.225384452051</v>
      </c>
      <c r="J14" s="270">
        <f>+I14+'Int calc thru 10-31-2022'!I15</f>
        <v>-14230.60538445205</v>
      </c>
      <c r="K14" s="270">
        <f>+J14+'Int calc thru 10-31-2022'!J15</f>
        <v>-14274.11538445205</v>
      </c>
      <c r="L14" s="270">
        <f>+K14+'Int calc thru 10-31-2022'!K15</f>
        <v>-14316.35538445205</v>
      </c>
      <c r="M14" s="270">
        <f>+L14+'Int calc thru 10-31-2022'!L15</f>
        <v>-14360.125384452051</v>
      </c>
      <c r="N14" s="270"/>
      <c r="O14" s="270">
        <f t="shared" si="0"/>
        <v>-399.41538445205333</v>
      </c>
    </row>
    <row r="15" spans="1:15">
      <c r="A15" s="571" t="str">
        <f>+'Int calc thru 10-31-2022'!A16</f>
        <v>47WA.1862.20480</v>
      </c>
      <c r="B15" s="174" t="str">
        <f>+'Int calc thru 10-31-2022'!B16</f>
        <v>503-Residential</v>
      </c>
      <c r="C15" s="417">
        <f>+'Balances at 12-31-2021'!D18</f>
        <v>1230901.5205000006</v>
      </c>
      <c r="D15" s="417">
        <f>+C15+'Int calc thru 10-31-2022'!C16+'Amort Calc thru 10-31-2022'!D14</f>
        <v>957613.03367987392</v>
      </c>
      <c r="E15" s="270">
        <f>+D15+'Int calc thru 10-31-2022'!D16+'Amort Calc thru 10-31-2022'!E14</f>
        <v>750050.06892987387</v>
      </c>
      <c r="F15" s="270">
        <f>+E15+'Int calc thru 10-31-2022'!E16+'Amort Calc thru 10-31-2022'!F14</f>
        <v>549341.99792987388</v>
      </c>
      <c r="G15" s="270">
        <f>+F15+'Int calc thru 10-31-2022'!F16+'Amort Calc thru 10-31-2022'!G14</f>
        <v>417134.24292987393</v>
      </c>
      <c r="H15" s="270">
        <f>+G15+'Int calc thru 10-31-2022'!G16+'Amort Calc thru 10-31-2022'!H14</f>
        <v>305452.53567987395</v>
      </c>
      <c r="I15" s="270">
        <f>+H15+'Int calc thru 10-31-2022'!H16+'Amort Calc thru 10-31-2022'!I14</f>
        <v>238226.59867987395</v>
      </c>
      <c r="J15" s="270">
        <f>+I15+'Int calc thru 10-31-2022'!I16+'Amort Calc thru 10-31-2022'!J14</f>
        <v>200581.44467987397</v>
      </c>
      <c r="K15" s="270">
        <f>+J15+'Int calc thru 10-31-2022'!J16+'Amort Calc thru 10-31-2022'!K14</f>
        <v>168886.6849358835</v>
      </c>
      <c r="L15" s="270">
        <f>+K15+'Int calc thru 10-31-2022'!K16+'Amort Calc thru 10-31-2022'!L14</f>
        <v>129849.81308378006</v>
      </c>
      <c r="M15" s="270">
        <f>+L15+'Int calc thru 10-31-2022'!L16+'Amort Calc thru 10-31-2022'!M14</f>
        <v>39169.700169960444</v>
      </c>
      <c r="N15" s="270"/>
      <c r="O15" s="270">
        <f t="shared" si="0"/>
        <v>-1191731.8203300401</v>
      </c>
    </row>
    <row r="16" spans="1:15">
      <c r="A16" s="571" t="s">
        <v>241</v>
      </c>
      <c r="B16" s="174" t="str">
        <f>+B11</f>
        <v>504-Commercial</v>
      </c>
      <c r="C16" s="417">
        <f>+'Balances at 12-31-2021'!D19</f>
        <v>2481869.1610700018</v>
      </c>
      <c r="D16" s="417">
        <f>+C16+'Int calc thru 10-31-2022'!C17+'Amort Calc thru 10-31-2022'!D15</f>
        <v>2433074.7191087087</v>
      </c>
      <c r="E16" s="270">
        <f>+D16+'Int calc thru 10-31-2022'!D17+'Amort Calc thru 10-31-2022'!E15</f>
        <v>2394897.1425687089</v>
      </c>
      <c r="F16" s="270">
        <f>+E16+'Int calc thru 10-31-2022'!E17+'Amort Calc thru 10-31-2022'!F15</f>
        <v>2358887.4878887087</v>
      </c>
      <c r="G16" s="270">
        <f>+F16+'Int calc thru 10-31-2022'!F17+'Amort Calc thru 10-31-2022'!G15</f>
        <v>2337593.9858687087</v>
      </c>
      <c r="H16" s="270">
        <f>+G16+'Int calc thru 10-31-2022'!G17+'Amort Calc thru 10-31-2022'!H15</f>
        <v>2319854.1468087086</v>
      </c>
      <c r="I16" s="270">
        <f>+H16+'Int calc thru 10-31-2022'!H17+'Amort Calc thru 10-31-2022'!I15</f>
        <v>2310220.7853587088</v>
      </c>
      <c r="J16" s="270">
        <f>+I16+'Int calc thru 10-31-2022'!I17+'Amort Calc thru 10-31-2022'!J15</f>
        <v>2307262.9803587091</v>
      </c>
      <c r="K16" s="270">
        <f>+J16+'Int calc thru 10-31-2022'!J17+'Amort Calc thru 10-31-2022'!K15</f>
        <v>2305035.1836584341</v>
      </c>
      <c r="L16" s="270">
        <f>+K16+'Int calc thru 10-31-2022'!K17+'Amort Calc thru 10-31-2022'!L15</f>
        <v>2301047.7789938753</v>
      </c>
      <c r="M16" s="270">
        <f>+L16+'Int calc thru 10-31-2022'!L17+'Amort Calc thru 10-31-2022'!M15</f>
        <v>2287843.7257765587</v>
      </c>
      <c r="N16" s="270"/>
      <c r="O16" s="270">
        <f t="shared" si="0"/>
        <v>-194025.43529344304</v>
      </c>
    </row>
    <row r="17" spans="1:15">
      <c r="A17" s="571" t="s">
        <v>241</v>
      </c>
      <c r="B17" s="174" t="str">
        <f>+B12</f>
        <v>505-Industrial</v>
      </c>
      <c r="C17" s="417">
        <f>+'Balances at 12-31-2021'!D20</f>
        <v>65669.660079999856</v>
      </c>
      <c r="D17" s="417">
        <f>+C17+'Int calc thru 10-31-2022'!C18+'Amort Calc thru 10-31-2022'!D16</f>
        <v>53461.04337350835</v>
      </c>
      <c r="E17" s="270">
        <f>+D17+'Int calc thru 10-31-2022'!D18+'Amort Calc thru 10-31-2022'!E16</f>
        <v>43669.496583508349</v>
      </c>
      <c r="F17" s="270">
        <f>+E17+'Int calc thru 10-31-2022'!E18+'Amort Calc thru 10-31-2022'!F16</f>
        <v>32558.686283508352</v>
      </c>
      <c r="G17" s="270">
        <f>+F17+'Int calc thru 10-31-2022'!F18+'Amort Calc thru 10-31-2022'!G16</f>
        <v>25112.780353508351</v>
      </c>
      <c r="H17" s="270">
        <f>+G17+'Int calc thru 10-31-2022'!G18+'Amort Calc thru 10-31-2022'!H16</f>
        <v>17846.982963508352</v>
      </c>
      <c r="I17" s="270">
        <f>+H17+'Int calc thru 10-31-2022'!H18+'Amort Calc thru 10-31-2022'!I16</f>
        <v>6663.3026635083497</v>
      </c>
      <c r="J17" s="270">
        <f>+I17+'Int calc thru 10-31-2022'!I18+'Amort Calc thru 10-31-2022'!J16</f>
        <v>2971.4289135083495</v>
      </c>
      <c r="K17" s="270">
        <f>+J17+'Int calc thru 10-31-2022'!J18+'Amort Calc thru 10-31-2022'!K16</f>
        <v>-845.71996311071734</v>
      </c>
      <c r="L17" s="270">
        <f>+K17+'Int calc thru 10-31-2022'!K18+'Amort Calc thru 10-31-2022'!L16</f>
        <v>-6021.9925966653609</v>
      </c>
      <c r="M17" s="270">
        <f>+L17+'Int calc thru 10-31-2022'!L18+'Amort Calc thru 10-31-2022'!M16</f>
        <v>-20204.597314137929</v>
      </c>
      <c r="N17" s="270"/>
      <c r="O17" s="270">
        <f t="shared" si="0"/>
        <v>-85874.257394137792</v>
      </c>
    </row>
    <row r="18" spans="1:15">
      <c r="A18" s="571" t="s">
        <v>241</v>
      </c>
      <c r="B18" s="174" t="str">
        <f>+B13</f>
        <v>511-Large Volume</v>
      </c>
      <c r="C18" s="417">
        <f>+'Balances at 12-31-2021'!D21</f>
        <v>-838976.26523000014</v>
      </c>
      <c r="D18" s="417">
        <f>+C18+'Int calc thru 10-31-2022'!C19+'Amort Calc thru 10-31-2022'!D17</f>
        <v>-710153.469118546</v>
      </c>
      <c r="E18" s="270">
        <f>+D18+'Int calc thru 10-31-2022'!D19+'Amort Calc thru 10-31-2022'!E17</f>
        <v>-614176.46063854604</v>
      </c>
      <c r="F18" s="270">
        <f>+E18+'Int calc thru 10-31-2022'!E19+'Amort Calc thru 10-31-2022'!F17</f>
        <v>-513915.04913854611</v>
      </c>
      <c r="G18" s="270">
        <f>+F18+'Int calc thru 10-31-2022'!F19+'Amort Calc thru 10-31-2022'!G17</f>
        <v>-441779.95965854608</v>
      </c>
      <c r="H18" s="270">
        <f>+G18+'Int calc thru 10-31-2022'!G19+'Amort Calc thru 10-31-2022'!H17</f>
        <v>-379290.61571854609</v>
      </c>
      <c r="I18" s="270">
        <f>+H18+'Int calc thru 10-31-2022'!H19+'Amort Calc thru 10-31-2022'!I17</f>
        <v>-327851.24158854608</v>
      </c>
      <c r="J18" s="270">
        <f>+I18+'Int calc thru 10-31-2022'!I19+'Amort Calc thru 10-31-2022'!J17</f>
        <v>-288899.90515854605</v>
      </c>
      <c r="K18" s="270">
        <f>+J18+'Int calc thru 10-31-2022'!J19+'Amort Calc thru 10-31-2022'!K17</f>
        <v>-252033.3728290869</v>
      </c>
      <c r="L18" s="270">
        <f>+K18+'Int calc thru 10-31-2022'!K19+'Amort Calc thru 10-31-2022'!L17</f>
        <v>-212434.21814793357</v>
      </c>
      <c r="M18" s="270">
        <f>+L18+'Int calc thru 10-31-2022'!L19+'Amort Calc thru 10-31-2022'!M17</f>
        <v>-138691.78768820519</v>
      </c>
      <c r="N18" s="270"/>
      <c r="O18" s="270">
        <f t="shared" si="0"/>
        <v>700284.477541795</v>
      </c>
    </row>
    <row r="19" spans="1:15">
      <c r="A19" s="571" t="s">
        <v>241</v>
      </c>
      <c r="B19" s="174" t="str">
        <f>+B14</f>
        <v>570-Interruptible Commercial</v>
      </c>
      <c r="C19" s="417">
        <f>+'Balances at 12-31-2021'!D22</f>
        <v>5788.2416200000007</v>
      </c>
      <c r="D19" s="417">
        <f>+C19+'Int calc thru 10-31-2022'!C20+'Amort Calc thru 10-31-2022'!D18</f>
        <v>5078.7258126908227</v>
      </c>
      <c r="E19" s="270">
        <f>+D19+'Int calc thru 10-31-2022'!D20+'Amort Calc thru 10-31-2022'!E18</f>
        <v>4449.7286526908229</v>
      </c>
      <c r="F19" s="270">
        <f>+E19+'Int calc thru 10-31-2022'!E20+'Amort Calc thru 10-31-2022'!F18</f>
        <v>3838.9832326908227</v>
      </c>
      <c r="G19" s="270">
        <f>+F19+'Int calc thru 10-31-2022'!F20+'Amort Calc thru 10-31-2022'!G18</f>
        <v>3252.2899926908226</v>
      </c>
      <c r="H19" s="270">
        <f>+G19+'Int calc thru 10-31-2022'!G20+'Amort Calc thru 10-31-2022'!H18</f>
        <v>2754.1211926908227</v>
      </c>
      <c r="I19" s="270">
        <f>+H19+'Int calc thru 10-31-2022'!H20+'Amort Calc thru 10-31-2022'!I18</f>
        <v>2436.8653526908229</v>
      </c>
      <c r="J19" s="270">
        <f>+I19+'Int calc thru 10-31-2022'!I20+'Amort Calc thru 10-31-2022'!J18</f>
        <v>2193.6681126908225</v>
      </c>
      <c r="K19" s="270">
        <f>+J19+'Int calc thru 10-31-2022'!J20+'Amort Calc thru 10-31-2022'!K18</f>
        <v>1871.9319873727645</v>
      </c>
      <c r="L19" s="270">
        <f>+K19+'Int calc thru 10-31-2022'!K20+'Amort Calc thru 10-31-2022'!L18</f>
        <v>1440.2748515696157</v>
      </c>
      <c r="M19" s="270">
        <f>+L19+'Int calc thru 10-31-2022'!L20+'Amort Calc thru 10-31-2022'!M18</f>
        <v>596.35439811072854</v>
      </c>
      <c r="N19" s="270"/>
      <c r="O19" s="270">
        <f t="shared" si="0"/>
        <v>-5191.887221889272</v>
      </c>
    </row>
    <row r="20" spans="1:15">
      <c r="A20" s="571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</row>
    <row r="21" spans="1:15" ht="15.75" thickBot="1">
      <c r="A21" s="290" t="s">
        <v>16</v>
      </c>
      <c r="C21" s="87">
        <f t="shared" ref="C21:O21" si="1">SUM(C10:C20)</f>
        <v>7110844.3930400005</v>
      </c>
      <c r="D21" s="87">
        <f t="shared" si="1"/>
        <v>6916164.3032413367</v>
      </c>
      <c r="E21" s="87">
        <f t="shared" si="1"/>
        <v>6766394.3364813365</v>
      </c>
      <c r="F21" s="87">
        <f t="shared" si="1"/>
        <v>6629775.1265813364</v>
      </c>
      <c r="G21" s="87">
        <f t="shared" si="1"/>
        <v>6551593.0298713353</v>
      </c>
      <c r="H21" s="87">
        <f t="shared" si="1"/>
        <v>6488518.3713113349</v>
      </c>
      <c r="I21" s="87">
        <f t="shared" si="1"/>
        <v>6462875.2008513371</v>
      </c>
      <c r="J21" s="87">
        <f t="shared" si="1"/>
        <v>6470231.5972913355</v>
      </c>
      <c r="K21" s="87">
        <f t="shared" si="1"/>
        <v>6482019.3581745923</v>
      </c>
      <c r="L21" s="87">
        <f t="shared" si="1"/>
        <v>6485588.5865697265</v>
      </c>
      <c r="M21" s="87">
        <f t="shared" si="1"/>
        <v>6453481.215727387</v>
      </c>
      <c r="N21" s="87"/>
      <c r="O21" s="87">
        <f t="shared" si="1"/>
        <v>-657363.17731261242</v>
      </c>
    </row>
    <row r="22" spans="1:15" ht="15.75" thickTop="1"/>
    <row r="23" spans="1:15"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70"/>
    </row>
  </sheetData>
  <mergeCells count="4">
    <mergeCell ref="A4:B4"/>
    <mergeCell ref="B1:M1"/>
    <mergeCell ref="B2:M2"/>
    <mergeCell ref="B3:M3"/>
  </mergeCells>
  <printOptions horizontalCentered="1"/>
  <pageMargins left="0.25" right="0.25" top="1" bottom="1" header="0.5" footer="0.5"/>
  <pageSetup scale="62"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27"/>
  <sheetViews>
    <sheetView view="pageBreakPreview" topLeftCell="B1" zoomScale="90" zoomScaleNormal="70" zoomScaleSheetLayoutView="90" workbookViewId="0">
      <pane ySplit="6" topLeftCell="A7" activePane="bottomLeft" state="frozen"/>
      <selection sqref="A1:XFD1048576"/>
      <selection pane="bottomLeft" activeCell="F13" sqref="F13"/>
    </sheetView>
  </sheetViews>
  <sheetFormatPr defaultColWidth="9.33203125" defaultRowHeight="15"/>
  <cols>
    <col min="1" max="1" width="25.5" style="174" customWidth="1"/>
    <col min="2" max="2" width="57.1640625" style="174" bestFit="1" customWidth="1"/>
    <col min="3" max="3" width="11.1640625" style="378" customWidth="1"/>
    <col min="4" max="4" width="3.5" style="174" customWidth="1"/>
    <col min="5" max="5" width="17.1640625" style="174" customWidth="1"/>
    <col min="6" max="6" width="19.83203125" style="174" bestFit="1" customWidth="1"/>
    <col min="7" max="7" width="16" style="174" customWidth="1"/>
    <col min="8" max="11" width="16" style="174" bestFit="1" customWidth="1"/>
    <col min="12" max="12" width="15.1640625" style="174" bestFit="1" customWidth="1"/>
    <col min="13" max="13" width="14" style="174" bestFit="1" customWidth="1"/>
    <col min="14" max="14" width="15.1640625" style="174" bestFit="1" customWidth="1"/>
    <col min="15" max="17" width="14" style="174" bestFit="1" customWidth="1"/>
    <col min="18" max="18" width="16.33203125" style="174" bestFit="1" customWidth="1"/>
    <col min="19" max="19" width="18.83203125" style="174" customWidth="1"/>
    <col min="20" max="20" width="14.5" style="174" customWidth="1"/>
    <col min="21" max="16384" width="9.33203125" style="174"/>
  </cols>
  <sheetData>
    <row r="1" spans="1:20">
      <c r="G1" s="622" t="s">
        <v>33</v>
      </c>
      <c r="H1" s="622"/>
      <c r="I1" s="622"/>
      <c r="J1" s="622"/>
      <c r="K1" s="622"/>
    </row>
    <row r="2" spans="1:20">
      <c r="F2" s="646" t="s">
        <v>350</v>
      </c>
      <c r="G2" s="646"/>
      <c r="H2" s="646"/>
      <c r="I2" s="646"/>
      <c r="J2" s="646"/>
      <c r="K2" s="646"/>
      <c r="L2" s="646"/>
    </row>
    <row r="3" spans="1:20">
      <c r="G3" s="622" t="s">
        <v>35</v>
      </c>
      <c r="H3" s="622"/>
      <c r="I3" s="622"/>
      <c r="J3" s="622"/>
      <c r="K3" s="622"/>
    </row>
    <row r="6" spans="1:20">
      <c r="A6" s="644"/>
      <c r="B6" s="644"/>
    </row>
    <row r="7" spans="1:20">
      <c r="B7" s="175"/>
    </row>
    <row r="8" spans="1:20">
      <c r="B8" s="175" t="s">
        <v>103</v>
      </c>
      <c r="G8" s="647" t="s">
        <v>108</v>
      </c>
      <c r="H8" s="647"/>
      <c r="I8" s="647"/>
    </row>
    <row r="9" spans="1:20" ht="45">
      <c r="A9" s="267"/>
      <c r="B9" s="277" t="s">
        <v>185</v>
      </c>
      <c r="C9" s="180" t="s">
        <v>31</v>
      </c>
      <c r="D9" s="180"/>
      <c r="E9" s="97" t="s">
        <v>100</v>
      </c>
      <c r="F9" s="98" t="s">
        <v>349</v>
      </c>
      <c r="G9" s="504">
        <v>44501</v>
      </c>
      <c r="H9" s="504">
        <v>44531</v>
      </c>
      <c r="I9" s="504">
        <v>44562</v>
      </c>
      <c r="J9" s="504">
        <v>44593</v>
      </c>
      <c r="K9" s="504">
        <v>44621</v>
      </c>
      <c r="L9" s="504">
        <v>44652</v>
      </c>
      <c r="M9" s="504">
        <v>44682</v>
      </c>
      <c r="N9" s="504">
        <v>44713</v>
      </c>
      <c r="O9" s="504">
        <v>44743</v>
      </c>
      <c r="P9" s="504">
        <v>44774</v>
      </c>
      <c r="Q9" s="504">
        <v>44805</v>
      </c>
      <c r="R9" s="504">
        <v>44835</v>
      </c>
      <c r="S9" s="98" t="s">
        <v>136</v>
      </c>
      <c r="T9" s="99" t="s">
        <v>101</v>
      </c>
    </row>
    <row r="10" spans="1:20">
      <c r="A10" s="174" t="str">
        <f>+'Balances at 12-31-2021'!A13</f>
        <v>47WA.1862.20477</v>
      </c>
      <c r="B10" s="174" t="s">
        <v>251</v>
      </c>
      <c r="C10" s="378">
        <v>503</v>
      </c>
      <c r="E10" s="274">
        <v>-1.8778724345455116E-2</v>
      </c>
      <c r="F10" s="275">
        <f>+EstimatedBalances!M10+EstimatedBalances!M15</f>
        <v>2478675.3942052992</v>
      </c>
      <c r="G10" s="275">
        <f>$E10*'Test Period Volumes'!$C22</f>
        <v>-302471.01015272207</v>
      </c>
      <c r="H10" s="275">
        <f>$E10*'Test Period Volumes'!$C23</f>
        <v>-425331.47668629623</v>
      </c>
      <c r="I10" s="275">
        <f>$E10*'Test Period Volumes'!$C24</f>
        <v>-418117.34283044783</v>
      </c>
      <c r="J10" s="275">
        <f>$E10*'Test Period Volumes'!$C25</f>
        <v>-335460.6604463603</v>
      </c>
      <c r="K10" s="275">
        <f>$E10*'Test Period Volumes'!$C26</f>
        <v>-281914.40287080582</v>
      </c>
      <c r="L10" s="275">
        <f>$E10*'Test Period Volumes'!$C27</f>
        <v>-181441.70431695835</v>
      </c>
      <c r="M10" s="275">
        <f>$E10*'Test Period Volumes'!$C28</f>
        <v>-108215.56836227754</v>
      </c>
      <c r="N10" s="275">
        <f>$E10*'Test Period Volumes'!$C29</f>
        <v>-72995.334171844006</v>
      </c>
      <c r="O10" s="275">
        <f>$E10*'Test Period Volumes'!$C30</f>
        <v>-61194.433598761701</v>
      </c>
      <c r="P10" s="275">
        <f>$E10*'Test Period Volumes'!$C31</f>
        <v>-58422.38547732299</v>
      </c>
      <c r="Q10" s="275">
        <f>$E10*'Test Period Volumes'!$C32</f>
        <v>-70535.146619425577</v>
      </c>
      <c r="R10" s="275">
        <f>$E10*'Test Period Volumes'!$C33</f>
        <v>-162575.92867207708</v>
      </c>
      <c r="S10" s="275">
        <f>SUM(G10:R10)</f>
        <v>-2478675.3942053001</v>
      </c>
      <c r="T10" s="275">
        <f>+S10+F10</f>
        <v>0</v>
      </c>
    </row>
    <row r="11" spans="1:20">
      <c r="A11" s="174" t="str">
        <f>+'Balances at 12-31-2021'!A14</f>
        <v>47WA.1862.20477</v>
      </c>
      <c r="B11" s="174" t="s">
        <v>251</v>
      </c>
      <c r="C11" s="378">
        <v>504</v>
      </c>
      <c r="E11" s="274">
        <v>-4.0657743413504283E-2</v>
      </c>
      <c r="F11" s="275">
        <f>+EstimatedBalances!M11+EstimatedBalances!M16</f>
        <v>3804247.3452282716</v>
      </c>
      <c r="G11" s="275">
        <f>$E11*'Test Period Volumes'!$D$22</f>
        <v>-427769.03898136178</v>
      </c>
      <c r="H11" s="275">
        <f>$E11*'Test Period Volumes'!$D$23</f>
        <v>-605021.28085288941</v>
      </c>
      <c r="I11" s="275">
        <f>$E11*'Test Period Volumes'!$D$24</f>
        <v>-613525.42242464912</v>
      </c>
      <c r="J11" s="275">
        <f>$E11*'Test Period Volumes'!$D$25</f>
        <v>-515786.78125698317</v>
      </c>
      <c r="K11" s="275">
        <f>$E11*'Test Period Volumes'!$D$26</f>
        <v>-432320.91711450397</v>
      </c>
      <c r="L11" s="275">
        <f>$E11*'Test Period Volumes'!$D$27</f>
        <v>-273278.88983654522</v>
      </c>
      <c r="M11" s="275">
        <f>$E11*'Test Period Volumes'!$D$28</f>
        <v>-169287.24101202152</v>
      </c>
      <c r="N11" s="275">
        <f>$E11*'Test Period Volumes'!$D$29</f>
        <v>-123908.50269925302</v>
      </c>
      <c r="O11" s="275">
        <f>$E11*'Test Period Volumes'!$D$30</f>
        <v>-116601.11974967222</v>
      </c>
      <c r="P11" s="275">
        <f>$E11*'Test Period Volumes'!$D$31</f>
        <v>-122467.53036174967</v>
      </c>
      <c r="Q11" s="275">
        <f>$E11*'Test Period Volumes'!$D$32</f>
        <v>-140681.82456368356</v>
      </c>
      <c r="R11" s="275">
        <f>$E11*'Test Period Volumes'!$D$33</f>
        <v>-263598.79637495871</v>
      </c>
      <c r="S11" s="275">
        <f>SUM(G11:R11)</f>
        <v>-3804247.3452282716</v>
      </c>
      <c r="T11" s="275">
        <f>+S11+F11</f>
        <v>0</v>
      </c>
    </row>
    <row r="12" spans="1:20">
      <c r="A12" s="174" t="str">
        <f>+'Balances at 12-31-2021'!A15</f>
        <v>47WA.1862.20477</v>
      </c>
      <c r="B12" s="174" t="s">
        <v>251</v>
      </c>
      <c r="C12" s="378">
        <v>505</v>
      </c>
      <c r="E12" s="274">
        <v>-1.5289602476963413E-2</v>
      </c>
      <c r="F12" s="275">
        <f>+EstimatedBalances!M12+EstimatedBalances!M17</f>
        <v>197336.29371839637</v>
      </c>
      <c r="G12" s="275">
        <f>$E12*'Test Period Volumes'!$E$22</f>
        <v>-23034.548559857405</v>
      </c>
      <c r="H12" s="275">
        <f>$E12*'Test Period Volumes'!$E$23</f>
        <v>-28971.066803677062</v>
      </c>
      <c r="I12" s="275">
        <f>$E12*'Test Period Volumes'!$E$24</f>
        <v>-22541.467443736463</v>
      </c>
      <c r="J12" s="275">
        <f>$E12*'Test Period Volumes'!$E$25</f>
        <v>-19092.040792782398</v>
      </c>
      <c r="K12" s="275">
        <f>$E12*'Test Period Volumes'!$E$26</f>
        <v>-18798.867299075901</v>
      </c>
      <c r="L12" s="275">
        <f>$E12*'Test Period Volumes'!$E$27</f>
        <v>-12309.809450132578</v>
      </c>
      <c r="M12" s="275">
        <f>$E12*'Test Period Volumes'!$E$28</f>
        <v>-8469.6297548227703</v>
      </c>
      <c r="N12" s="275">
        <f>$E12*'Test Period Volumes'!$E$29</f>
        <v>-7109.1014585419707</v>
      </c>
      <c r="O12" s="275">
        <f>$E12*'Test Period Volumes'!$E$30</f>
        <v>-7127.2280351929303</v>
      </c>
      <c r="P12" s="275">
        <f>$E12*'Test Period Volumes'!$E$31</f>
        <v>-8329.998401336019</v>
      </c>
      <c r="Q12" s="275">
        <f>$E12*'Test Period Volumes'!$E$32</f>
        <v>-11112.655315259964</v>
      </c>
      <c r="R12" s="275">
        <f>$E12*'Test Period Volumes'!$E$33</f>
        <v>-30439.880403980918</v>
      </c>
      <c r="S12" s="275">
        <f>SUM(G12:R12)</f>
        <v>-197336.29371839639</v>
      </c>
      <c r="T12" s="275">
        <f>+S12+F12</f>
        <v>0</v>
      </c>
    </row>
    <row r="13" spans="1:20">
      <c r="A13" s="174" t="str">
        <f>+'Balances at 12-31-2021'!A16</f>
        <v>47WA.1862.20477</v>
      </c>
      <c r="B13" s="174" t="s">
        <v>251</v>
      </c>
      <c r="C13" s="378">
        <v>511</v>
      </c>
      <c r="E13" s="274">
        <v>8.3694306835240082E-4</v>
      </c>
      <c r="F13" s="275">
        <f>+EstimatedBalances!M13+EstimatedBalances!M18</f>
        <v>-13014.046438239442</v>
      </c>
      <c r="G13" s="275">
        <f>$E13*'Test Period Volumes'!$F$22</f>
        <v>1686.8130722688531</v>
      </c>
      <c r="H13" s="275">
        <f>$E13*'Test Period Volumes'!$F$23</f>
        <v>1981.7756521201065</v>
      </c>
      <c r="I13" s="275">
        <f>$E13*'Test Period Volumes'!$F$24</f>
        <v>1763.8241292393263</v>
      </c>
      <c r="J13" s="275">
        <f>$E13*'Test Period Volumes'!$F$25</f>
        <v>1390.0951206054647</v>
      </c>
      <c r="K13" s="275">
        <f>$E13*'Test Period Volumes'!$F$26</f>
        <v>1261.6104640795718</v>
      </c>
      <c r="L13" s="275">
        <f>$E13*'Test Period Volumes'!$F$27</f>
        <v>888.04334551327247</v>
      </c>
      <c r="M13" s="275">
        <f>$E13*'Test Period Volumes'!$F$28</f>
        <v>543.83400308988166</v>
      </c>
      <c r="N13" s="275">
        <f>$E13*'Test Period Volumes'!$F$29</f>
        <v>500.84039750452473</v>
      </c>
      <c r="O13" s="275">
        <f>$E13*'Test Period Volumes'!$F$30</f>
        <v>567.08941494306919</v>
      </c>
      <c r="P13" s="275">
        <f>$E13*'Test Period Volumes'!$F$31</f>
        <v>607.57213672091848</v>
      </c>
      <c r="Q13" s="275">
        <f>$E13*'Test Period Volumes'!$F$32</f>
        <v>640.63231909445346</v>
      </c>
      <c r="R13" s="275">
        <f>$E13*'Test Period Volumes'!$F$33</f>
        <v>1181.9163830600007</v>
      </c>
      <c r="S13" s="275">
        <f>SUM(G13:R13)</f>
        <v>13014.046438239444</v>
      </c>
      <c r="T13" s="275">
        <f>+S13+F13</f>
        <v>0</v>
      </c>
    </row>
    <row r="14" spans="1:20">
      <c r="A14" s="174" t="str">
        <f>+'Balances at 12-31-2021'!A17</f>
        <v>47WA.1862.20477</v>
      </c>
      <c r="B14" s="174" t="s">
        <v>251</v>
      </c>
      <c r="C14" s="378">
        <v>570</v>
      </c>
      <c r="E14" s="274">
        <v>5.9028383437335612E-3</v>
      </c>
      <c r="F14" s="275">
        <f>+EstimatedBalances!M14+EstimatedBalances!M19</f>
        <v>-13763.770986341322</v>
      </c>
      <c r="G14" s="275">
        <f>$E14*'Test Period Volumes'!$G$22</f>
        <v>2061.9950467546746</v>
      </c>
      <c r="H14" s="275">
        <f>$E14*'Test Period Volumes'!$G$23</f>
        <v>2210.8431010202721</v>
      </c>
      <c r="I14" s="275">
        <f>$E14*'Test Period Volumes'!$G$24</f>
        <v>1313.7059591020625</v>
      </c>
      <c r="J14" s="275">
        <f>$E14*'Test Period Volumes'!$G$25</f>
        <v>1228.5194109460131</v>
      </c>
      <c r="K14" s="275">
        <f>$E14*'Test Period Volumes'!$G$26</f>
        <v>1037.8999095971806</v>
      </c>
      <c r="L14" s="275">
        <f>$E14*'Test Period Volumes'!$G$27</f>
        <v>970.8978793002766</v>
      </c>
      <c r="M14" s="275">
        <f>$E14*'Test Period Volumes'!$G$28</f>
        <v>582.83115340096026</v>
      </c>
      <c r="N14" s="275">
        <f>$E14*'Test Period Volumes'!$G$29</f>
        <v>417.29458197535314</v>
      </c>
      <c r="O14" s="275">
        <f>$E14*'Test Period Volumes'!$G$30</f>
        <v>478.95762808763425</v>
      </c>
      <c r="P14" s="275">
        <f>$E14*'Test Period Volumes'!$G$31</f>
        <v>711.68363431236696</v>
      </c>
      <c r="Q14" s="275">
        <f>$E14*'Test Period Volumes'!$G$32</f>
        <v>934.62589786106923</v>
      </c>
      <c r="R14" s="275">
        <f>$E14*'Test Period Volumes'!$G$33</f>
        <v>1814.5167839834596</v>
      </c>
      <c r="S14" s="275">
        <f>SUM(G14:R14)</f>
        <v>13763.770986341322</v>
      </c>
      <c r="T14" s="275">
        <f>+S14+F14</f>
        <v>0</v>
      </c>
    </row>
    <row r="15" spans="1:20">
      <c r="C15" s="380"/>
      <c r="E15" s="274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</row>
    <row r="16" spans="1:20">
      <c r="A16" s="174" t="s">
        <v>177</v>
      </c>
      <c r="B16" s="174" t="s">
        <v>184</v>
      </c>
      <c r="E16" s="276">
        <f t="shared" ref="E16:T16" si="0">SUM(E10:E14)</f>
        <v>-6.7986288823836852E-2</v>
      </c>
      <c r="F16" s="275">
        <f t="shared" si="0"/>
        <v>6453481.215727387</v>
      </c>
      <c r="G16" s="275">
        <f t="shared" si="0"/>
        <v>-749525.78957491764</v>
      </c>
      <c r="H16" s="275">
        <f t="shared" si="0"/>
        <v>-1055131.2055897224</v>
      </c>
      <c r="I16" s="275">
        <f t="shared" si="0"/>
        <v>-1051106.7026104918</v>
      </c>
      <c r="J16" s="275">
        <f t="shared" si="0"/>
        <v>-867720.86796457449</v>
      </c>
      <c r="K16" s="275">
        <f t="shared" si="0"/>
        <v>-730734.67691070912</v>
      </c>
      <c r="L16" s="275">
        <f t="shared" si="0"/>
        <v>-465171.46237882256</v>
      </c>
      <c r="M16" s="275">
        <f t="shared" si="0"/>
        <v>-284845.77397263102</v>
      </c>
      <c r="N16" s="275">
        <f t="shared" si="0"/>
        <v>-203094.80335015911</v>
      </c>
      <c r="O16" s="275">
        <f t="shared" si="0"/>
        <v>-183876.73434059616</v>
      </c>
      <c r="P16" s="275">
        <f t="shared" si="0"/>
        <v>-187900.65846937543</v>
      </c>
      <c r="Q16" s="275">
        <f t="shared" si="0"/>
        <v>-220754.3682814136</v>
      </c>
      <c r="R16" s="275">
        <f t="shared" si="0"/>
        <v>-453618.17228397325</v>
      </c>
      <c r="S16" s="275">
        <f t="shared" si="0"/>
        <v>-6453481.2157273879</v>
      </c>
      <c r="T16" s="275">
        <f t="shared" si="0"/>
        <v>0</v>
      </c>
    </row>
    <row r="18" spans="1:19">
      <c r="B18" s="175" t="s">
        <v>102</v>
      </c>
    </row>
    <row r="19" spans="1:19">
      <c r="B19" s="100" t="s">
        <v>104</v>
      </c>
      <c r="C19" s="381">
        <f>+'Int calc thru 10-31-2022'!J8</f>
        <v>3.5999999999999997E-2</v>
      </c>
      <c r="E19" s="71">
        <v>3.5999999999999997E-2</v>
      </c>
      <c r="G19" s="265">
        <f>+C19*DAY(DATE(YEAR(G9),MONTH(G9)+1,DAY(1))-1)/365</f>
        <v>2.9589041095890406E-3</v>
      </c>
      <c r="H19" s="265">
        <f>+C19*DAY(DATE(YEAR(H9),MONTH(H9)+1,DAY(1))-1)/365</f>
        <v>3.0575342465753419E-3</v>
      </c>
      <c r="I19" s="265">
        <f>+C19*DAY(DATE(YEAR(I9),MONTH(I9)+1,DAY(1))-1)/365</f>
        <v>3.0575342465753419E-3</v>
      </c>
      <c r="J19" s="265">
        <f>+C19*DAY(DATE(YEAR(J9),MONTH(J9)+1,DAY(1))-1)/365</f>
        <v>2.7616438356164383E-3</v>
      </c>
      <c r="K19" s="265">
        <f>+C19*DAY(DATE(YEAR(K9),MONTH(K9)+1,DAY(1))-1)/365</f>
        <v>3.0575342465753419E-3</v>
      </c>
      <c r="L19" s="265">
        <f>+C19*DAY(DATE(YEAR(L9),MONTH(L9)+1,DAY(1))-1)/365</f>
        <v>2.9589041095890406E-3</v>
      </c>
      <c r="M19" s="265">
        <f>+C19*DAY(DATE(YEAR(M9),MONTH(M9)+1,DAY(1))-1)/365</f>
        <v>3.0575342465753419E-3</v>
      </c>
      <c r="N19" s="265">
        <f>+C19*DAY(DATE(YEAR(N9),MONTH(N9)+1,DAY(1))-1)/365</f>
        <v>2.9589041095890406E-3</v>
      </c>
      <c r="O19" s="265">
        <f>+E19*DAY(DATE(YEAR(O9),MONTH(O9)+1,DAY(1))-1)/365</f>
        <v>3.0575342465753419E-3</v>
      </c>
      <c r="P19" s="265">
        <f>+E19*DAY(DATE(YEAR(P9),MONTH(P9)+1,DAY(1))-1)/365</f>
        <v>3.0575342465753419E-3</v>
      </c>
      <c r="Q19" s="265">
        <f>+E19*DAY(DATE(YEAR(Q9),MONTH(Q9)+1,DAY(1))-1)/365</f>
        <v>2.9589041095890406E-3</v>
      </c>
      <c r="R19" s="265">
        <f>+E19*DAY(DATE(YEAR(R9),MONTH(R9)+1,DAY(1))-1)/365</f>
        <v>3.0575342465753419E-3</v>
      </c>
      <c r="S19" s="289" t="s">
        <v>26</v>
      </c>
    </row>
    <row r="20" spans="1:19"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75"/>
    </row>
    <row r="21" spans="1:19">
      <c r="A21" s="174" t="str">
        <f t="shared" ref="A21:B25" si="1">+A10</f>
        <v>47WA.1862.20477</v>
      </c>
      <c r="B21" s="174" t="str">
        <f t="shared" si="1"/>
        <v>Rule 21 Decoupling Mechanism &amp; Amort.</v>
      </c>
      <c r="C21" s="380">
        <v>503</v>
      </c>
      <c r="G21" s="212">
        <f>+G$19*(SUM($F10:F10))</f>
        <v>7334.162810251295</v>
      </c>
      <c r="H21" s="212">
        <f>+H$19*(SUM($F10:G10)+G21)</f>
        <v>6676.243885750454</v>
      </c>
      <c r="I21" s="212">
        <f>+I$19*(SUM($F10:H10)+H21+G21)</f>
        <v>5396.1911739548132</v>
      </c>
      <c r="J21" s="212">
        <f>+J$19*(SUM($F10:I10)+I21+H21+G21)</f>
        <v>3734.1903005617423</v>
      </c>
      <c r="K21" s="212">
        <f>+K$19*(SUM($F10:J10)+J21+G21+H21+I21)</f>
        <v>3120.0170755127392</v>
      </c>
      <c r="L21" s="212">
        <f>+L$19*(SUM($F10:K10)+K21+G21+H21+I21+J21)</f>
        <v>2194.4455095393801</v>
      </c>
      <c r="M21" s="212">
        <f>+M$19*(SUM($F10:L10)+L21+G21+H21+I21+J21+K21)</f>
        <v>1719.5390607822558</v>
      </c>
      <c r="N21" s="212">
        <f>+N$19*(SUM($F10:M10)+M21+G21+H21+I21+J21+K21+L21)</f>
        <v>1348.9585200664283</v>
      </c>
      <c r="O21" s="212">
        <f>+O$19*(SUM($F10:N10)+N21+G21+H21+I21+J21+K21+L21+M21)</f>
        <v>1174.8625568703308</v>
      </c>
      <c r="P21" s="212">
        <f>+P$19*(SUM($F10:O10)+O21+G21+H21+I21+J21+K21+L21+M21+N21)</f>
        <v>991.35066294498631</v>
      </c>
      <c r="Q21" s="212">
        <f>+Q$19*(SUM($F10:P10)+P21+G21+H21+I21+J21+K21+L21+M21+N21+O21)</f>
        <v>789.43868437138531</v>
      </c>
      <c r="R21" s="212">
        <f>+R$19*(SUM($F10:Q10)+Q21+P21+O21+N21+M21+L21+K21+J21+I21+H21+G21)</f>
        <v>602.50341662069513</v>
      </c>
      <c r="S21" s="275">
        <f>SUM(G21:R21)</f>
        <v>35081.90365722651</v>
      </c>
    </row>
    <row r="22" spans="1:19">
      <c r="A22" s="174" t="str">
        <f t="shared" si="1"/>
        <v>47WA.1862.20477</v>
      </c>
      <c r="B22" s="174" t="str">
        <f t="shared" si="1"/>
        <v>Rule 21 Decoupling Mechanism &amp; Amort.</v>
      </c>
      <c r="C22" s="380">
        <v>504</v>
      </c>
      <c r="G22" s="212">
        <f>+G$19*(SUM($F11:F11))</f>
        <v>11256.40310368913</v>
      </c>
      <c r="H22" s="212">
        <f>+H$19*(SUM($F11:G11)+G22)</f>
        <v>10358.11489215142</v>
      </c>
      <c r="I22" s="212">
        <f>+I$19*(SUM($F11:H11)+H22+G22)</f>
        <v>8539.9118970495456</v>
      </c>
      <c r="J22" s="212">
        <f>+J$19*(SUM($F11:I11)+I22+H22+G22)</f>
        <v>6042.7143044524928</v>
      </c>
      <c r="K22" s="212">
        <f>+K$19*(SUM($F11:J11)+J22+G22+H22+I22)</f>
        <v>5131.588038233589</v>
      </c>
      <c r="L22" s="212">
        <f>+L$19*(SUM($F11:K11)+K22+G22+H22+I22+J22)</f>
        <v>3702.0406788496921</v>
      </c>
      <c r="M22" s="212">
        <f>+M$19*(SUM($F11:L11)+L22+G22+H22+I22+J22+K22)</f>
        <v>3001.2015864278192</v>
      </c>
      <c r="N22" s="212">
        <f>+N$19*(SUM($F11:M11)+M22+G22+H22+I22+J22+K22+L22)</f>
        <v>2412.3641866032472</v>
      </c>
      <c r="O22" s="212">
        <f>+O$19*(SUM($F11:N11)+N22+G22+H22+I22+J22+K22+L22+M22)</f>
        <v>2121.2977218276005</v>
      </c>
      <c r="P22" s="212">
        <f>+P$19*(SUM($F11:O11)+O22+G22+H22+I22+J22+K22+L22+M22+N22)</f>
        <v>1771.2717454356157</v>
      </c>
      <c r="Q22" s="212">
        <f>+Q$19*(SUM($F11:P11)+P22+G22+H22+I22+J22+K22+L22+M22+N22+O22)</f>
        <v>1357.0052915639233</v>
      </c>
      <c r="R22" s="212">
        <f>+R$19*(SUM($F11:Q11)+Q22+P22+O22+N22+M22+L22+K22+J22+I22+H22+G22)</f>
        <v>976.2483949602946</v>
      </c>
      <c r="S22" s="275">
        <f>SUM(G22:R22)</f>
        <v>56670.161841244379</v>
      </c>
    </row>
    <row r="23" spans="1:19">
      <c r="A23" s="174" t="str">
        <f t="shared" si="1"/>
        <v>47WA.1862.20477</v>
      </c>
      <c r="B23" s="174" t="str">
        <f t="shared" si="1"/>
        <v>Rule 21 Decoupling Mechanism &amp; Amort.</v>
      </c>
      <c r="C23" s="380">
        <v>505</v>
      </c>
      <c r="G23" s="212">
        <f>+G$19*(SUM($F12:F12))</f>
        <v>583.89917045443303</v>
      </c>
      <c r="H23" s="212">
        <f>+H$19*(SUM($F12:G12)+G23)</f>
        <v>534.71884677029209</v>
      </c>
      <c r="I23" s="212">
        <f>+I$19*(SUM($F12:H12)+H23+G23)</f>
        <v>447.77373904451684</v>
      </c>
      <c r="J23" s="212">
        <f>+J$19*(SUM($F12:I12)+I23+H23+G23)</f>
        <v>343.42588353077758</v>
      </c>
      <c r="K23" s="212">
        <f>+K$19*(SUM($F12:J12)+J23+G23+H23+I23)</f>
        <v>322.89698174818528</v>
      </c>
      <c r="L23" s="212">
        <f>+L$19*(SUM($F12:K12)+K23+G23+H23+I23+J23)</f>
        <v>257.81232557830282</v>
      </c>
      <c r="M23" s="212">
        <f>+M$19*(SUM($F12:L12)+L23+G23+H23+I23+J23+K23)</f>
        <v>229.55667581629399</v>
      </c>
      <c r="N23" s="212">
        <f>+N$19*(SUM($F12:M12)+M23+G23+H23+I23+J23+K23+L23)</f>
        <v>197.77003566091761</v>
      </c>
      <c r="O23" s="212">
        <f>+O$19*(SUM($F12:N12)+N23+G23+H23+I23+J23+K23+L23+M23)</f>
        <v>183.23073766805709</v>
      </c>
      <c r="P23" s="212">
        <f>+P$19*(SUM($F12:O12)+O23+G23+H23+I23+J23+K23+L23+M23+N23)</f>
        <v>161.99922812274815</v>
      </c>
      <c r="Q23" s="212">
        <f>+Q$19*(SUM($F12:P12)+P23+G23+H23+I23+J23+K23+L23+M23+N23+O23)</f>
        <v>132.60512024966079</v>
      </c>
      <c r="R23" s="212">
        <f>+R$19*(SUM($F12:Q12)+Q23+P23+O23+N23+M23+L23+K23+J23+I23+H23+G23)</f>
        <v>103.4534114242892</v>
      </c>
      <c r="S23" s="275">
        <f>SUM(G23:R23)</f>
        <v>3499.1421560684744</v>
      </c>
    </row>
    <row r="24" spans="1:19">
      <c r="A24" s="174" t="str">
        <f t="shared" si="1"/>
        <v>47WA.1862.20477</v>
      </c>
      <c r="B24" s="174" t="str">
        <f t="shared" si="1"/>
        <v>Rule 21 Decoupling Mechanism &amp; Amort.</v>
      </c>
      <c r="C24" s="380">
        <v>511</v>
      </c>
      <c r="G24" s="212">
        <f>+G$19*(SUM($F13:F13))</f>
        <v>-38.507315488489304</v>
      </c>
      <c r="H24" s="212">
        <f>+H$19*(SUM($F13:G13)+G24)</f>
        <v>-34.751141371255692</v>
      </c>
      <c r="I24" s="212">
        <f>+I$19*(SUM($F13:H13)+H24+G24)</f>
        <v>-28.798047250719485</v>
      </c>
      <c r="J24" s="212">
        <f>+J$19*(SUM($F13:I13)+I24+H24+G24)</f>
        <v>-21.219615368305188</v>
      </c>
      <c r="K24" s="212">
        <f>+K$19*(SUM($F13:J13)+J24+G24+H24+I24)</f>
        <v>-19.307761849777144</v>
      </c>
      <c r="L24" s="212">
        <f>+L$19*(SUM($F13:K13)+K24+G24+H24+I24+J24)</f>
        <v>-15.009076251383668</v>
      </c>
      <c r="M24" s="212">
        <f>+M$19*(SUM($F13:L13)+L24+G24+H24+I24+J24+K24)</f>
        <v>-12.840046616394353</v>
      </c>
      <c r="N24" s="212">
        <f>+N$19*(SUM($F13:M13)+M24+G24+H24+I24+J24+K24+L24)</f>
        <v>-10.854691364276253</v>
      </c>
      <c r="O24" s="212">
        <f>+O$19*(SUM($F13:N13)+N24+G24+H24+I24+J24+K24+L24+M24)</f>
        <v>-9.7183663328959149</v>
      </c>
      <c r="P24" s="212">
        <f>+P$19*(SUM($F13:O13)+O24+G24+H24+I24+J24+K24+L24+M24+N24)</f>
        <v>-8.0141852637207016</v>
      </c>
      <c r="Q24" s="212">
        <f>+Q$19*(SUM($F13:P13)+P24+G24+H24+I24+J24+K24+L24+M24+N24+O24)</f>
        <v>-5.9816286719358986</v>
      </c>
      <c r="R24" s="212">
        <f>+R$19*(SUM($F13:Q13)+Q24+P24+O24+N24+M24+L24+K24+J24+I24+H24+G24)</f>
        <v>-4.2405500737542283</v>
      </c>
      <c r="S24" s="275">
        <f>SUM(G24:R24)</f>
        <v>-209.24242590290785</v>
      </c>
    </row>
    <row r="25" spans="1:19">
      <c r="A25" s="174" t="str">
        <f t="shared" si="1"/>
        <v>47WA.1862.20477</v>
      </c>
      <c r="B25" s="174" t="str">
        <f t="shared" si="1"/>
        <v>Rule 21 Decoupling Mechanism &amp; Amort.</v>
      </c>
      <c r="C25" s="380">
        <v>570</v>
      </c>
      <c r="G25" s="212">
        <f>+G$19*(SUM($F14:F14))</f>
        <v>-40.725678534927738</v>
      </c>
      <c r="H25" s="212">
        <f>+H$19*(SUM($F14:G14)+G25)</f>
        <v>-35.903100837873083</v>
      </c>
      <c r="I25" s="212">
        <f>+I$19*(SUM($F14:H14)+H25+G25)</f>
        <v>-29.253147303068818</v>
      </c>
      <c r="J25" s="212">
        <f>+J$19*(SUM($F14:I14)+I25+H25+G25)</f>
        <v>-22.874996374217272</v>
      </c>
      <c r="K25" s="212">
        <f>+K$19*(SUM($F14:J14)+J25+G25+H25+I25)</f>
        <v>-21.639589756137859</v>
      </c>
      <c r="L25" s="212">
        <f>+L$19*(SUM($F14:K14)+K25+G25+H25+I25+J25)</f>
        <v>-17.934521636891866</v>
      </c>
      <c r="M25" s="212">
        <f>+M$19*(SUM($F14:L14)+L25+G25+H25+I25+J25+K25)</f>
        <v>-15.618620923001039</v>
      </c>
      <c r="N25" s="212">
        <f>+N$19*(SUM($F14:M14)+M25+G25+H25+I25+J25+K25+L25)</f>
        <v>-13.436466948254466</v>
      </c>
      <c r="O25" s="212">
        <f>+O$19*(SUM($F14:N14)+N25+G25+H25+I25+J25+K25+L25+M25)</f>
        <v>-12.649539162410228</v>
      </c>
      <c r="P25" s="212">
        <f>+P$19*(SUM($F14:O14)+O25+G25+H25+I25+J25+K25+L25+M25+N25)</f>
        <v>-11.223786211066257</v>
      </c>
      <c r="Q25" s="212">
        <f>+Q$19*(SUM($F14:P14)+P25+G25+H25+I25+J25+K25+L25+M25+N25+O25)</f>
        <v>-8.7891350682053897</v>
      </c>
      <c r="R25" s="212">
        <f>+R$19*(SUM($F14:Q14)+Q25+P25+O25+N25+M25+L25+K25+J25+I25+H25+G25)</f>
        <v>-6.2513286281679372</v>
      </c>
      <c r="S25" s="275">
        <f>SUM(G25:R25)</f>
        <v>-236.29991138422193</v>
      </c>
    </row>
    <row r="26" spans="1:19"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75"/>
    </row>
    <row r="27" spans="1:19">
      <c r="A27" s="174" t="str">
        <f>+A16</f>
        <v>CORE Decoupling</v>
      </c>
      <c r="B27" s="174" t="s">
        <v>184</v>
      </c>
      <c r="G27" s="212">
        <f t="shared" ref="G27:R27" si="2">SUM(G20:G26)</f>
        <v>19095.232090371439</v>
      </c>
      <c r="H27" s="212">
        <f t="shared" si="2"/>
        <v>17498.423382463036</v>
      </c>
      <c r="I27" s="212">
        <f t="shared" si="2"/>
        <v>14325.825615495089</v>
      </c>
      <c r="J27" s="212">
        <f t="shared" si="2"/>
        <v>10076.23587680249</v>
      </c>
      <c r="K27" s="212">
        <f t="shared" si="2"/>
        <v>8533.5547438885988</v>
      </c>
      <c r="L27" s="212">
        <f t="shared" si="2"/>
        <v>6121.354916079099</v>
      </c>
      <c r="M27" s="212">
        <f t="shared" si="2"/>
        <v>4921.8386554869739</v>
      </c>
      <c r="N27" s="212">
        <f t="shared" si="2"/>
        <v>3934.8015840180624</v>
      </c>
      <c r="O27" s="212">
        <f t="shared" si="2"/>
        <v>3457.0231108706816</v>
      </c>
      <c r="P27" s="212">
        <f t="shared" si="2"/>
        <v>2905.383665028563</v>
      </c>
      <c r="Q27" s="212">
        <f t="shared" si="2"/>
        <v>2264.2783324448278</v>
      </c>
      <c r="R27" s="212">
        <f t="shared" si="2"/>
        <v>1671.7133443033567</v>
      </c>
      <c r="S27" s="212">
        <f>SUM(S20:S26)</f>
        <v>94805.66531725222</v>
      </c>
    </row>
  </sheetData>
  <mergeCells count="5">
    <mergeCell ref="A6:B6"/>
    <mergeCell ref="G8:I8"/>
    <mergeCell ref="G1:K1"/>
    <mergeCell ref="G3:K3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9"/>
  <dimension ref="A1:J36"/>
  <sheetViews>
    <sheetView workbookViewId="0">
      <selection activeCell="C21" sqref="C21"/>
    </sheetView>
  </sheetViews>
  <sheetFormatPr defaultRowHeight="10.5"/>
  <cols>
    <col min="1" max="1" width="12.5" bestFit="1" customWidth="1"/>
    <col min="3" max="4" width="14.83203125" bestFit="1" customWidth="1"/>
    <col min="5" max="5" width="13.6640625" bestFit="1" customWidth="1"/>
    <col min="6" max="6" width="17" bestFit="1" customWidth="1"/>
    <col min="7" max="7" width="13.6640625" bestFit="1" customWidth="1"/>
    <col min="8" max="9" width="14.83203125" bestFit="1" customWidth="1"/>
    <col min="10" max="11" width="13.6640625" bestFit="1" customWidth="1"/>
    <col min="13" max="13" width="12.33203125" bestFit="1" customWidth="1"/>
    <col min="14" max="14" width="10.5" bestFit="1" customWidth="1"/>
    <col min="15" max="16" width="14.83203125" bestFit="1" customWidth="1"/>
    <col min="21" max="21" width="8.6640625" bestFit="1" customWidth="1"/>
    <col min="22" max="22" width="13.6640625" bestFit="1" customWidth="1"/>
    <col min="23" max="23" width="18" bestFit="1" customWidth="1"/>
    <col min="24" max="26" width="16.6640625" bestFit="1" customWidth="1"/>
    <col min="27" max="28" width="12.33203125" customWidth="1"/>
    <col min="29" max="29" width="13.6640625" bestFit="1" customWidth="1"/>
    <col min="30" max="31" width="18" bestFit="1" customWidth="1"/>
  </cols>
  <sheetData>
    <row r="1" spans="1:9" ht="15">
      <c r="B1" s="622" t="s">
        <v>33</v>
      </c>
      <c r="C1" s="622"/>
      <c r="D1" s="622"/>
      <c r="E1" s="622"/>
      <c r="F1" s="622"/>
      <c r="G1" s="622"/>
      <c r="H1" s="622"/>
      <c r="I1" s="622"/>
    </row>
    <row r="2" spans="1:9" ht="15">
      <c r="B2" s="648" t="s">
        <v>216</v>
      </c>
      <c r="C2" s="648"/>
      <c r="D2" s="648"/>
      <c r="E2" s="648"/>
      <c r="F2" s="648"/>
      <c r="G2" s="648"/>
      <c r="H2" s="648"/>
      <c r="I2" s="648"/>
    </row>
    <row r="3" spans="1:9" ht="15">
      <c r="B3" s="622" t="s">
        <v>35</v>
      </c>
      <c r="C3" s="622"/>
      <c r="D3" s="622"/>
      <c r="E3" s="622"/>
      <c r="F3" s="622"/>
      <c r="G3" s="622"/>
      <c r="H3" s="622"/>
      <c r="I3" s="622"/>
    </row>
    <row r="4" spans="1:9" ht="15">
      <c r="F4" s="367"/>
      <c r="G4" s="367"/>
      <c r="H4" s="367"/>
      <c r="I4" s="367"/>
    </row>
    <row r="5" spans="1:9" ht="15">
      <c r="A5" s="457"/>
      <c r="B5" s="266"/>
      <c r="C5" s="472">
        <v>503</v>
      </c>
      <c r="D5" s="472">
        <v>504</v>
      </c>
      <c r="E5" s="473">
        <v>505</v>
      </c>
      <c r="F5" s="473">
        <v>511</v>
      </c>
      <c r="G5" s="473">
        <v>570</v>
      </c>
      <c r="H5" s="77">
        <v>663</v>
      </c>
      <c r="I5" s="77" t="s">
        <v>143</v>
      </c>
    </row>
    <row r="6" spans="1:9" ht="15">
      <c r="A6" s="572" t="s">
        <v>263</v>
      </c>
      <c r="B6" s="293">
        <v>44409</v>
      </c>
      <c r="C6" s="500">
        <v>2658664</v>
      </c>
      <c r="D6" s="500">
        <v>2574115</v>
      </c>
      <c r="E6" s="500">
        <v>465585</v>
      </c>
      <c r="F6" s="500">
        <v>620372</v>
      </c>
      <c r="G6" s="500">
        <v>103033</v>
      </c>
      <c r="H6" s="458">
        <v>64342416</v>
      </c>
      <c r="I6" s="294">
        <f t="shared" ref="I6:I17" si="0">+C6+D6+E6+F6+G6</f>
        <v>6421769</v>
      </c>
    </row>
    <row r="7" spans="1:9" ht="15">
      <c r="A7" s="572" t="s">
        <v>263</v>
      </c>
      <c r="B7" s="293">
        <v>44440</v>
      </c>
      <c r="C7" s="501">
        <v>3024586</v>
      </c>
      <c r="D7" s="501">
        <v>2786257</v>
      </c>
      <c r="E7" s="501">
        <v>585259</v>
      </c>
      <c r="F7" s="501">
        <v>616367</v>
      </c>
      <c r="G7" s="501">
        <v>127498</v>
      </c>
      <c r="H7" s="458">
        <v>64724071</v>
      </c>
      <c r="I7" s="294">
        <f t="shared" si="0"/>
        <v>7139967</v>
      </c>
    </row>
    <row r="8" spans="1:9" ht="15">
      <c r="A8" s="572" t="s">
        <v>263</v>
      </c>
      <c r="B8" s="293">
        <v>44470</v>
      </c>
      <c r="C8" s="500">
        <v>5302722</v>
      </c>
      <c r="D8" s="500">
        <v>3971082</v>
      </c>
      <c r="E8" s="500">
        <v>1219426</v>
      </c>
      <c r="F8" s="500">
        <v>864967</v>
      </c>
      <c r="G8" s="500">
        <v>188282</v>
      </c>
      <c r="H8" s="458">
        <v>60792241</v>
      </c>
      <c r="I8" s="294">
        <f t="shared" si="0"/>
        <v>11546479</v>
      </c>
    </row>
    <row r="9" spans="1:9" ht="15">
      <c r="A9" s="572" t="s">
        <v>263</v>
      </c>
      <c r="B9" s="293">
        <v>44501</v>
      </c>
      <c r="C9" s="501">
        <v>9930569</v>
      </c>
      <c r="D9" s="501">
        <v>6486681</v>
      </c>
      <c r="E9" s="501">
        <v>928838</v>
      </c>
      <c r="F9" s="501">
        <v>1242589</v>
      </c>
      <c r="G9" s="501">
        <v>215369</v>
      </c>
      <c r="H9" s="458">
        <v>56917199</v>
      </c>
      <c r="I9" s="294">
        <f t="shared" si="0"/>
        <v>18804046</v>
      </c>
    </row>
    <row r="10" spans="1:9" ht="15">
      <c r="A10" s="572" t="s">
        <v>263</v>
      </c>
      <c r="B10" s="293">
        <v>44531</v>
      </c>
      <c r="C10" s="500">
        <v>16399782</v>
      </c>
      <c r="D10" s="500">
        <v>10774671</v>
      </c>
      <c r="E10" s="500">
        <v>1371971</v>
      </c>
      <c r="F10" s="500">
        <v>1714491</v>
      </c>
      <c r="G10" s="500">
        <v>271190</v>
      </c>
      <c r="H10" s="458">
        <v>53394617</v>
      </c>
      <c r="I10" s="294">
        <f t="shared" si="0"/>
        <v>30532105</v>
      </c>
    </row>
    <row r="11" spans="1:9" ht="15">
      <c r="A11" s="572" t="s">
        <v>263</v>
      </c>
      <c r="B11" s="293">
        <v>44562</v>
      </c>
      <c r="C11" s="502">
        <v>25738243</v>
      </c>
      <c r="D11" s="502">
        <v>17443599</v>
      </c>
      <c r="E11" s="502">
        <v>1704248</v>
      </c>
      <c r="F11" s="501">
        <v>2436162</v>
      </c>
      <c r="G11" s="501">
        <v>257267</v>
      </c>
      <c r="H11" s="458">
        <v>47833503</v>
      </c>
      <c r="I11" s="294">
        <f t="shared" si="0"/>
        <v>47579519</v>
      </c>
    </row>
    <row r="12" spans="1:9" ht="15">
      <c r="A12" s="572" t="s">
        <v>263</v>
      </c>
      <c r="B12" s="293">
        <v>44593</v>
      </c>
      <c r="C12" s="503">
        <v>19530273</v>
      </c>
      <c r="D12" s="503">
        <v>13869466</v>
      </c>
      <c r="E12" s="503">
        <v>1365177</v>
      </c>
      <c r="F12" s="500">
        <v>1815856</v>
      </c>
      <c r="G12" s="500">
        <v>227538</v>
      </c>
      <c r="H12" s="458">
        <v>48208931</v>
      </c>
      <c r="I12" s="294">
        <f t="shared" si="0"/>
        <v>36808310</v>
      </c>
    </row>
    <row r="13" spans="1:9" ht="15">
      <c r="A13" s="572" t="s">
        <v>263</v>
      </c>
      <c r="B13" s="293">
        <v>44621</v>
      </c>
      <c r="C13" s="501">
        <v>18863108</v>
      </c>
      <c r="D13" s="501">
        <v>13360572</v>
      </c>
      <c r="E13" s="501">
        <v>1544890</v>
      </c>
      <c r="F13" s="501">
        <v>1894050</v>
      </c>
      <c r="G13" s="501">
        <v>220931</v>
      </c>
      <c r="H13" s="458">
        <v>48839796</v>
      </c>
      <c r="I13" s="294">
        <f t="shared" si="0"/>
        <v>35883551</v>
      </c>
    </row>
    <row r="14" spans="1:9" ht="15">
      <c r="A14" s="572" t="s">
        <v>263</v>
      </c>
      <c r="B14" s="293">
        <v>44652</v>
      </c>
      <c r="C14" s="500">
        <v>12434900</v>
      </c>
      <c r="D14" s="500">
        <v>8650358</v>
      </c>
      <c r="E14" s="500">
        <v>1036159</v>
      </c>
      <c r="F14" s="500">
        <v>1365556</v>
      </c>
      <c r="G14" s="500">
        <v>211682</v>
      </c>
      <c r="H14" s="458">
        <v>50333357</v>
      </c>
      <c r="I14" s="294">
        <f t="shared" si="0"/>
        <v>23698655</v>
      </c>
    </row>
    <row r="15" spans="1:9" ht="15">
      <c r="A15" s="572" t="s">
        <v>263</v>
      </c>
      <c r="B15" s="293">
        <v>44682</v>
      </c>
      <c r="C15" s="501">
        <v>10496103</v>
      </c>
      <c r="D15" s="501">
        <v>7583774</v>
      </c>
      <c r="E15" s="501">
        <v>1008957</v>
      </c>
      <c r="F15" s="501">
        <v>1183518</v>
      </c>
      <c r="G15" s="501">
        <v>179840</v>
      </c>
      <c r="H15" s="458">
        <v>43018269</v>
      </c>
      <c r="I15" s="294">
        <f t="shared" si="0"/>
        <v>20452192</v>
      </c>
    </row>
    <row r="16" spans="1:9" ht="15">
      <c r="A16" s="418" t="s">
        <v>263</v>
      </c>
      <c r="B16" s="293">
        <v>44713</v>
      </c>
      <c r="C16" s="500">
        <v>6329476</v>
      </c>
      <c r="D16" s="500">
        <v>4962455</v>
      </c>
      <c r="E16" s="500">
        <v>757107</v>
      </c>
      <c r="F16" s="500">
        <v>974411</v>
      </c>
      <c r="G16" s="500">
        <v>115112</v>
      </c>
      <c r="H16" s="458">
        <v>34496191</v>
      </c>
      <c r="I16" s="294">
        <f t="shared" si="0"/>
        <v>13138561</v>
      </c>
    </row>
    <row r="17" spans="1:10" ht="15">
      <c r="A17" s="418" t="s">
        <v>263</v>
      </c>
      <c r="B17" s="293">
        <v>44743</v>
      </c>
      <c r="C17" s="459">
        <v>3569632</v>
      </c>
      <c r="D17" s="460">
        <v>3141500</v>
      </c>
      <c r="E17" s="460">
        <v>510625</v>
      </c>
      <c r="F17" s="459">
        <v>742221</v>
      </c>
      <c r="G17" s="459">
        <v>88882</v>
      </c>
      <c r="H17" s="458">
        <v>50251600</v>
      </c>
      <c r="I17" s="294">
        <f t="shared" si="0"/>
        <v>8052860</v>
      </c>
    </row>
    <row r="18" spans="1:10" ht="15">
      <c r="A18" s="418"/>
      <c r="B18" s="295"/>
      <c r="C18" s="296"/>
      <c r="D18" s="297"/>
      <c r="E18" s="297"/>
      <c r="F18" s="297"/>
      <c r="G18" s="297"/>
      <c r="H18" s="297"/>
      <c r="I18" s="298"/>
    </row>
    <row r="19" spans="1:10" ht="15">
      <c r="A19" s="572" t="s">
        <v>215</v>
      </c>
      <c r="B19" s="573">
        <v>44774</v>
      </c>
      <c r="C19" s="4">
        <f t="shared" ref="C19:C30" si="1">(+C6/I6)*I19</f>
        <v>3005399.0459526028</v>
      </c>
      <c r="D19" s="4">
        <f t="shared" ref="D19:D30" si="2">(+D6/I6)*I19</f>
        <v>2909823.4170140657</v>
      </c>
      <c r="E19" s="4">
        <f t="shared" ref="E19:E30" si="3">(+E6/I6)*I19</f>
        <v>526305.20998886751</v>
      </c>
      <c r="F19" s="4">
        <f t="shared" ref="F19:F30" si="4">(+F6/I6)*I19</f>
        <v>701279.06983947882</v>
      </c>
      <c r="G19" s="4">
        <f t="shared" ref="G19:G30" si="5">(+G6/I6)*I19</f>
        <v>116470.25720498512</v>
      </c>
      <c r="H19" s="4">
        <f t="shared" ref="H19:H30" si="6">+H6</f>
        <v>64342416</v>
      </c>
      <c r="I19" s="574">
        <v>7259277</v>
      </c>
      <c r="J19" s="457"/>
    </row>
    <row r="20" spans="1:10" ht="15">
      <c r="A20" s="572" t="s">
        <v>215</v>
      </c>
      <c r="B20" s="573">
        <v>44805</v>
      </c>
      <c r="C20" s="4">
        <f t="shared" si="1"/>
        <v>3677822.4978700886</v>
      </c>
      <c r="D20" s="4">
        <f t="shared" si="2"/>
        <v>3388020.2710215608</v>
      </c>
      <c r="E20" s="4">
        <f t="shared" si="3"/>
        <v>711660.60984245443</v>
      </c>
      <c r="F20" s="4">
        <f t="shared" si="4"/>
        <v>749487.17594563111</v>
      </c>
      <c r="G20" s="4">
        <f t="shared" si="5"/>
        <v>155034.44532026548</v>
      </c>
      <c r="H20" s="4">
        <f t="shared" si="6"/>
        <v>64724071</v>
      </c>
      <c r="I20" s="574">
        <v>8682025</v>
      </c>
      <c r="J20" s="457"/>
    </row>
    <row r="21" spans="1:10" ht="15">
      <c r="A21" s="572" t="s">
        <v>215</v>
      </c>
      <c r="B21" s="573">
        <v>44835</v>
      </c>
      <c r="C21" s="4">
        <f t="shared" si="1"/>
        <v>8472291.4338436853</v>
      </c>
      <c r="D21" s="4">
        <f t="shared" si="2"/>
        <v>6344696.9333279869</v>
      </c>
      <c r="E21" s="4">
        <f t="shared" si="3"/>
        <v>1948307.3889233246</v>
      </c>
      <c r="F21" s="4">
        <f t="shared" si="4"/>
        <v>1381979.3880685186</v>
      </c>
      <c r="G21" s="4">
        <f t="shared" si="5"/>
        <v>300822.85583648487</v>
      </c>
      <c r="H21" s="4">
        <f t="shared" si="6"/>
        <v>60792241</v>
      </c>
      <c r="I21" s="574">
        <v>18448098</v>
      </c>
      <c r="J21" s="457"/>
    </row>
    <row r="22" spans="1:10" ht="15">
      <c r="A22" s="572" t="s">
        <v>215</v>
      </c>
      <c r="B22" s="573">
        <v>44866</v>
      </c>
      <c r="C22" s="4">
        <f t="shared" si="1"/>
        <v>16107111.675342688</v>
      </c>
      <c r="D22" s="4">
        <f t="shared" si="2"/>
        <v>10521219.405385895</v>
      </c>
      <c r="E22" s="4">
        <f t="shared" si="3"/>
        <v>1506549.8658034552</v>
      </c>
      <c r="F22" s="4">
        <f t="shared" si="4"/>
        <v>2015445.4180372141</v>
      </c>
      <c r="G22" s="4">
        <f t="shared" si="5"/>
        <v>349322.63543074724</v>
      </c>
      <c r="H22" s="4">
        <f t="shared" si="6"/>
        <v>56917199</v>
      </c>
      <c r="I22" s="574">
        <v>30499649</v>
      </c>
      <c r="J22" s="457"/>
    </row>
    <row r="23" spans="1:10" ht="15">
      <c r="A23" s="572" t="s">
        <v>215</v>
      </c>
      <c r="B23" s="573">
        <v>44896</v>
      </c>
      <c r="C23" s="4">
        <f t="shared" si="1"/>
        <v>22649646.954812255</v>
      </c>
      <c r="D23" s="4">
        <f t="shared" si="2"/>
        <v>14880837.696760476</v>
      </c>
      <c r="E23" s="4">
        <f t="shared" si="3"/>
        <v>1894821.4544705974</v>
      </c>
      <c r="F23" s="4">
        <f t="shared" si="4"/>
        <v>2367873.9057142963</v>
      </c>
      <c r="G23" s="4">
        <f t="shared" si="5"/>
        <v>374538.9882423763</v>
      </c>
      <c r="H23" s="4">
        <f t="shared" si="6"/>
        <v>53394617</v>
      </c>
      <c r="I23" s="574">
        <v>42167719</v>
      </c>
      <c r="J23" s="457"/>
    </row>
    <row r="24" spans="1:10" ht="15">
      <c r="A24" s="572" t="s">
        <v>215</v>
      </c>
      <c r="B24" s="573">
        <v>44927</v>
      </c>
      <c r="C24" s="4">
        <f t="shared" si="1"/>
        <v>22265481.676961824</v>
      </c>
      <c r="D24" s="4">
        <f t="shared" si="2"/>
        <v>15090001.827815892</v>
      </c>
      <c r="E24" s="4">
        <f t="shared" si="3"/>
        <v>1474300.4259070379</v>
      </c>
      <c r="F24" s="4">
        <f t="shared" si="4"/>
        <v>2107460.1080233282</v>
      </c>
      <c r="G24" s="4">
        <f t="shared" si="5"/>
        <v>222554.96129191638</v>
      </c>
      <c r="H24" s="4">
        <f t="shared" si="6"/>
        <v>47833503</v>
      </c>
      <c r="I24" s="574">
        <v>41159799</v>
      </c>
      <c r="J24" s="457"/>
    </row>
    <row r="25" spans="1:10" ht="15">
      <c r="A25" s="572" t="s">
        <v>215</v>
      </c>
      <c r="B25" s="573">
        <v>44958</v>
      </c>
      <c r="C25" s="4">
        <f t="shared" si="1"/>
        <v>17863868.401026372</v>
      </c>
      <c r="D25" s="4">
        <f t="shared" si="2"/>
        <v>12686065.136749988</v>
      </c>
      <c r="E25" s="4">
        <f t="shared" si="3"/>
        <v>1248694.3870220338</v>
      </c>
      <c r="F25" s="4">
        <f t="shared" si="4"/>
        <v>1660919.5692868268</v>
      </c>
      <c r="G25" s="4">
        <f t="shared" si="5"/>
        <v>208123.50591477848</v>
      </c>
      <c r="H25" s="4">
        <f t="shared" si="6"/>
        <v>48208931</v>
      </c>
      <c r="I25" s="574">
        <v>33667671</v>
      </c>
      <c r="J25" s="457"/>
    </row>
    <row r="26" spans="1:10" ht="15">
      <c r="A26" s="572" t="s">
        <v>215</v>
      </c>
      <c r="B26" s="573">
        <v>44986</v>
      </c>
      <c r="C26" s="4">
        <f t="shared" si="1"/>
        <v>15012436.291447857</v>
      </c>
      <c r="D26" s="4">
        <f t="shared" si="2"/>
        <v>10633175.400750613</v>
      </c>
      <c r="E26" s="4">
        <f t="shared" si="3"/>
        <v>1229519.690090036</v>
      </c>
      <c r="F26" s="4">
        <f t="shared" si="4"/>
        <v>1507402.9665639836</v>
      </c>
      <c r="G26" s="4">
        <f t="shared" si="5"/>
        <v>175830.65114751324</v>
      </c>
      <c r="H26" s="4">
        <f t="shared" si="6"/>
        <v>48839796</v>
      </c>
      <c r="I26" s="574">
        <v>28558365</v>
      </c>
      <c r="J26" s="457"/>
    </row>
    <row r="27" spans="1:10" ht="15">
      <c r="A27" s="572" t="s">
        <v>215</v>
      </c>
      <c r="B27" s="573">
        <v>45017</v>
      </c>
      <c r="C27" s="4">
        <f t="shared" si="1"/>
        <v>9662088.9139826708</v>
      </c>
      <c r="D27" s="4">
        <f t="shared" si="2"/>
        <v>6721447.5495405113</v>
      </c>
      <c r="E27" s="4">
        <f t="shared" si="3"/>
        <v>805109.84302434034</v>
      </c>
      <c r="F27" s="4">
        <f t="shared" si="4"/>
        <v>1061055.858030424</v>
      </c>
      <c r="G27" s="4">
        <f t="shared" si="5"/>
        <v>164479.83542205242</v>
      </c>
      <c r="H27" s="4">
        <f t="shared" si="6"/>
        <v>50333357</v>
      </c>
      <c r="I27" s="574">
        <v>18414182</v>
      </c>
      <c r="J27" s="457"/>
    </row>
    <row r="28" spans="1:10" ht="15">
      <c r="A28" s="572" t="s">
        <v>215</v>
      </c>
      <c r="B28" s="573">
        <v>45047</v>
      </c>
      <c r="C28" s="4">
        <f t="shared" si="1"/>
        <v>5762668.771932221</v>
      </c>
      <c r="D28" s="4">
        <f t="shared" si="2"/>
        <v>4163714.6284855921</v>
      </c>
      <c r="E28" s="4">
        <f t="shared" si="3"/>
        <v>553947.02168246813</v>
      </c>
      <c r="F28" s="4">
        <f t="shared" si="4"/>
        <v>649786.13678044884</v>
      </c>
      <c r="G28" s="4">
        <f t="shared" si="5"/>
        <v>98737.441119269744</v>
      </c>
      <c r="H28" s="4">
        <f t="shared" si="6"/>
        <v>43018269</v>
      </c>
      <c r="I28" s="574">
        <v>11228854</v>
      </c>
      <c r="J28" s="457"/>
    </row>
    <row r="29" spans="1:10" ht="15">
      <c r="A29" s="572" t="s">
        <v>215</v>
      </c>
      <c r="B29" s="573">
        <v>45078</v>
      </c>
      <c r="C29" s="4">
        <f t="shared" si="1"/>
        <v>3887129.5424020942</v>
      </c>
      <c r="D29" s="4">
        <f t="shared" si="2"/>
        <v>3047599.1114179096</v>
      </c>
      <c r="E29" s="4">
        <f t="shared" si="3"/>
        <v>464963.132249719</v>
      </c>
      <c r="F29" s="4">
        <f t="shared" si="4"/>
        <v>598416.32775628928</v>
      </c>
      <c r="G29" s="4">
        <f t="shared" si="5"/>
        <v>70693.886173988154</v>
      </c>
      <c r="H29" s="4">
        <f t="shared" si="6"/>
        <v>34496191</v>
      </c>
      <c r="I29" s="574">
        <v>8068802</v>
      </c>
      <c r="J29" s="457"/>
    </row>
    <row r="30" spans="1:10" ht="15">
      <c r="A30" s="572" t="s">
        <v>215</v>
      </c>
      <c r="B30" s="573">
        <v>45108</v>
      </c>
      <c r="C30" s="4">
        <f t="shared" si="1"/>
        <v>3258710.893936316</v>
      </c>
      <c r="D30" s="4">
        <f t="shared" si="2"/>
        <v>2867869.9298137557</v>
      </c>
      <c r="E30" s="4">
        <f t="shared" si="3"/>
        <v>466148.68149328313</v>
      </c>
      <c r="F30" s="4">
        <f t="shared" si="4"/>
        <v>677572.27030918212</v>
      </c>
      <c r="G30" s="4">
        <f t="shared" si="5"/>
        <v>81140.224447463392</v>
      </c>
      <c r="H30" s="4">
        <f t="shared" si="6"/>
        <v>50251600</v>
      </c>
      <c r="I30" s="574">
        <v>7351442</v>
      </c>
      <c r="J30" s="457"/>
    </row>
    <row r="31" spans="1:10" ht="15">
      <c r="A31" s="572" t="s">
        <v>215</v>
      </c>
      <c r="B31" s="573">
        <v>45139</v>
      </c>
      <c r="C31" s="4">
        <f>(+C19/I19)*I31</f>
        <v>3111094.470666883</v>
      </c>
      <c r="D31" s="4">
        <f>(+D19/I19)*I31</f>
        <v>3012157.5886838972</v>
      </c>
      <c r="E31" s="4">
        <f>(+E19/I19)*I31</f>
        <v>544814.58323633252</v>
      </c>
      <c r="F31" s="4">
        <f>(+F19/I19)*I31</f>
        <v>725942.01409300149</v>
      </c>
      <c r="G31" s="4">
        <f>(+G19/I19)*I31</f>
        <v>120566.34331988585</v>
      </c>
      <c r="H31" s="4">
        <f>+H19</f>
        <v>64342416</v>
      </c>
      <c r="I31" s="574">
        <v>7514575</v>
      </c>
      <c r="J31" s="457"/>
    </row>
    <row r="32" spans="1:10" ht="15">
      <c r="A32" s="572" t="s">
        <v>215</v>
      </c>
      <c r="B32" s="573">
        <v>45170</v>
      </c>
      <c r="C32" s="4">
        <f>(+C20/I20)*I32</f>
        <v>3756120.2412823481</v>
      </c>
      <c r="D32" s="4">
        <f>(+D20/I20)*I32</f>
        <v>3460148.3691039467</v>
      </c>
      <c r="E32" s="4">
        <f>(+E20/I20)*I32</f>
        <v>726811.26484506158</v>
      </c>
      <c r="F32" s="4">
        <f>(+F20/I20)*I32</f>
        <v>765443.12668195809</v>
      </c>
      <c r="G32" s="4">
        <f>(+G20/I20)*I32</f>
        <v>158334.99808668584</v>
      </c>
      <c r="H32" s="4">
        <f>+H20</f>
        <v>64724071</v>
      </c>
      <c r="I32" s="574">
        <v>8866858</v>
      </c>
      <c r="J32" s="457"/>
    </row>
    <row r="33" spans="1:10" ht="15">
      <c r="A33" s="572" t="s">
        <v>215</v>
      </c>
      <c r="B33" s="573">
        <v>45200</v>
      </c>
      <c r="C33" s="4">
        <f>(+C21/I21)*I33</f>
        <v>8657453.2796432581</v>
      </c>
      <c r="D33" s="4">
        <f>(+D21/I21)*I33</f>
        <v>6483360.2222843869</v>
      </c>
      <c r="E33" s="4">
        <f>(+E21/I21)*I33</f>
        <v>1990887.627709365</v>
      </c>
      <c r="F33" s="4">
        <f>(+F21/I21)*I33</f>
        <v>1412182.5339765481</v>
      </c>
      <c r="G33" s="4">
        <f>(+G21/I21)*I33</f>
        <v>307397.336386443</v>
      </c>
      <c r="H33" s="4">
        <f>+H21</f>
        <v>60792241</v>
      </c>
      <c r="I33" s="574">
        <v>18851281</v>
      </c>
      <c r="J33" s="457"/>
    </row>
    <row r="34" spans="1:10" ht="15">
      <c r="A34" s="457"/>
      <c r="B34" s="174" t="s">
        <v>186</v>
      </c>
      <c r="C34" s="4">
        <f>SUM(C22:C33)</f>
        <v>131993811.11343679</v>
      </c>
      <c r="D34" s="4">
        <f t="shared" ref="D34:H34" si="7">SUM(D22:D33)</f>
        <v>93567596.866792873</v>
      </c>
      <c r="E34" s="4">
        <f t="shared" si="7"/>
        <v>12906567.97753373</v>
      </c>
      <c r="F34" s="4">
        <f t="shared" si="7"/>
        <v>15549500.235253498</v>
      </c>
      <c r="G34" s="4">
        <f t="shared" si="7"/>
        <v>2331720.8069831203</v>
      </c>
      <c r="H34" s="4">
        <f t="shared" si="7"/>
        <v>623152191</v>
      </c>
      <c r="I34" s="4">
        <f>SUM(I22:I33)</f>
        <v>256349197</v>
      </c>
      <c r="J34" s="457"/>
    </row>
    <row r="35" spans="1:10" ht="15">
      <c r="A35" s="457"/>
      <c r="B35" s="457"/>
      <c r="C35" s="575">
        <v>1</v>
      </c>
      <c r="D35" s="575">
        <v>2</v>
      </c>
      <c r="E35" s="575">
        <v>3</v>
      </c>
      <c r="F35" s="575">
        <v>4</v>
      </c>
      <c r="G35" s="575">
        <v>5</v>
      </c>
      <c r="H35" s="575">
        <v>6</v>
      </c>
      <c r="I35" s="379">
        <v>7</v>
      </c>
      <c r="J35" s="457"/>
    </row>
    <row r="36" spans="1:10">
      <c r="A36" s="457"/>
      <c r="B36" s="457"/>
      <c r="C36" s="457"/>
      <c r="D36" s="457"/>
      <c r="E36" s="457"/>
      <c r="F36" s="457"/>
      <c r="G36" s="457"/>
      <c r="H36" s="457"/>
      <c r="I36" s="457"/>
      <c r="J36" s="457"/>
    </row>
  </sheetData>
  <mergeCells count="3">
    <mergeCell ref="B1:I1"/>
    <mergeCell ref="B2:I2"/>
    <mergeCell ref="B3:I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76FB-A53E-4C73-8A2B-EE76E2065147}">
  <sheetPr>
    <pageSetUpPr fitToPage="1"/>
  </sheetPr>
  <dimension ref="A1:K80"/>
  <sheetViews>
    <sheetView view="pageBreakPreview" zoomScale="96" zoomScaleNormal="75" zoomScaleSheetLayoutView="96" workbookViewId="0">
      <pane xSplit="1" ySplit="10" topLeftCell="B53" activePane="bottomRight" state="frozen"/>
      <selection sqref="A1:XFD1048576"/>
      <selection pane="topRight" sqref="A1:XFD1048576"/>
      <selection pane="bottomLeft" sqref="A1:XFD1048576"/>
      <selection pane="bottomRight" activeCell="H59" sqref="H59"/>
    </sheetView>
  </sheetViews>
  <sheetFormatPr defaultColWidth="13.33203125" defaultRowHeight="12.75"/>
  <cols>
    <col min="1" max="1" width="14.1640625" style="377" customWidth="1"/>
    <col min="2" max="2" width="10.5" style="377" bestFit="1" customWidth="1"/>
    <col min="3" max="3" width="16.1640625" style="377" customWidth="1"/>
    <col min="4" max="4" width="22" style="377" bestFit="1" customWidth="1"/>
    <col min="5" max="5" width="14.6640625" style="377" bestFit="1" customWidth="1"/>
    <col min="6" max="6" width="13.33203125" style="377" bestFit="1" customWidth="1"/>
    <col min="7" max="7" width="15.33203125" style="377" bestFit="1" customWidth="1"/>
    <col min="8" max="8" width="22.1640625" style="377" bestFit="1" customWidth="1"/>
    <col min="9" max="16384" width="13.33203125" style="377"/>
  </cols>
  <sheetData>
    <row r="1" spans="1:11">
      <c r="A1" s="657" t="s">
        <v>223</v>
      </c>
      <c r="B1" s="658"/>
      <c r="C1" s="659" t="s">
        <v>224</v>
      </c>
      <c r="D1" s="659"/>
      <c r="E1" s="659"/>
      <c r="F1" s="659"/>
      <c r="G1" s="659"/>
      <c r="H1" s="660"/>
    </row>
    <row r="2" spans="1:11">
      <c r="A2" s="661" t="s">
        <v>225</v>
      </c>
      <c r="B2" s="662"/>
      <c r="C2" s="663" t="s">
        <v>178</v>
      </c>
      <c r="D2" s="663"/>
      <c r="E2" s="663"/>
      <c r="F2" s="663"/>
      <c r="G2" s="663"/>
      <c r="H2" s="664"/>
    </row>
    <row r="3" spans="1:11">
      <c r="A3" s="661" t="s">
        <v>226</v>
      </c>
      <c r="B3" s="662"/>
      <c r="C3" s="663" t="s">
        <v>227</v>
      </c>
      <c r="D3" s="663"/>
      <c r="E3" s="663"/>
      <c r="F3" s="663"/>
      <c r="G3" s="663"/>
      <c r="H3" s="664"/>
    </row>
    <row r="4" spans="1:11">
      <c r="A4" s="661" t="s">
        <v>228</v>
      </c>
      <c r="B4" s="662"/>
      <c r="C4" s="663" t="s">
        <v>23</v>
      </c>
      <c r="D4" s="663"/>
      <c r="E4" s="663"/>
      <c r="F4" s="663"/>
      <c r="G4" s="663"/>
      <c r="H4" s="664"/>
    </row>
    <row r="5" spans="1:11">
      <c r="A5" s="661" t="s">
        <v>229</v>
      </c>
      <c r="B5" s="662"/>
      <c r="C5" s="663" t="s">
        <v>264</v>
      </c>
      <c r="D5" s="663"/>
      <c r="E5" s="663"/>
      <c r="F5" s="663"/>
      <c r="G5" s="663"/>
      <c r="H5" s="664"/>
    </row>
    <row r="6" spans="1:11">
      <c r="A6" s="661" t="s">
        <v>230</v>
      </c>
      <c r="B6" s="662"/>
      <c r="C6" s="663" t="s">
        <v>231</v>
      </c>
      <c r="D6" s="663"/>
      <c r="E6" s="663"/>
      <c r="F6" s="663"/>
      <c r="G6" s="663"/>
      <c r="H6" s="664"/>
    </row>
    <row r="7" spans="1:11" ht="13.5" thickBot="1">
      <c r="A7" s="655" t="s">
        <v>232</v>
      </c>
      <c r="B7" s="656"/>
      <c r="C7" s="650" t="s">
        <v>233</v>
      </c>
      <c r="D7" s="650"/>
      <c r="E7" s="650"/>
      <c r="F7" s="650"/>
      <c r="G7" s="650"/>
      <c r="H7" s="651"/>
    </row>
    <row r="8" spans="1:11">
      <c r="A8" s="435"/>
      <c r="B8" s="435"/>
      <c r="C8" s="436"/>
      <c r="D8" s="436"/>
      <c r="E8" s="436"/>
      <c r="F8" s="436"/>
      <c r="G8" s="436"/>
      <c r="H8" s="436"/>
    </row>
    <row r="9" spans="1:11">
      <c r="A9" s="437"/>
      <c r="D9" s="652" t="s">
        <v>234</v>
      </c>
      <c r="E9" s="652"/>
      <c r="F9" s="652"/>
    </row>
    <row r="10" spans="1:11" s="439" customFormat="1">
      <c r="A10" s="431" t="s">
        <v>235</v>
      </c>
      <c r="B10" s="431" t="s">
        <v>32</v>
      </c>
      <c r="C10" s="431" t="s">
        <v>236</v>
      </c>
      <c r="D10" s="431" t="s">
        <v>4</v>
      </c>
      <c r="E10" s="431" t="s">
        <v>221</v>
      </c>
      <c r="F10" s="431" t="s">
        <v>1</v>
      </c>
      <c r="G10" s="431" t="s">
        <v>237</v>
      </c>
      <c r="H10" s="431" t="s">
        <v>238</v>
      </c>
    </row>
    <row r="11" spans="1:11">
      <c r="A11" s="649" t="s">
        <v>239</v>
      </c>
      <c r="B11" s="649"/>
      <c r="C11" s="649"/>
      <c r="D11" s="649"/>
      <c r="E11" s="649"/>
      <c r="F11" s="649"/>
      <c r="G11" s="649"/>
      <c r="H11" s="382">
        <v>0</v>
      </c>
    </row>
    <row r="12" spans="1:11">
      <c r="A12" s="383">
        <f>'[2]FERC Interest Rates'!A54</f>
        <v>42643</v>
      </c>
      <c r="D12" s="377">
        <v>11987.21</v>
      </c>
      <c r="F12" s="377">
        <v>0</v>
      </c>
      <c r="H12" s="382">
        <f>+SUM(D12:G12)+H11</f>
        <v>11987.21</v>
      </c>
      <c r="K12" s="481"/>
    </row>
    <row r="13" spans="1:11">
      <c r="A13" s="383">
        <f>'[2]FERC Interest Rates'!A55</f>
        <v>42674</v>
      </c>
      <c r="D13" s="377">
        <v>106762.45</v>
      </c>
      <c r="F13" s="377">
        <f>+H12*(0.035/(365/31))</f>
        <v>35.633213287671232</v>
      </c>
      <c r="H13" s="382">
        <f t="shared" ref="H13:H60" si="0">+SUM(D13:G13)+H12</f>
        <v>118785.29321328766</v>
      </c>
      <c r="K13" s="481"/>
    </row>
    <row r="14" spans="1:11">
      <c r="A14" s="383">
        <v>42704</v>
      </c>
      <c r="D14" s="377">
        <v>1565078.06</v>
      </c>
      <c r="F14" s="377">
        <f>+H13*(0.035/(365/30))</f>
        <v>341.71111746288238</v>
      </c>
      <c r="H14" s="382">
        <f t="shared" si="0"/>
        <v>1684205.0643307506</v>
      </c>
      <c r="K14" s="481"/>
    </row>
    <row r="15" spans="1:11">
      <c r="A15" s="383">
        <v>42735</v>
      </c>
      <c r="D15" s="377">
        <v>-1878222.42</v>
      </c>
      <c r="F15" s="377">
        <f>+H14*(0.035/(365/31))</f>
        <v>5006.4725884900399</v>
      </c>
      <c r="H15" s="377">
        <f t="shared" si="0"/>
        <v>-189010.88308075932</v>
      </c>
      <c r="K15" s="481"/>
    </row>
    <row r="16" spans="1:11">
      <c r="A16" s="383">
        <v>42766</v>
      </c>
      <c r="D16" s="377">
        <v>-3172497.17</v>
      </c>
      <c r="F16" s="377">
        <f>+H15*(0.035/(365/31))</f>
        <v>-561.85426888390111</v>
      </c>
      <c r="H16" s="377">
        <f t="shared" si="0"/>
        <v>-3362069.9073496433</v>
      </c>
      <c r="K16" s="481"/>
    </row>
    <row r="17" spans="1:11">
      <c r="A17" s="383">
        <v>42794</v>
      </c>
      <c r="D17" s="377">
        <v>-1296785.68</v>
      </c>
      <c r="F17" s="377">
        <f>+H16*(0.035/(365/28))</f>
        <v>-9026.9274224730161</v>
      </c>
      <c r="H17" s="377">
        <f t="shared" si="0"/>
        <v>-4667882.5147721162</v>
      </c>
      <c r="K17" s="481"/>
    </row>
    <row r="18" spans="1:11">
      <c r="A18" s="383">
        <v>42825</v>
      </c>
      <c r="D18" s="377">
        <v>-644163.9</v>
      </c>
      <c r="F18" s="377">
        <f>+H17*(0.035/(365/31))</f>
        <v>-13875.760352130814</v>
      </c>
      <c r="H18" s="377">
        <f t="shared" si="0"/>
        <v>-5325922.1751242466</v>
      </c>
      <c r="K18" s="481"/>
    </row>
    <row r="19" spans="1:11">
      <c r="A19" s="383">
        <v>42855</v>
      </c>
      <c r="D19" s="377">
        <v>-800040.13</v>
      </c>
      <c r="F19" s="377">
        <f>+H18*(0.0371/(365/30))</f>
        <v>-16240.414742228182</v>
      </c>
      <c r="H19" s="377">
        <f t="shared" si="0"/>
        <v>-6142202.7198664751</v>
      </c>
      <c r="K19" s="481"/>
    </row>
    <row r="20" spans="1:11">
      <c r="A20" s="383">
        <v>42886</v>
      </c>
      <c r="D20" s="377">
        <v>-358834.1</v>
      </c>
      <c r="F20" s="377">
        <f>+H19*(0.0371/(365/31))</f>
        <v>-19353.828351009408</v>
      </c>
      <c r="H20" s="377">
        <f t="shared" si="0"/>
        <v>-6520390.6482174844</v>
      </c>
      <c r="K20" s="481"/>
    </row>
    <row r="21" spans="1:11">
      <c r="A21" s="383">
        <v>42916</v>
      </c>
      <c r="D21" s="377">
        <v>736242.69</v>
      </c>
      <c r="F21" s="377">
        <f>+H20*(0.0371/(365/30))</f>
        <v>-19882.725456071399</v>
      </c>
      <c r="H21" s="377">
        <f t="shared" si="0"/>
        <v>-5804030.683673556</v>
      </c>
      <c r="K21" s="481"/>
    </row>
    <row r="22" spans="1:11">
      <c r="A22" s="383">
        <v>42947</v>
      </c>
      <c r="D22" s="377">
        <v>133175.96</v>
      </c>
      <c r="F22" s="377">
        <f>+H21*(0.0396/(365/31))</f>
        <v>-19520.624841856599</v>
      </c>
      <c r="H22" s="377">
        <f t="shared" si="0"/>
        <v>-5690375.3485154128</v>
      </c>
      <c r="K22" s="481"/>
    </row>
    <row r="23" spans="1:11">
      <c r="A23" s="383">
        <v>42978</v>
      </c>
      <c r="D23" s="377">
        <v>493325.73</v>
      </c>
      <c r="F23" s="377">
        <f>+H22*(0.0396/(365/31))</f>
        <v>-19138.369254349374</v>
      </c>
      <c r="H23" s="377">
        <f t="shared" si="0"/>
        <v>-5216187.9877697621</v>
      </c>
      <c r="K23" s="481"/>
    </row>
    <row r="24" spans="1:11">
      <c r="A24" s="383">
        <v>43008</v>
      </c>
      <c r="D24" s="377">
        <v>-32838.199999999997</v>
      </c>
      <c r="F24" s="377">
        <f>+H23*(0.0396/(365/30))</f>
        <v>-16977.620080741035</v>
      </c>
      <c r="H24" s="377">
        <f t="shared" si="0"/>
        <v>-5266003.8078505034</v>
      </c>
      <c r="K24" s="481"/>
    </row>
    <row r="25" spans="1:11">
      <c r="A25" s="383">
        <v>43039</v>
      </c>
      <c r="D25" s="377">
        <v>-89282.54</v>
      </c>
      <c r="F25" s="377">
        <f>+H24*(0.0421/(365/31))</f>
        <v>-18829.209779796416</v>
      </c>
      <c r="H25" s="377">
        <f t="shared" si="0"/>
        <v>-5374115.5576302996</v>
      </c>
      <c r="K25" s="481"/>
    </row>
    <row r="26" spans="1:11">
      <c r="A26" s="653" t="s">
        <v>240</v>
      </c>
      <c r="B26" s="653"/>
      <c r="C26" s="653"/>
      <c r="D26" s="653"/>
      <c r="E26" s="653"/>
      <c r="F26" s="653"/>
      <c r="G26" s="377">
        <v>195037.47</v>
      </c>
      <c r="H26" s="377">
        <f t="shared" si="0"/>
        <v>-5179078.0876302999</v>
      </c>
      <c r="K26" s="481"/>
    </row>
    <row r="27" spans="1:11">
      <c r="A27" s="383">
        <v>43069</v>
      </c>
      <c r="D27" s="377">
        <v>-64892.24</v>
      </c>
      <c r="F27" s="377">
        <v>-17921.03</v>
      </c>
      <c r="H27" s="377">
        <f t="shared" si="0"/>
        <v>-5261891.3576302994</v>
      </c>
    </row>
    <row r="28" spans="1:11">
      <c r="A28" s="383">
        <v>43100</v>
      </c>
      <c r="D28" s="377">
        <v>-618556.96</v>
      </c>
      <c r="E28" s="377">
        <v>-680.9</v>
      </c>
      <c r="F28" s="377">
        <v>-18814.509999999998</v>
      </c>
      <c r="H28" s="377">
        <f t="shared" si="0"/>
        <v>-5899943.7276302995</v>
      </c>
    </row>
    <row r="29" spans="1:11">
      <c r="A29" s="383">
        <v>43131</v>
      </c>
      <c r="D29" s="377">
        <v>254921.14</v>
      </c>
      <c r="F29" s="377">
        <v>-21296.37</v>
      </c>
      <c r="H29" s="377">
        <f t="shared" si="0"/>
        <v>-5666318.957630299</v>
      </c>
    </row>
    <row r="30" spans="1:11">
      <c r="A30" s="383">
        <v>43159</v>
      </c>
      <c r="D30" s="377">
        <v>-811118.47</v>
      </c>
      <c r="F30" s="377">
        <v>-18473.75</v>
      </c>
      <c r="H30" s="377">
        <f t="shared" si="0"/>
        <v>-6495911.1776302988</v>
      </c>
    </row>
    <row r="31" spans="1:11">
      <c r="A31" s="383">
        <v>43190</v>
      </c>
      <c r="D31" s="377">
        <v>-448352.57</v>
      </c>
      <c r="F31" s="377">
        <v>-23447.57</v>
      </c>
      <c r="H31" s="377">
        <f t="shared" si="0"/>
        <v>-6967711.3176302984</v>
      </c>
    </row>
    <row r="32" spans="1:11">
      <c r="A32" s="383">
        <v>43220</v>
      </c>
      <c r="D32" s="377">
        <v>-552354.38</v>
      </c>
      <c r="F32" s="377">
        <v>-25599.18</v>
      </c>
      <c r="H32" s="377">
        <f t="shared" si="0"/>
        <v>-7545664.877630299</v>
      </c>
    </row>
    <row r="33" spans="1:8">
      <c r="A33" s="383">
        <v>43251</v>
      </c>
      <c r="D33" s="377">
        <v>546739.6</v>
      </c>
      <c r="F33" s="377">
        <v>-28646.65</v>
      </c>
      <c r="H33" s="377">
        <f t="shared" si="0"/>
        <v>-7027571.9276302988</v>
      </c>
    </row>
    <row r="34" spans="1:8">
      <c r="A34" s="383">
        <v>43281</v>
      </c>
      <c r="D34" s="377">
        <v>-92773.67</v>
      </c>
      <c r="F34" s="377">
        <v>-25819.11</v>
      </c>
      <c r="H34" s="377">
        <f t="shared" si="0"/>
        <v>-7146164.707630299</v>
      </c>
    </row>
    <row r="35" spans="1:8">
      <c r="A35" s="383">
        <v>43312</v>
      </c>
      <c r="D35" s="377">
        <v>23270.85</v>
      </c>
      <c r="F35" s="377">
        <v>-28465.23</v>
      </c>
      <c r="H35" s="377">
        <f t="shared" si="0"/>
        <v>-7151359.0876302989</v>
      </c>
    </row>
    <row r="36" spans="1:8">
      <c r="A36" s="383">
        <v>43343</v>
      </c>
      <c r="D36" s="482">
        <v>450457.18</v>
      </c>
      <c r="F36" s="377">
        <f>+H35*(0.0469/(365/31))</f>
        <v>-28485.920486316965</v>
      </c>
      <c r="H36" s="377">
        <f t="shared" si="0"/>
        <v>-6729387.8281166162</v>
      </c>
    </row>
    <row r="37" spans="1:8">
      <c r="A37" s="383">
        <v>43373</v>
      </c>
      <c r="D37" s="482">
        <v>-83303.360000000001</v>
      </c>
      <c r="F37" s="377">
        <f>+H36*(0.0469/(365/30))</f>
        <v>-25940.407326465967</v>
      </c>
      <c r="H37" s="377">
        <f t="shared" si="0"/>
        <v>-6838631.595443082</v>
      </c>
    </row>
    <row r="38" spans="1:8">
      <c r="A38" s="383">
        <v>43404</v>
      </c>
      <c r="D38" s="482">
        <v>302039.75</v>
      </c>
      <c r="F38" s="377">
        <f>+H37*(0.0496/(365/31))</f>
        <v>-28808.4381949405</v>
      </c>
      <c r="H38" s="377">
        <f>+SUM(D38:G38)+H37-0.01</f>
        <v>-6565400.2936380226</v>
      </c>
    </row>
    <row r="39" spans="1:8">
      <c r="A39" s="383"/>
      <c r="B39" s="654" t="s">
        <v>240</v>
      </c>
      <c r="C39" s="654"/>
      <c r="D39" s="654"/>
      <c r="E39" s="654"/>
      <c r="F39" s="654"/>
      <c r="G39" s="483">
        <v>6125923.8899999997</v>
      </c>
      <c r="H39" s="377">
        <f>+G39+H38</f>
        <v>-439476.40363802295</v>
      </c>
    </row>
    <row r="40" spans="1:8">
      <c r="A40" s="383">
        <v>43434</v>
      </c>
      <c r="D40" s="484">
        <v>347558.7</v>
      </c>
      <c r="F40" s="377">
        <f>(+H39*0.0496)/365*30</f>
        <v>-1791.6188729133648</v>
      </c>
      <c r="H40" s="485">
        <f>+SUM(D40:G40)+H39</f>
        <v>-93709.322510936297</v>
      </c>
    </row>
    <row r="41" spans="1:8">
      <c r="A41" s="383">
        <v>43465</v>
      </c>
      <c r="D41" s="484">
        <f>1003283.44+104523.81</f>
        <v>1107807.25</v>
      </c>
      <c r="F41" s="377">
        <f>(+H40*0.0496)/365*31</f>
        <v>-394.7601487474401</v>
      </c>
      <c r="H41" s="377">
        <f t="shared" si="0"/>
        <v>1013703.1673403163</v>
      </c>
    </row>
    <row r="42" spans="1:8">
      <c r="A42" s="383">
        <v>43496</v>
      </c>
      <c r="D42" s="484">
        <v>843959.23</v>
      </c>
      <c r="F42" s="377">
        <f>(+H41*0.0518)/365*31</f>
        <v>4459.7384825070685</v>
      </c>
      <c r="H42" s="377">
        <f t="shared" si="0"/>
        <v>1862122.1358228233</v>
      </c>
    </row>
    <row r="43" spans="1:8">
      <c r="A43" s="383">
        <v>43524</v>
      </c>
      <c r="D43" s="484">
        <v>-3745264.02</v>
      </c>
      <c r="F43" s="377">
        <f>(+H42*0.0518)/365*28</f>
        <v>7399.5121802669109</v>
      </c>
      <c r="H43" s="377">
        <f t="shared" si="0"/>
        <v>-1875742.3719969098</v>
      </c>
    </row>
    <row r="44" spans="1:8">
      <c r="A44" s="383">
        <v>43555</v>
      </c>
      <c r="D44" s="484">
        <v>-1400603.7</v>
      </c>
      <c r="F44" s="377">
        <f>(+H43*0.0518)/365*31</f>
        <v>-8252.2386327469521</v>
      </c>
      <c r="H44" s="377">
        <f t="shared" si="0"/>
        <v>-3284598.3106296565</v>
      </c>
    </row>
    <row r="45" spans="1:8">
      <c r="A45" s="383">
        <v>43585</v>
      </c>
      <c r="D45" s="484">
        <v>412427.72</v>
      </c>
      <c r="F45" s="377">
        <f>(+H44*0.0545)/365*30</f>
        <v>-14713.200651724626</v>
      </c>
      <c r="H45" s="377">
        <f t="shared" si="0"/>
        <v>-2886883.7912813812</v>
      </c>
    </row>
    <row r="46" spans="1:8">
      <c r="A46" s="383">
        <v>43616</v>
      </c>
      <c r="D46" s="484">
        <v>-54642.65</v>
      </c>
      <c r="F46" s="377">
        <f>(+H45*0.0545)/365*31</f>
        <v>-13362.712781835326</v>
      </c>
      <c r="H46" s="377">
        <f t="shared" si="0"/>
        <v>-2954889.1540632164</v>
      </c>
    </row>
    <row r="47" spans="1:8">
      <c r="A47" s="383">
        <v>43646</v>
      </c>
      <c r="D47" s="484">
        <v>42807.88</v>
      </c>
      <c r="F47" s="377">
        <f>(+H46*0.0545)/365*30</f>
        <v>-13236.284292858516</v>
      </c>
      <c r="H47" s="377">
        <f>+SUM(D47:G47)+H46+0.01</f>
        <v>-2925317.5483560753</v>
      </c>
    </row>
    <row r="48" spans="1:8">
      <c r="A48" s="383">
        <v>43677</v>
      </c>
      <c r="D48" s="484">
        <v>-172084.6</v>
      </c>
      <c r="F48" s="377">
        <f>(+H47*0.055)/365*31</f>
        <v>-13664.839506704408</v>
      </c>
      <c r="H48" s="377">
        <f t="shared" si="0"/>
        <v>-3111066.9878627798</v>
      </c>
    </row>
    <row r="49" spans="1:8">
      <c r="A49" s="383">
        <v>43708</v>
      </c>
      <c r="D49" s="377">
        <v>273699.83</v>
      </c>
      <c r="F49" s="377">
        <f>(+H48*0.055)/365*31</f>
        <v>-14532.518395359011</v>
      </c>
      <c r="H49" s="377">
        <f t="shared" si="0"/>
        <v>-2851899.6762581388</v>
      </c>
    </row>
    <row r="50" spans="1:8">
      <c r="A50" s="383">
        <v>43738</v>
      </c>
      <c r="D50" s="377">
        <v>-344893.05</v>
      </c>
      <c r="F50" s="377">
        <f>(+H49*0.055)/365*30</f>
        <v>-12892.149221440901</v>
      </c>
      <c r="H50" s="377">
        <f t="shared" si="0"/>
        <v>-3209684.8754795799</v>
      </c>
    </row>
    <row r="51" spans="1:8">
      <c r="A51" s="383">
        <v>43769</v>
      </c>
      <c r="D51" s="377">
        <v>-959061.62</v>
      </c>
      <c r="F51" s="377">
        <f>(+H50*0.0542)/365*31</f>
        <v>-14775.102815837781</v>
      </c>
      <c r="H51" s="377">
        <f t="shared" si="0"/>
        <v>-4183521.5982954176</v>
      </c>
    </row>
    <row r="52" spans="1:8">
      <c r="A52" s="649" t="s">
        <v>240</v>
      </c>
      <c r="B52" s="649"/>
      <c r="C52" s="649"/>
      <c r="D52" s="649"/>
      <c r="E52" s="649"/>
      <c r="F52" s="649"/>
      <c r="G52" s="377">
        <v>-1060071.47</v>
      </c>
      <c r="H52" s="377">
        <f t="shared" si="0"/>
        <v>-5243593.0682954174</v>
      </c>
    </row>
    <row r="53" spans="1:8">
      <c r="A53" s="383">
        <v>43799</v>
      </c>
      <c r="D53" s="377">
        <v>-153107.62</v>
      </c>
      <c r="F53" s="377">
        <f>+(H52*0.0542)/365*30</f>
        <v>-23359.12966862561</v>
      </c>
      <c r="H53" s="377">
        <f t="shared" si="0"/>
        <v>-5420059.8179640425</v>
      </c>
    </row>
    <row r="54" spans="1:8">
      <c r="A54" s="383">
        <v>43830</v>
      </c>
      <c r="D54" s="377">
        <v>1034787.49</v>
      </c>
      <c r="F54" s="377">
        <f>+(H53*0.0542)/365*31</f>
        <v>-24950.094537378587</v>
      </c>
      <c r="H54" s="377">
        <f t="shared" si="0"/>
        <v>-4410222.4225014215</v>
      </c>
    </row>
    <row r="55" spans="1:8">
      <c r="A55" s="383">
        <v>43861</v>
      </c>
      <c r="D55" s="377">
        <v>500433.38</v>
      </c>
      <c r="F55" s="377">
        <f>+(H54*0.0496)/365*31</f>
        <v>-18578.515059830646</v>
      </c>
      <c r="H55" s="377">
        <f t="shared" si="0"/>
        <v>-3928367.5575612523</v>
      </c>
    </row>
    <row r="56" spans="1:8">
      <c r="A56" s="383">
        <v>43890</v>
      </c>
      <c r="D56" s="377">
        <v>-569740.23</v>
      </c>
      <c r="F56" s="377">
        <f>+(H55*0.0496)/365*29</f>
        <v>-15480.996972044124</v>
      </c>
      <c r="H56" s="377">
        <f>+SUM(D56:G56)+H55-0.01</f>
        <v>-4513588.7945332965</v>
      </c>
    </row>
    <row r="57" spans="1:8">
      <c r="A57" s="383">
        <v>43921</v>
      </c>
      <c r="D57" s="377">
        <v>-482236.64</v>
      </c>
      <c r="F57" s="377">
        <f>+(H56*0.0496)/365*31</f>
        <v>-19013.95652184766</v>
      </c>
      <c r="H57" s="377">
        <f t="shared" si="0"/>
        <v>-5014839.3910551444</v>
      </c>
    </row>
    <row r="58" spans="1:8">
      <c r="A58" s="383">
        <v>43951</v>
      </c>
      <c r="D58" s="377">
        <v>1019179.98</v>
      </c>
      <c r="F58" s="377">
        <f>+(H57*0.0475)/365*30</f>
        <v>-19578.4825541194</v>
      </c>
      <c r="H58" s="377">
        <f t="shared" si="0"/>
        <v>-4015237.8936092639</v>
      </c>
    </row>
    <row r="59" spans="1:8">
      <c r="A59" s="383">
        <v>43982</v>
      </c>
      <c r="D59" s="377">
        <v>375263.28</v>
      </c>
      <c r="F59" s="377">
        <f>+(H58*0.0475)/365*31</f>
        <v>-16198.459721478468</v>
      </c>
      <c r="H59" s="377">
        <f t="shared" si="0"/>
        <v>-3656173.0733307423</v>
      </c>
    </row>
    <row r="60" spans="1:8">
      <c r="A60" s="383">
        <v>44012</v>
      </c>
      <c r="D60" s="377">
        <v>182095.13</v>
      </c>
      <c r="F60" s="377">
        <f>+(H59*0.0475)/365*30</f>
        <v>-14274.100354784405</v>
      </c>
      <c r="H60" s="377">
        <f t="shared" si="0"/>
        <v>-3488352.0436855266</v>
      </c>
    </row>
    <row r="61" spans="1:8">
      <c r="A61" s="383">
        <v>44043</v>
      </c>
      <c r="D61" s="377">
        <v>-205920.71</v>
      </c>
      <c r="F61" s="377">
        <f>+(H60*0.0343)/365*31</f>
        <v>-10162.095145344712</v>
      </c>
      <c r="H61" s="377">
        <f>+SUM(D61:G61)+H60</f>
        <v>-3704434.8488308713</v>
      </c>
    </row>
    <row r="62" spans="1:8">
      <c r="A62" s="383">
        <v>44074</v>
      </c>
      <c r="D62" s="377">
        <v>-906718.23</v>
      </c>
      <c r="F62" s="377">
        <f>+(H61*0.0343)/365*31</f>
        <v>-10791.576917155797</v>
      </c>
      <c r="H62" s="377">
        <f t="shared" ref="H62:H79" si="1">+SUM(D62:G62)+H61</f>
        <v>-4621944.6557480274</v>
      </c>
    </row>
    <row r="63" spans="1:8">
      <c r="A63" s="383">
        <v>44104</v>
      </c>
      <c r="D63" s="377">
        <v>430261.08</v>
      </c>
      <c r="F63" s="377">
        <f>+(H62*0.0343)/365*30</f>
        <v>-13030.085070588275</v>
      </c>
      <c r="H63" s="377">
        <f>+SUM(D63:G63)+H62-0.01</f>
        <v>-4204713.6708186157</v>
      </c>
    </row>
    <row r="64" spans="1:8">
      <c r="A64" s="383">
        <v>44135</v>
      </c>
      <c r="D64" s="377">
        <v>329062.48</v>
      </c>
      <c r="F64" s="377">
        <f>+(H63*0.0325)/365*31</f>
        <v>-11606.161707807551</v>
      </c>
      <c r="H64" s="377">
        <f t="shared" si="1"/>
        <v>-3887257.3525264235</v>
      </c>
    </row>
    <row r="65" spans="1:8">
      <c r="A65" s="383"/>
      <c r="E65" s="377" t="s">
        <v>240</v>
      </c>
      <c r="G65" s="377">
        <v>4569822.54</v>
      </c>
      <c r="H65" s="377">
        <f t="shared" si="1"/>
        <v>682565.18747357652</v>
      </c>
    </row>
    <row r="66" spans="1:8">
      <c r="A66" s="383">
        <v>44165</v>
      </c>
      <c r="D66" s="377">
        <v>951120.65</v>
      </c>
      <c r="F66" s="377">
        <f>+(H65*0.0325)/365*30</f>
        <v>1823.2905692787319</v>
      </c>
      <c r="H66" s="377">
        <f t="shared" si="1"/>
        <v>1635509.1280428553</v>
      </c>
    </row>
    <row r="67" spans="1:8">
      <c r="A67" s="383">
        <v>44196</v>
      </c>
      <c r="D67" s="377">
        <v>1681193.77</v>
      </c>
      <c r="F67" s="377">
        <f t="shared" ref="F67:F72" si="2">+(H66*0.0325)/365*31</f>
        <v>4514.4532780908958</v>
      </c>
      <c r="H67" s="377">
        <f t="shared" si="1"/>
        <v>3321217.3513209461</v>
      </c>
    </row>
    <row r="68" spans="1:8">
      <c r="A68" s="383">
        <v>44227</v>
      </c>
      <c r="D68" s="377">
        <v>2111092.09</v>
      </c>
      <c r="F68" s="377">
        <f t="shared" si="2"/>
        <v>9167.4698122078171</v>
      </c>
      <c r="H68" s="377">
        <f t="shared" si="1"/>
        <v>5441476.9111331534</v>
      </c>
    </row>
    <row r="69" spans="1:8">
      <c r="A69" s="383">
        <v>44255</v>
      </c>
      <c r="D69" s="377">
        <v>-427092.64</v>
      </c>
      <c r="F69" s="377">
        <f>+(H68*0.0325)/365*28</f>
        <v>13566.421888030602</v>
      </c>
      <c r="H69" s="377">
        <f t="shared" si="1"/>
        <v>5027950.6930211838</v>
      </c>
    </row>
    <row r="70" spans="1:8">
      <c r="A70" s="383">
        <v>44286</v>
      </c>
      <c r="D70" s="377">
        <v>-162132.76999999999</v>
      </c>
      <c r="F70" s="377">
        <f t="shared" si="2"/>
        <v>13878.52143347628</v>
      </c>
      <c r="H70" s="377">
        <f t="shared" si="1"/>
        <v>4879696.4444546597</v>
      </c>
    </row>
    <row r="71" spans="1:8">
      <c r="A71" s="383">
        <v>44316</v>
      </c>
      <c r="D71" s="377">
        <v>962312.97</v>
      </c>
      <c r="F71" s="377">
        <f>+(H70*0.0325)/365*30</f>
        <v>13034.805570803544</v>
      </c>
      <c r="H71" s="377">
        <f t="shared" si="1"/>
        <v>5855044.220025463</v>
      </c>
    </row>
    <row r="72" spans="1:8">
      <c r="A72" s="383">
        <v>44347</v>
      </c>
      <c r="D72" s="377">
        <v>257692.88</v>
      </c>
      <c r="F72" s="377">
        <f t="shared" si="2"/>
        <v>16161.526168974395</v>
      </c>
      <c r="H72" s="377">
        <f t="shared" si="1"/>
        <v>6128898.626194437</v>
      </c>
    </row>
    <row r="73" spans="1:8">
      <c r="A73" s="383">
        <v>44377</v>
      </c>
      <c r="D73" s="377">
        <v>490428.96</v>
      </c>
      <c r="F73" s="377">
        <f>+(H72*0.0325)/365*30</f>
        <v>16371.715508327608</v>
      </c>
      <c r="H73" s="377">
        <f>+SUM(D73:G73)+H72+0.01</f>
        <v>6635699.3117027646</v>
      </c>
    </row>
    <row r="74" spans="1:8">
      <c r="A74" s="383">
        <v>44408</v>
      </c>
      <c r="D74" s="377">
        <v>-355005.49</v>
      </c>
      <c r="F74" s="377">
        <f>+(H73*0.0325)/365*31</f>
        <v>18316.348100111056</v>
      </c>
      <c r="H74" s="377">
        <f t="shared" si="1"/>
        <v>6299010.1698028753</v>
      </c>
    </row>
    <row r="75" spans="1:8">
      <c r="A75" s="383">
        <v>44439</v>
      </c>
      <c r="D75" s="377">
        <v>264387.98</v>
      </c>
      <c r="F75" s="377">
        <f t="shared" ref="F75:F77" si="3">+(H74*0.0325)/365*31</f>
        <v>17386.99382486684</v>
      </c>
      <c r="H75" s="377">
        <f t="shared" si="1"/>
        <v>6580785.1436277423</v>
      </c>
    </row>
    <row r="76" spans="1:8">
      <c r="A76" s="383">
        <v>44469</v>
      </c>
      <c r="D76" s="377">
        <v>60005.87</v>
      </c>
      <c r="F76" s="377">
        <f>+(H75*0.0325)/365*30</f>
        <v>17578.809630238491</v>
      </c>
      <c r="H76" s="377">
        <f t="shared" si="1"/>
        <v>6658369.8232579809</v>
      </c>
    </row>
    <row r="77" spans="1:8">
      <c r="A77" s="383">
        <v>44500</v>
      </c>
      <c r="D77" s="377">
        <v>302573.07</v>
      </c>
      <c r="F77" s="377">
        <f t="shared" si="3"/>
        <v>18378.924923102513</v>
      </c>
      <c r="H77" s="377">
        <f>+SUM(D77:G77)+H76-0.01</f>
        <v>6979321.8081810838</v>
      </c>
    </row>
    <row r="78" spans="1:8">
      <c r="A78" s="383"/>
      <c r="E78" s="377" t="s">
        <v>240</v>
      </c>
      <c r="G78" s="567">
        <v>-3412220.59</v>
      </c>
      <c r="H78" s="377">
        <f t="shared" si="1"/>
        <v>3567101.2181810839</v>
      </c>
    </row>
    <row r="79" spans="1:8">
      <c r="A79" s="383">
        <v>44530</v>
      </c>
      <c r="D79" s="377">
        <v>1239027.97</v>
      </c>
      <c r="F79" s="377">
        <f>+(H78*0.0325)/365*30</f>
        <v>9528.5580485659084</v>
      </c>
      <c r="H79" s="377">
        <f t="shared" si="1"/>
        <v>4815657.7462296495</v>
      </c>
    </row>
    <row r="80" spans="1:8">
      <c r="A80" s="383">
        <v>44561</v>
      </c>
      <c r="D80" s="377">
        <v>-663358.15</v>
      </c>
      <c r="F80" s="377">
        <f>+(H79*0.0325)/365*31</f>
        <v>13292.534737880469</v>
      </c>
      <c r="H80" s="377">
        <f>+SUM(D80:G80)+H79</f>
        <v>4165592.13096753</v>
      </c>
    </row>
  </sheetData>
  <mergeCells count="19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A52:F52"/>
    <mergeCell ref="C7:H7"/>
    <mergeCell ref="D9:F9"/>
    <mergeCell ref="A11:G11"/>
    <mergeCell ref="A26:F26"/>
    <mergeCell ref="B39:F39"/>
    <mergeCell ref="A7:B7"/>
  </mergeCells>
  <pageMargins left="0.5" right="0.25" top="0.5" bottom="0.75" header="0.5" footer="0.5"/>
  <pageSetup scale="70" orientation="portrait" r:id="rId1"/>
  <headerFooter alignWithMargins="0">
    <oddFooter>&amp;L&amp;"-,Bold"&amp;10Cascade Natural Gas Corporation&amp;C&amp;"-,Bold"&amp;10Washington Deferral Accounts&amp;R&amp;"-,Bold"&amp;10Rev &amp; Oth Adj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V36"/>
  <sheetViews>
    <sheetView view="pageBreakPreview" zoomScale="82" zoomScaleNormal="100" zoomScaleSheetLayoutView="82" workbookViewId="0">
      <selection activeCell="J11" sqref="J11"/>
    </sheetView>
  </sheetViews>
  <sheetFormatPr defaultColWidth="9.83203125" defaultRowHeight="15" customHeight="1"/>
  <cols>
    <col min="1" max="1" width="5.5" style="308" bestFit="1" customWidth="1"/>
    <col min="2" max="2" width="18" style="319" bestFit="1" customWidth="1"/>
    <col min="3" max="3" width="22" style="319" customWidth="1"/>
    <col min="4" max="4" width="20.6640625" style="319" bestFit="1" customWidth="1"/>
    <col min="5" max="5" width="22.33203125" style="319" customWidth="1"/>
    <col min="6" max="6" width="19.6640625" style="319" bestFit="1" customWidth="1"/>
    <col min="7" max="7" width="17.33203125" style="319" bestFit="1" customWidth="1"/>
    <col min="8" max="9" width="18" style="319" bestFit="1" customWidth="1"/>
    <col min="10" max="10" width="19" style="319" bestFit="1" customWidth="1"/>
    <col min="11" max="11" width="18" style="319" bestFit="1" customWidth="1"/>
    <col min="12" max="12" width="10.33203125" style="319" bestFit="1" customWidth="1"/>
    <col min="13" max="13" width="2.33203125" style="319" customWidth="1"/>
    <col min="14" max="14" width="37.1640625" style="319" bestFit="1" customWidth="1"/>
    <col min="15" max="15" width="11.1640625" style="319" customWidth="1"/>
    <col min="16" max="16" width="13" style="319" customWidth="1"/>
    <col min="17" max="16384" width="9.83203125" style="319"/>
  </cols>
  <sheetData>
    <row r="1" spans="1:22" ht="15" customHeight="1">
      <c r="D1" s="613" t="s">
        <v>33</v>
      </c>
      <c r="E1" s="613"/>
      <c r="F1" s="613"/>
      <c r="G1" s="613"/>
      <c r="H1" s="613"/>
      <c r="I1" s="613"/>
      <c r="J1" s="613"/>
      <c r="K1" s="613"/>
      <c r="L1" s="613"/>
      <c r="M1" s="613"/>
      <c r="N1" s="507" t="s">
        <v>338</v>
      </c>
    </row>
    <row r="2" spans="1:22" ht="15" customHeight="1">
      <c r="A2" s="327"/>
      <c r="D2" s="614" t="s">
        <v>190</v>
      </c>
      <c r="E2" s="614"/>
      <c r="F2" s="614"/>
      <c r="G2" s="614"/>
      <c r="H2" s="614"/>
      <c r="I2" s="614"/>
      <c r="J2" s="614"/>
      <c r="K2" s="614"/>
      <c r="L2" s="614"/>
      <c r="M2" s="614"/>
      <c r="N2" s="508" t="s">
        <v>191</v>
      </c>
    </row>
    <row r="3" spans="1:22" ht="15" customHeight="1">
      <c r="D3" s="613" t="s">
        <v>35</v>
      </c>
      <c r="E3" s="613"/>
      <c r="F3" s="613"/>
      <c r="G3" s="613"/>
      <c r="H3" s="613"/>
      <c r="I3" s="613"/>
      <c r="J3" s="613"/>
      <c r="K3" s="613"/>
      <c r="L3" s="613"/>
      <c r="M3" s="613"/>
      <c r="N3" s="508" t="s">
        <v>363</v>
      </c>
    </row>
    <row r="4" spans="1:22" ht="15" customHeight="1">
      <c r="D4" s="615" t="s">
        <v>197</v>
      </c>
      <c r="E4" s="615"/>
      <c r="F4" s="615"/>
      <c r="G4" s="615"/>
      <c r="H4" s="615"/>
      <c r="I4" s="615"/>
      <c r="J4" s="615"/>
      <c r="K4" s="615"/>
      <c r="L4" s="615"/>
      <c r="M4" s="329"/>
      <c r="N4" s="388"/>
    </row>
    <row r="5" spans="1:22" s="308" customFormat="1" ht="15" customHeight="1">
      <c r="D5" s="307"/>
      <c r="G5" s="612"/>
      <c r="H5" s="612"/>
      <c r="I5" s="612"/>
      <c r="J5" s="612"/>
      <c r="K5" s="612"/>
      <c r="N5" s="307"/>
    </row>
    <row r="6" spans="1:22" s="308" customFormat="1" ht="15.75" thickBot="1">
      <c r="F6" s="309"/>
      <c r="G6" s="384"/>
      <c r="H6" s="384"/>
      <c r="I6" s="384"/>
      <c r="J6" s="384"/>
      <c r="K6" s="384"/>
      <c r="L6" s="307"/>
      <c r="M6" s="307"/>
    </row>
    <row r="7" spans="1:22" s="308" customFormat="1" ht="60">
      <c r="A7" s="312" t="s">
        <v>129</v>
      </c>
      <c r="B7" s="312" t="s">
        <v>250</v>
      </c>
      <c r="C7" s="309" t="s">
        <v>339</v>
      </c>
      <c r="D7" s="309" t="s">
        <v>353</v>
      </c>
      <c r="E7" s="311" t="s">
        <v>130</v>
      </c>
      <c r="F7" s="310" t="s">
        <v>7</v>
      </c>
      <c r="G7" s="393">
        <v>503</v>
      </c>
      <c r="H7" s="394">
        <v>504</v>
      </c>
      <c r="I7" s="394">
        <v>505</v>
      </c>
      <c r="J7" s="394">
        <v>511</v>
      </c>
      <c r="K7" s="395">
        <v>570</v>
      </c>
      <c r="L7" s="313" t="s">
        <v>131</v>
      </c>
      <c r="M7" s="310"/>
      <c r="N7" s="310"/>
    </row>
    <row r="8" spans="1:22" ht="15" customHeight="1">
      <c r="A8" s="328"/>
      <c r="B8" s="314" t="s">
        <v>9</v>
      </c>
      <c r="C8" s="314" t="s">
        <v>10</v>
      </c>
      <c r="D8" s="314" t="s">
        <v>11</v>
      </c>
      <c r="E8" s="314" t="s">
        <v>12</v>
      </c>
      <c r="F8" s="314" t="s">
        <v>202</v>
      </c>
      <c r="G8" s="396" t="s">
        <v>357</v>
      </c>
      <c r="H8" s="314" t="s">
        <v>49</v>
      </c>
      <c r="I8" s="314" t="s">
        <v>50</v>
      </c>
      <c r="J8" s="314" t="s">
        <v>51</v>
      </c>
      <c r="K8" s="397" t="s">
        <v>14</v>
      </c>
      <c r="L8" s="314" t="s">
        <v>358</v>
      </c>
      <c r="M8" s="314"/>
      <c r="N8" s="314"/>
    </row>
    <row r="9" spans="1:22" ht="15" customHeight="1">
      <c r="B9" s="325"/>
      <c r="C9" s="310"/>
      <c r="D9" s="315"/>
      <c r="E9" s="310"/>
      <c r="F9" s="310"/>
      <c r="G9" s="398">
        <f>+'Test Period Volumes'!C34</f>
        <v>131993811.11343679</v>
      </c>
      <c r="H9" s="321">
        <f>+'Test Period Volumes'!D34</f>
        <v>93567596.866792873</v>
      </c>
      <c r="I9" s="321">
        <f>+'Test Period Volumes'!E34</f>
        <v>12906567.97753373</v>
      </c>
      <c r="J9" s="321">
        <f>+'Test Period Volumes'!F34</f>
        <v>15549500.235253498</v>
      </c>
      <c r="K9" s="399">
        <f>+'Test Period Volumes'!G34</f>
        <v>2331720.8069831203</v>
      </c>
      <c r="L9" s="310"/>
      <c r="M9" s="310"/>
      <c r="N9" s="310"/>
    </row>
    <row r="10" spans="1:22" ht="15" customHeight="1">
      <c r="B10" s="325"/>
      <c r="C10" s="310"/>
      <c r="D10" s="315"/>
      <c r="E10" s="310"/>
      <c r="F10" s="310"/>
      <c r="G10" s="400"/>
      <c r="H10" s="316"/>
      <c r="I10" s="316"/>
      <c r="J10" s="316"/>
      <c r="K10" s="401"/>
      <c r="L10" s="310"/>
      <c r="M10" s="310"/>
      <c r="N10" s="310"/>
    </row>
    <row r="11" spans="1:22" ht="15" customHeight="1">
      <c r="A11" s="307"/>
      <c r="B11" s="509"/>
      <c r="C11" s="326"/>
      <c r="D11" s="317"/>
      <c r="E11" s="510"/>
      <c r="F11" s="317"/>
      <c r="G11" s="402"/>
      <c r="H11" s="318"/>
      <c r="I11" s="318"/>
      <c r="J11" s="318"/>
      <c r="K11" s="403"/>
      <c r="L11" s="307"/>
    </row>
    <row r="12" spans="1:22" ht="15" customHeight="1">
      <c r="A12" s="307">
        <v>1</v>
      </c>
      <c r="B12" s="511">
        <v>503</v>
      </c>
      <c r="C12" s="326">
        <f>+'Balances at 12-31-2021'!D13+'Balances at 12-31-2021'!D18</f>
        <v>3602555.2404999966</v>
      </c>
      <c r="D12" s="317">
        <f>+EstimatedBalances!O10+EstimatedBalances!O15</f>
        <v>-1123879.8462946974</v>
      </c>
      <c r="E12" s="510">
        <f>+'Int during Amort'!S21</f>
        <v>35081.90365722651</v>
      </c>
      <c r="F12" s="317">
        <f>SUM(C12:E12)</f>
        <v>2513757.2978625256</v>
      </c>
      <c r="G12" s="516">
        <f>ROUND(F12/G9,6)</f>
        <v>1.9044999999999999E-2</v>
      </c>
      <c r="H12" s="515"/>
      <c r="I12" s="515"/>
      <c r="J12" s="515"/>
      <c r="K12" s="517"/>
      <c r="L12" s="307" t="s">
        <v>15</v>
      </c>
      <c r="M12" s="307"/>
      <c r="N12" s="385" t="s">
        <v>197</v>
      </c>
      <c r="O12" s="385"/>
      <c r="P12" s="385"/>
      <c r="Q12" s="385"/>
      <c r="R12" s="385"/>
      <c r="S12" s="385"/>
      <c r="T12" s="385"/>
      <c r="U12" s="385"/>
      <c r="V12" s="385"/>
    </row>
    <row r="13" spans="1:22" ht="15" customHeight="1">
      <c r="A13" s="307">
        <v>2</v>
      </c>
      <c r="B13" s="511">
        <v>504</v>
      </c>
      <c r="C13" s="326">
        <f>+'Balances at 12-31-2021'!D14+'Balances at 12-31-2021'!D19</f>
        <v>3956095.8110700026</v>
      </c>
      <c r="D13" s="317">
        <f>+EstimatedBalances!O11+EstimatedBalances!O16</f>
        <v>-151848.46584173106</v>
      </c>
      <c r="E13" s="510">
        <f>+'Int during Amort'!S22</f>
        <v>56670.161841244379</v>
      </c>
      <c r="F13" s="317">
        <f>SUM(C13:E13)</f>
        <v>3860917.507069516</v>
      </c>
      <c r="G13" s="404"/>
      <c r="H13" s="365">
        <f>ROUND(F13/H9,6)</f>
        <v>4.1263000000000001E-2</v>
      </c>
      <c r="I13" s="330"/>
      <c r="J13" s="330"/>
      <c r="K13" s="405"/>
      <c r="L13" s="307" t="s">
        <v>15</v>
      </c>
      <c r="M13" s="307"/>
      <c r="N13" s="385" t="s">
        <v>197</v>
      </c>
    </row>
    <row r="14" spans="1:22" ht="15" customHeight="1">
      <c r="A14" s="307">
        <v>3</v>
      </c>
      <c r="B14" s="511">
        <v>505</v>
      </c>
      <c r="C14" s="326">
        <f>+'Balances at 12-31-2021'!D15+'Balances at 12-31-2021'!D20</f>
        <v>277159.91007999994</v>
      </c>
      <c r="D14" s="317">
        <f>+EstimatedBalances!O12+EstimatedBalances!O17</f>
        <v>-79823.616361603548</v>
      </c>
      <c r="E14" s="510">
        <f>+'Int during Amort'!S23</f>
        <v>3499.1421560684744</v>
      </c>
      <c r="F14" s="317">
        <f>SUM(C14:E14)</f>
        <v>200835.43587446486</v>
      </c>
      <c r="G14" s="404"/>
      <c r="H14" s="330"/>
      <c r="I14" s="365">
        <f>ROUND(F14/I9,6)</f>
        <v>1.5561E-2</v>
      </c>
      <c r="J14" s="330"/>
      <c r="K14" s="405"/>
      <c r="L14" s="307" t="s">
        <v>15</v>
      </c>
      <c r="M14" s="307"/>
      <c r="N14" s="385" t="s">
        <v>197</v>
      </c>
    </row>
    <row r="15" spans="1:22" ht="15" customHeight="1">
      <c r="A15" s="307">
        <v>4</v>
      </c>
      <c r="B15" s="512">
        <v>511</v>
      </c>
      <c r="C15" s="326">
        <f>+'Balances at 12-31-2021'!D16+'Balances at 12-31-2021'!D21</f>
        <v>-716794.1002300001</v>
      </c>
      <c r="D15" s="317">
        <f>+EstimatedBalances!O13+EstimatedBalances!O18</f>
        <v>703780.0537917607</v>
      </c>
      <c r="E15" s="510">
        <f>+'Int during Amort'!S24</f>
        <v>-209.24242590290785</v>
      </c>
      <c r="F15" s="317">
        <f>SUM(C15:E15)</f>
        <v>-13223.288864142307</v>
      </c>
      <c r="G15" s="404"/>
      <c r="H15" s="330"/>
      <c r="I15" s="330"/>
      <c r="J15" s="365">
        <f>ROUND(F15/J9,6)</f>
        <v>-8.4999999999999995E-4</v>
      </c>
      <c r="K15" s="405"/>
      <c r="L15" s="307" t="s">
        <v>15</v>
      </c>
      <c r="M15" s="307"/>
      <c r="N15" s="385" t="s">
        <v>197</v>
      </c>
    </row>
    <row r="16" spans="1:22" ht="15" customHeight="1">
      <c r="A16" s="307">
        <v>5</v>
      </c>
      <c r="B16" s="512">
        <v>570</v>
      </c>
      <c r="C16" s="326">
        <f>+'Balances at 12-31-2021'!D17+'Balances at 12-31-2021'!D22</f>
        <v>-8172.4683799999966</v>
      </c>
      <c r="D16" s="317">
        <f>+EstimatedBalances!O14+EstimatedBalances!O19</f>
        <v>-5591.3026063413254</v>
      </c>
      <c r="E16" s="510">
        <f>+'Int during Amort'!S25</f>
        <v>-236.29991138422193</v>
      </c>
      <c r="F16" s="317">
        <f>SUM(C16:E16)</f>
        <v>-14000.070897725544</v>
      </c>
      <c r="G16" s="404"/>
      <c r="H16" s="330"/>
      <c r="I16" s="330"/>
      <c r="J16" s="330"/>
      <c r="K16" s="406">
        <f>ROUND(F16/K9,6)</f>
        <v>-6.0039999999999998E-3</v>
      </c>
      <c r="L16" s="307" t="s">
        <v>15</v>
      </c>
      <c r="M16" s="307"/>
      <c r="N16" s="385" t="s">
        <v>197</v>
      </c>
    </row>
    <row r="17" spans="1:14" ht="15" customHeight="1">
      <c r="A17" s="307"/>
      <c r="B17" s="512"/>
      <c r="C17" s="326"/>
      <c r="D17" s="317"/>
      <c r="E17" s="510"/>
      <c r="F17" s="317"/>
      <c r="G17" s="404"/>
      <c r="H17" s="330"/>
      <c r="I17" s="330"/>
      <c r="J17" s="330"/>
      <c r="K17" s="405"/>
      <c r="L17" s="307"/>
      <c r="M17" s="307"/>
      <c r="N17" s="513"/>
    </row>
    <row r="18" spans="1:14" ht="15" customHeight="1">
      <c r="A18" s="307"/>
      <c r="B18" s="307"/>
      <c r="C18" s="520"/>
      <c r="D18" s="317"/>
      <c r="E18" s="317"/>
      <c r="F18" s="320"/>
      <c r="G18" s="407"/>
      <c r="H18" s="322"/>
      <c r="I18" s="322"/>
      <c r="J18" s="322"/>
      <c r="K18" s="408"/>
      <c r="L18" s="307"/>
      <c r="M18" s="307"/>
      <c r="N18" s="513"/>
    </row>
    <row r="19" spans="1:14" ht="22.5" customHeight="1" thickBot="1">
      <c r="A19" s="307">
        <v>6</v>
      </c>
      <c r="B19" s="514" t="s">
        <v>198</v>
      </c>
      <c r="C19" s="323">
        <f>SUM(C11:C18)</f>
        <v>7110844.3930399986</v>
      </c>
      <c r="D19" s="323">
        <f>SUM(D11:D18)</f>
        <v>-657363.17731261265</v>
      </c>
      <c r="E19" s="323">
        <f>SUM(E11:E18)</f>
        <v>94805.66531725222</v>
      </c>
      <c r="F19" s="323">
        <f>SUM(F11:F18)</f>
        <v>6548286.8810446383</v>
      </c>
      <c r="G19" s="409">
        <f>+G12</f>
        <v>1.9044999999999999E-2</v>
      </c>
      <c r="H19" s="366">
        <f>+H13</f>
        <v>4.1263000000000001E-2</v>
      </c>
      <c r="I19" s="366">
        <f>+I14</f>
        <v>1.5561E-2</v>
      </c>
      <c r="J19" s="366">
        <f>+J15</f>
        <v>-8.4999999999999995E-4</v>
      </c>
      <c r="K19" s="410">
        <f>+K16</f>
        <v>-6.0039999999999998E-3</v>
      </c>
    </row>
    <row r="20" spans="1:14" ht="5.25" customHeight="1" thickBot="1">
      <c r="A20" s="307"/>
      <c r="G20" s="411"/>
      <c r="H20" s="324"/>
      <c r="I20" s="324"/>
      <c r="J20" s="324"/>
      <c r="K20" s="412"/>
    </row>
    <row r="21" spans="1:14" ht="15" customHeight="1">
      <c r="A21" s="307">
        <v>7</v>
      </c>
      <c r="E21" s="319" t="s">
        <v>285</v>
      </c>
      <c r="G21" s="518">
        <f>+'Earnings Test and 3% Test'!F48</f>
        <v>0</v>
      </c>
      <c r="H21" s="518">
        <f>+'Earnings Test and 3% Test'!G48</f>
        <v>-4.7600000000000003E-3</v>
      </c>
      <c r="I21" s="518">
        <f>+'Earnings Test and 3% Test'!H48</f>
        <v>0</v>
      </c>
      <c r="J21" s="518">
        <f>+'Earnings Test and 3% Test'!I48</f>
        <v>-2.802E-2</v>
      </c>
      <c r="K21" s="518">
        <f>+'Earnings Test and 3% Test'!J48</f>
        <v>0</v>
      </c>
    </row>
    <row r="22" spans="1:14" ht="15" customHeight="1">
      <c r="A22" s="308">
        <v>8</v>
      </c>
      <c r="E22" s="319" t="s">
        <v>288</v>
      </c>
      <c r="G22" s="519">
        <f>+G19+G21</f>
        <v>1.9044999999999999E-2</v>
      </c>
      <c r="H22" s="519">
        <f t="shared" ref="H22:K22" si="0">+H19+H21</f>
        <v>3.6503000000000001E-2</v>
      </c>
      <c r="I22" s="519">
        <f t="shared" si="0"/>
        <v>1.5561E-2</v>
      </c>
      <c r="J22" s="519">
        <f t="shared" si="0"/>
        <v>-2.887E-2</v>
      </c>
      <c r="K22" s="519">
        <f t="shared" si="0"/>
        <v>-6.0039999999999998E-3</v>
      </c>
    </row>
    <row r="23" spans="1:14" ht="15" customHeight="1">
      <c r="B23" s="308" t="s">
        <v>286</v>
      </c>
    </row>
    <row r="24" spans="1:14" ht="15" customHeight="1">
      <c r="A24" s="307">
        <v>9</v>
      </c>
      <c r="B24" s="506" t="s">
        <v>289</v>
      </c>
      <c r="C24" s="319" t="s">
        <v>287</v>
      </c>
    </row>
    <row r="26" spans="1:14" ht="15" customHeight="1">
      <c r="F26" s="515"/>
    </row>
    <row r="27" spans="1:14" ht="15" customHeight="1">
      <c r="A27" s="307"/>
    </row>
    <row r="30" spans="1:14" ht="15" customHeight="1">
      <c r="A30" s="307"/>
    </row>
    <row r="32" spans="1:14" ht="15" customHeight="1">
      <c r="A32" s="307"/>
    </row>
    <row r="34" spans="1:1" ht="15" customHeight="1">
      <c r="A34" s="307"/>
    </row>
    <row r="35" spans="1:1" ht="15" customHeight="1">
      <c r="A35" s="307"/>
    </row>
    <row r="36" spans="1:1" ht="15" customHeight="1">
      <c r="A36" s="307"/>
    </row>
  </sheetData>
  <mergeCells count="5">
    <mergeCell ref="G5:K5"/>
    <mergeCell ref="D1:M1"/>
    <mergeCell ref="D3:M3"/>
    <mergeCell ref="D2:M2"/>
    <mergeCell ref="D4:L4"/>
  </mergeCells>
  <phoneticPr fontId="31" type="noConversion"/>
  <printOptions horizontalCentered="1"/>
  <pageMargins left="0.2" right="0.2" top="1" bottom="0.17" header="0.35" footer="0.5"/>
  <pageSetup scale="69" orientation="landscape" r:id="rId1"/>
  <headerFooter alignWithMargins="0">
    <oddFooter>&amp;LTab Name: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40E2-33D2-4134-ADC4-5976CD900C54}">
  <sheetPr>
    <pageSetUpPr fitToPage="1"/>
  </sheetPr>
  <dimension ref="A1:L66"/>
  <sheetViews>
    <sheetView view="pageBreakPreview" topLeftCell="A41" zoomScale="115" zoomScaleNormal="100" zoomScaleSheetLayoutView="115" workbookViewId="0">
      <selection sqref="A1:XFD1048576"/>
    </sheetView>
  </sheetViews>
  <sheetFormatPr defaultColWidth="13.33203125" defaultRowHeight="12.75"/>
  <cols>
    <col min="1" max="2" width="13.33203125" style="377"/>
    <col min="3" max="3" width="15.1640625" style="377" customWidth="1"/>
    <col min="4" max="4" width="13.33203125" style="377"/>
    <col min="5" max="5" width="15.33203125" style="377" customWidth="1"/>
    <col min="6" max="6" width="13.33203125" style="377"/>
    <col min="7" max="7" width="19.6640625" style="377" customWidth="1"/>
    <col min="8" max="8" width="17.5" style="377" customWidth="1"/>
    <col min="9" max="9" width="22.6640625" style="377" bestFit="1" customWidth="1"/>
    <col min="10" max="10" width="24.33203125" style="377" bestFit="1" customWidth="1"/>
    <col min="11" max="11" width="13.5" style="433" bestFit="1" customWidth="1"/>
    <col min="12" max="12" width="15.5" style="377" bestFit="1" customWidth="1"/>
    <col min="13" max="16384" width="13.33203125" style="377"/>
  </cols>
  <sheetData>
    <row r="1" spans="1:12">
      <c r="A1" s="657" t="s">
        <v>223</v>
      </c>
      <c r="B1" s="658"/>
      <c r="C1" s="670" t="s">
        <v>224</v>
      </c>
      <c r="D1" s="670"/>
      <c r="E1" s="670"/>
      <c r="F1" s="670"/>
      <c r="G1" s="670"/>
      <c r="H1" s="671"/>
      <c r="I1" s="432"/>
    </row>
    <row r="2" spans="1:12">
      <c r="A2" s="661" t="s">
        <v>225</v>
      </c>
      <c r="B2" s="662"/>
      <c r="C2" s="672" t="s">
        <v>178</v>
      </c>
      <c r="D2" s="672"/>
      <c r="E2" s="672"/>
      <c r="F2" s="672"/>
      <c r="G2" s="672"/>
      <c r="H2" s="673"/>
      <c r="I2" s="432"/>
    </row>
    <row r="3" spans="1:12">
      <c r="A3" s="661" t="s">
        <v>226</v>
      </c>
      <c r="B3" s="662"/>
      <c r="C3" s="672" t="s">
        <v>241</v>
      </c>
      <c r="D3" s="672"/>
      <c r="E3" s="672"/>
      <c r="F3" s="672"/>
      <c r="G3" s="672"/>
      <c r="H3" s="673"/>
      <c r="I3" s="432"/>
    </row>
    <row r="4" spans="1:12">
      <c r="A4" s="661" t="s">
        <v>228</v>
      </c>
      <c r="B4" s="662"/>
      <c r="C4" s="672" t="s">
        <v>23</v>
      </c>
      <c r="D4" s="672"/>
      <c r="E4" s="672"/>
      <c r="F4" s="672"/>
      <c r="G4" s="672"/>
      <c r="H4" s="673"/>
      <c r="I4" s="432"/>
    </row>
    <row r="5" spans="1:12">
      <c r="A5" s="661" t="s">
        <v>229</v>
      </c>
      <c r="B5" s="662"/>
      <c r="C5" s="672"/>
      <c r="D5" s="672"/>
      <c r="E5" s="672"/>
      <c r="F5" s="672"/>
      <c r="G5" s="672"/>
      <c r="H5" s="673"/>
      <c r="I5" s="432"/>
    </row>
    <row r="6" spans="1:12">
      <c r="A6" s="661" t="s">
        <v>230</v>
      </c>
      <c r="B6" s="662"/>
      <c r="C6" s="672" t="s">
        <v>265</v>
      </c>
      <c r="D6" s="672"/>
      <c r="E6" s="672"/>
      <c r="F6" s="672"/>
      <c r="G6" s="672"/>
      <c r="H6" s="673"/>
      <c r="I6" s="432"/>
    </row>
    <row r="7" spans="1:12" ht="13.5" thickBot="1">
      <c r="A7" s="655" t="s">
        <v>232</v>
      </c>
      <c r="B7" s="656"/>
      <c r="C7" s="666" t="s">
        <v>252</v>
      </c>
      <c r="D7" s="666"/>
      <c r="E7" s="666"/>
      <c r="F7" s="666"/>
      <c r="G7" s="666"/>
      <c r="H7" s="667"/>
      <c r="I7" s="434"/>
    </row>
    <row r="8" spans="1:12">
      <c r="A8" s="437"/>
      <c r="D8" s="652" t="s">
        <v>234</v>
      </c>
      <c r="E8" s="652"/>
      <c r="F8" s="652"/>
    </row>
    <row r="9" spans="1:12" s="439" customFormat="1">
      <c r="A9" s="431" t="s">
        <v>235</v>
      </c>
      <c r="B9" s="431" t="s">
        <v>32</v>
      </c>
      <c r="C9" s="431" t="s">
        <v>236</v>
      </c>
      <c r="D9" s="431" t="s">
        <v>4</v>
      </c>
      <c r="E9" s="431" t="s">
        <v>221</v>
      </c>
      <c r="F9" s="431" t="s">
        <v>1</v>
      </c>
      <c r="G9" s="431" t="s">
        <v>237</v>
      </c>
      <c r="H9" s="431" t="s">
        <v>238</v>
      </c>
      <c r="I9" s="438" t="s">
        <v>253</v>
      </c>
      <c r="J9" s="438" t="s">
        <v>254</v>
      </c>
      <c r="K9" s="438" t="s">
        <v>255</v>
      </c>
      <c r="L9" s="438" t="s">
        <v>256</v>
      </c>
    </row>
    <row r="10" spans="1:12">
      <c r="A10" s="440"/>
      <c r="B10" s="440"/>
      <c r="C10" s="440"/>
      <c r="D10" s="440"/>
      <c r="E10" s="440"/>
      <c r="F10" s="440"/>
      <c r="G10" s="440"/>
      <c r="H10" s="441"/>
      <c r="I10" s="434"/>
    </row>
    <row r="11" spans="1:12">
      <c r="A11" s="668" t="s">
        <v>257</v>
      </c>
      <c r="B11" s="668"/>
      <c r="C11" s="668"/>
      <c r="D11" s="668"/>
      <c r="E11" s="668"/>
      <c r="F11" s="668"/>
      <c r="G11" s="442">
        <v>-195037.47</v>
      </c>
      <c r="H11" s="441"/>
      <c r="I11" s="443"/>
      <c r="J11" s="390"/>
    </row>
    <row r="12" spans="1:12">
      <c r="A12" s="668"/>
      <c r="B12" s="668"/>
      <c r="C12" s="668"/>
      <c r="D12" s="668"/>
      <c r="E12" s="668"/>
      <c r="F12" s="668"/>
      <c r="G12" s="442"/>
      <c r="H12" s="441">
        <f>SUM(G11:G11)</f>
        <v>-195037.47</v>
      </c>
      <c r="I12" s="434"/>
    </row>
    <row r="13" spans="1:12">
      <c r="A13" s="444">
        <v>43069</v>
      </c>
      <c r="B13" s="389" t="s">
        <v>258</v>
      </c>
      <c r="C13" s="445">
        <v>7119326</v>
      </c>
      <c r="D13" s="442"/>
      <c r="E13" s="446">
        <v>9648.1799999999985</v>
      </c>
      <c r="F13" s="447">
        <v>-674.88</v>
      </c>
      <c r="G13" s="442"/>
      <c r="H13" s="441">
        <f>H12+SUM(E13:G13)</f>
        <v>-186064.17</v>
      </c>
      <c r="I13" s="448">
        <v>-186064.17</v>
      </c>
      <c r="J13" s="377">
        <f>I13-H13</f>
        <v>0</v>
      </c>
      <c r="K13" s="433" t="s">
        <v>259</v>
      </c>
      <c r="L13" s="449">
        <v>43077</v>
      </c>
    </row>
    <row r="14" spans="1:12" s="454" customFormat="1">
      <c r="A14" s="444">
        <v>43100</v>
      </c>
      <c r="B14" s="389" t="s">
        <v>258</v>
      </c>
      <c r="C14" s="445">
        <v>29973671</v>
      </c>
      <c r="D14" s="450"/>
      <c r="E14" s="451">
        <v>24422.739999999994</v>
      </c>
      <c r="F14" s="447">
        <v>-665.29</v>
      </c>
      <c r="G14" s="450"/>
      <c r="H14" s="452">
        <f>H13+SUM(D14:G14)</f>
        <v>-162306.72000000003</v>
      </c>
      <c r="I14" s="448">
        <v>-162306.72</v>
      </c>
      <c r="J14" s="453">
        <f>I14-H14</f>
        <v>0</v>
      </c>
      <c r="K14" s="433" t="s">
        <v>259</v>
      </c>
      <c r="L14" s="449">
        <v>43108</v>
      </c>
    </row>
    <row r="15" spans="1:12">
      <c r="A15" s="444">
        <v>43131</v>
      </c>
      <c r="B15" s="389" t="s">
        <v>258</v>
      </c>
      <c r="C15" s="445">
        <v>41563527</v>
      </c>
      <c r="D15" s="434"/>
      <c r="E15" s="451">
        <v>36897.270000000004</v>
      </c>
      <c r="F15" s="447">
        <v>-585.86</v>
      </c>
      <c r="G15" s="434"/>
      <c r="H15" s="455">
        <f>H14+SUM(D15:G15)</f>
        <v>-125995.31000000003</v>
      </c>
      <c r="I15" s="443">
        <v>-125995.31</v>
      </c>
      <c r="J15" s="390">
        <f t="shared" ref="J15:J27" si="0">I15-H15</f>
        <v>0</v>
      </c>
      <c r="K15" s="433" t="s">
        <v>259</v>
      </c>
      <c r="L15" s="449">
        <v>43139</v>
      </c>
    </row>
    <row r="16" spans="1:12">
      <c r="A16" s="444">
        <v>43159</v>
      </c>
      <c r="B16" s="389" t="s">
        <v>258</v>
      </c>
      <c r="C16" s="445">
        <v>29732218</v>
      </c>
      <c r="D16" s="434"/>
      <c r="E16" s="451">
        <v>25373.300000000003</v>
      </c>
      <c r="F16" s="447">
        <v>-410.78</v>
      </c>
      <c r="G16" s="434"/>
      <c r="H16" s="455">
        <f t="shared" ref="H16:H24" si="1">H15+SUM(D16:G16)</f>
        <v>-101032.79000000002</v>
      </c>
      <c r="I16" s="377">
        <v>-101032.79</v>
      </c>
      <c r="J16" s="390">
        <f t="shared" si="0"/>
        <v>0</v>
      </c>
      <c r="K16" s="433" t="s">
        <v>259</v>
      </c>
      <c r="L16" s="456">
        <v>43167</v>
      </c>
    </row>
    <row r="17" spans="1:12">
      <c r="A17" s="444">
        <v>43190</v>
      </c>
      <c r="B17" s="389" t="s">
        <v>258</v>
      </c>
      <c r="C17" s="445">
        <v>34772590</v>
      </c>
      <c r="D17" s="434"/>
      <c r="E17" s="451">
        <v>30383.489999999998</v>
      </c>
      <c r="F17" s="447">
        <v>-364.69</v>
      </c>
      <c r="G17" s="434"/>
      <c r="H17" s="455">
        <f t="shared" si="1"/>
        <v>-71013.99000000002</v>
      </c>
      <c r="I17" s="377">
        <v>-71013.990000000005</v>
      </c>
      <c r="J17" s="390">
        <f t="shared" si="0"/>
        <v>0</v>
      </c>
      <c r="K17" s="433" t="s">
        <v>259</v>
      </c>
      <c r="L17" s="456">
        <v>43200</v>
      </c>
    </row>
    <row r="18" spans="1:12">
      <c r="A18" s="444">
        <v>43220</v>
      </c>
      <c r="B18" s="389" t="s">
        <v>258</v>
      </c>
      <c r="C18" s="445">
        <v>23972789</v>
      </c>
      <c r="D18" s="434"/>
      <c r="E18" s="451">
        <v>24119.02</v>
      </c>
      <c r="F18" s="447">
        <v>-260.89999999999998</v>
      </c>
      <c r="G18" s="434"/>
      <c r="H18" s="455">
        <f t="shared" si="1"/>
        <v>-47155.870000000024</v>
      </c>
      <c r="I18" s="377">
        <v>-47155.87</v>
      </c>
      <c r="J18" s="390">
        <f t="shared" si="0"/>
        <v>0</v>
      </c>
      <c r="K18" s="433" t="s">
        <v>259</v>
      </c>
      <c r="L18" s="456">
        <v>43227</v>
      </c>
    </row>
    <row r="19" spans="1:12">
      <c r="A19" s="444">
        <v>43251</v>
      </c>
      <c r="B19" s="389" t="s">
        <v>258</v>
      </c>
      <c r="C19" s="445">
        <v>14908800</v>
      </c>
      <c r="D19" s="434"/>
      <c r="E19" s="451">
        <v>17128.870000000003</v>
      </c>
      <c r="F19" s="447">
        <v>-179.02</v>
      </c>
      <c r="G19" s="434"/>
      <c r="H19" s="455">
        <f t="shared" si="1"/>
        <v>-30206.020000000022</v>
      </c>
      <c r="I19" s="377">
        <v>-30206.02</v>
      </c>
      <c r="J19" s="390">
        <f t="shared" si="0"/>
        <v>0</v>
      </c>
      <c r="K19" s="433" t="s">
        <v>259</v>
      </c>
      <c r="L19" s="456">
        <v>43258</v>
      </c>
    </row>
    <row r="20" spans="1:12">
      <c r="A20" s="444">
        <v>43281</v>
      </c>
      <c r="B20" s="389" t="s">
        <v>258</v>
      </c>
      <c r="C20" s="445">
        <v>8932302</v>
      </c>
      <c r="D20" s="434"/>
      <c r="E20" s="451">
        <v>10890.98</v>
      </c>
      <c r="F20" s="447">
        <v>-110.98</v>
      </c>
      <c r="G20" s="434"/>
      <c r="H20" s="455">
        <f t="shared" si="1"/>
        <v>-19426.020000000022</v>
      </c>
      <c r="I20" s="377">
        <v>-19426.02</v>
      </c>
      <c r="J20" s="390">
        <f t="shared" si="0"/>
        <v>0</v>
      </c>
      <c r="K20" s="433" t="s">
        <v>259</v>
      </c>
      <c r="L20" s="456">
        <v>43290</v>
      </c>
    </row>
    <row r="21" spans="1:12">
      <c r="A21" s="444">
        <v>43312</v>
      </c>
      <c r="B21" s="389" t="s">
        <v>258</v>
      </c>
      <c r="C21" s="445">
        <v>7315304</v>
      </c>
      <c r="E21" s="451">
        <v>8881.7200000000012</v>
      </c>
      <c r="F21" s="447">
        <v>-77.38</v>
      </c>
      <c r="H21" s="455">
        <f t="shared" si="1"/>
        <v>-10621.68000000002</v>
      </c>
      <c r="I21" s="377">
        <v>-10625.32</v>
      </c>
      <c r="J21" s="390">
        <f t="shared" si="0"/>
        <v>-3.639999999979409</v>
      </c>
      <c r="K21" s="433" t="s">
        <v>259</v>
      </c>
      <c r="L21" s="456">
        <v>43319</v>
      </c>
    </row>
    <row r="22" spans="1:12">
      <c r="A22" s="444">
        <v>43343</v>
      </c>
      <c r="B22" s="389" t="s">
        <v>258</v>
      </c>
      <c r="C22" s="445">
        <v>6809893</v>
      </c>
      <c r="E22" s="451">
        <v>8075.5700000000006</v>
      </c>
      <c r="F22" s="447">
        <v>-42.31</v>
      </c>
      <c r="H22" s="455">
        <f t="shared" si="1"/>
        <v>-2588.4200000000201</v>
      </c>
      <c r="J22" s="390">
        <f t="shared" si="0"/>
        <v>2588.4200000000201</v>
      </c>
      <c r="L22" s="456"/>
    </row>
    <row r="23" spans="1:12">
      <c r="A23" s="444">
        <v>43373</v>
      </c>
      <c r="B23" s="389" t="s">
        <v>258</v>
      </c>
      <c r="C23" s="445">
        <v>6985938</v>
      </c>
      <c r="E23" s="451">
        <v>6998.26</v>
      </c>
      <c r="F23" s="447">
        <v>-9.98</v>
      </c>
      <c r="H23" s="455">
        <f t="shared" si="1"/>
        <v>4399.8599999999806</v>
      </c>
      <c r="J23" s="390">
        <f t="shared" si="0"/>
        <v>-4399.8599999999806</v>
      </c>
      <c r="L23" s="456"/>
    </row>
    <row r="24" spans="1:12">
      <c r="A24" s="444">
        <v>43404</v>
      </c>
      <c r="B24" s="389" t="s">
        <v>258</v>
      </c>
      <c r="C24" s="445">
        <v>11920068</v>
      </c>
      <c r="E24" s="451">
        <v>14859.29</v>
      </c>
      <c r="F24" s="447">
        <v>18.53</v>
      </c>
      <c r="H24" s="455">
        <f t="shared" si="1"/>
        <v>19277.679999999982</v>
      </c>
      <c r="J24" s="390">
        <f t="shared" si="0"/>
        <v>-19277.679999999982</v>
      </c>
      <c r="L24" s="456"/>
    </row>
    <row r="25" spans="1:12">
      <c r="A25" s="444"/>
      <c r="B25" s="389"/>
      <c r="C25" s="445"/>
      <c r="D25" s="669" t="s">
        <v>257</v>
      </c>
      <c r="E25" s="669"/>
      <c r="F25" s="669"/>
      <c r="G25" s="377">
        <v>-6125923.8899999997</v>
      </c>
      <c r="H25" s="455">
        <f>+G25+H24</f>
        <v>-6106646.21</v>
      </c>
      <c r="J25" s="390">
        <f t="shared" si="0"/>
        <v>6106646.21</v>
      </c>
      <c r="L25" s="456"/>
    </row>
    <row r="26" spans="1:12">
      <c r="A26" s="444">
        <v>43434</v>
      </c>
      <c r="B26" s="389" t="s">
        <v>258</v>
      </c>
      <c r="C26" s="486">
        <v>17302158</v>
      </c>
      <c r="E26" s="390">
        <v>174187.14846999999</v>
      </c>
      <c r="F26" s="487">
        <v>78.59</v>
      </c>
      <c r="H26" s="455">
        <f>H25+SUM(D26:G26)</f>
        <v>-5932380.4715299997</v>
      </c>
      <c r="J26" s="390">
        <f t="shared" si="0"/>
        <v>5932380.4715299997</v>
      </c>
      <c r="L26" s="456"/>
    </row>
    <row r="27" spans="1:12">
      <c r="A27" s="444">
        <v>43465</v>
      </c>
      <c r="B27" s="389" t="s">
        <v>258</v>
      </c>
      <c r="C27" s="486">
        <v>31921099</v>
      </c>
      <c r="E27" s="390">
        <v>868272.24000000011</v>
      </c>
      <c r="F27" s="487">
        <v>-24990.76</v>
      </c>
      <c r="H27" s="455">
        <f t="shared" ref="H27:H66" si="2">H26+SUM(D27:G27)</f>
        <v>-5089098.9915299993</v>
      </c>
      <c r="J27" s="390">
        <f t="shared" si="0"/>
        <v>5089098.9915299993</v>
      </c>
      <c r="L27" s="456"/>
    </row>
    <row r="28" spans="1:12">
      <c r="A28" s="444">
        <v>43496</v>
      </c>
      <c r="B28" s="389" t="s">
        <v>258</v>
      </c>
      <c r="C28" s="488">
        <v>36049301</v>
      </c>
      <c r="E28" s="377">
        <v>986847.90999999992</v>
      </c>
      <c r="F28" s="487">
        <v>-22389.25</v>
      </c>
      <c r="H28" s="455">
        <f t="shared" si="2"/>
        <v>-4124640.3315299992</v>
      </c>
    </row>
    <row r="29" spans="1:12">
      <c r="A29" s="444">
        <v>43524</v>
      </c>
      <c r="B29" s="389" t="s">
        <v>258</v>
      </c>
      <c r="C29" s="488">
        <v>38560000</v>
      </c>
      <c r="E29" s="377">
        <v>1051189.8899999999</v>
      </c>
      <c r="F29" s="487">
        <v>-16390.080000000002</v>
      </c>
      <c r="H29" s="455">
        <f t="shared" si="2"/>
        <v>-3089840.5215299991</v>
      </c>
    </row>
    <row r="30" spans="1:12">
      <c r="A30" s="444">
        <v>43555</v>
      </c>
      <c r="B30" s="389" t="s">
        <v>258</v>
      </c>
      <c r="C30" s="488">
        <v>42389457</v>
      </c>
      <c r="E30" s="377">
        <v>1158207.93</v>
      </c>
      <c r="F30" s="487">
        <v>-13593.61</v>
      </c>
      <c r="H30" s="455">
        <f t="shared" si="2"/>
        <v>-1945226.2015299993</v>
      </c>
    </row>
    <row r="31" spans="1:12">
      <c r="A31" s="444">
        <v>43585</v>
      </c>
      <c r="B31" s="389" t="s">
        <v>258</v>
      </c>
      <c r="C31" s="488">
        <v>24251956</v>
      </c>
      <c r="E31" s="377">
        <v>657653.28999999992</v>
      </c>
      <c r="F31" s="487">
        <v>-8713.5499999999993</v>
      </c>
      <c r="H31" s="455">
        <f t="shared" si="2"/>
        <v>-1296286.4615299995</v>
      </c>
    </row>
    <row r="32" spans="1:12">
      <c r="A32" s="444">
        <v>43616</v>
      </c>
      <c r="B32" s="389" t="s">
        <v>258</v>
      </c>
      <c r="C32" s="488">
        <v>14672895</v>
      </c>
      <c r="E32" s="377">
        <v>400131.27</v>
      </c>
      <c r="F32" s="487">
        <v>-6000.21</v>
      </c>
      <c r="H32" s="455">
        <f t="shared" si="2"/>
        <v>-902155.40152999945</v>
      </c>
    </row>
    <row r="33" spans="1:8">
      <c r="A33" s="444">
        <v>43646</v>
      </c>
      <c r="B33" s="389" t="s">
        <v>258</v>
      </c>
      <c r="C33" s="488">
        <v>8957567</v>
      </c>
      <c r="E33" s="377">
        <v>245712.96</v>
      </c>
      <c r="F33" s="487">
        <v>-4041.16</v>
      </c>
      <c r="H33" s="455">
        <f t="shared" si="2"/>
        <v>-660483.6015299994</v>
      </c>
    </row>
    <row r="34" spans="1:8">
      <c r="A34" s="444">
        <v>43677</v>
      </c>
      <c r="B34" s="389" t="s">
        <v>258</v>
      </c>
      <c r="C34" s="488">
        <v>7650859</v>
      </c>
      <c r="E34" s="377">
        <v>210116.90000000002</v>
      </c>
      <c r="F34" s="487">
        <v>-3085.27</v>
      </c>
      <c r="H34" s="455">
        <f t="shared" si="2"/>
        <v>-453451.9715299994</v>
      </c>
    </row>
    <row r="35" spans="1:8">
      <c r="A35" s="444">
        <v>43708</v>
      </c>
      <c r="B35" s="389" t="s">
        <v>258</v>
      </c>
      <c r="C35" s="488">
        <f>+'Test Period Volumes'!I6</f>
        <v>6421769</v>
      </c>
      <c r="E35" s="377">
        <v>192333.09000000003</v>
      </c>
      <c r="F35" s="377">
        <v>-2118.1799999999998</v>
      </c>
      <c r="H35" s="455">
        <f t="shared" si="2"/>
        <v>-263237.06152999937</v>
      </c>
    </row>
    <row r="36" spans="1:8">
      <c r="A36" s="444">
        <v>43738</v>
      </c>
      <c r="B36" s="389" t="s">
        <v>258</v>
      </c>
      <c r="C36" s="488">
        <f>+'Test Period Volumes'!I7</f>
        <v>7139967</v>
      </c>
      <c r="E36" s="377">
        <v>181374.92000000004</v>
      </c>
      <c r="F36" s="377">
        <v>-1189.98</v>
      </c>
      <c r="H36" s="455">
        <f t="shared" si="2"/>
        <v>-83052.121529999335</v>
      </c>
    </row>
    <row r="37" spans="1:8">
      <c r="A37" s="444">
        <v>43769</v>
      </c>
      <c r="B37" s="389" t="s">
        <v>258</v>
      </c>
      <c r="C37" s="488">
        <f>+'Test Period Volumes'!I8</f>
        <v>11546479</v>
      </c>
      <c r="E37" s="377">
        <v>430320.21</v>
      </c>
      <c r="F37" s="377">
        <v>-382.31</v>
      </c>
      <c r="H37" s="455">
        <f t="shared" si="2"/>
        <v>346885.77847000072</v>
      </c>
    </row>
    <row r="38" spans="1:8">
      <c r="A38" s="665" t="s">
        <v>257</v>
      </c>
      <c r="B38" s="665"/>
      <c r="C38" s="665"/>
      <c r="D38" s="665"/>
      <c r="E38" s="665"/>
      <c r="F38" s="665"/>
      <c r="G38" s="377">
        <v>1060071.47</v>
      </c>
      <c r="H38" s="455">
        <f t="shared" si="2"/>
        <v>1406957.2484700007</v>
      </c>
    </row>
    <row r="39" spans="1:8">
      <c r="A39" s="444">
        <v>43799</v>
      </c>
      <c r="B39" s="389" t="s">
        <v>258</v>
      </c>
      <c r="C39" s="488">
        <v>23951630</v>
      </c>
      <c r="E39" s="377">
        <v>383936.54182000004</v>
      </c>
      <c r="F39" s="377">
        <v>6267.71</v>
      </c>
      <c r="H39" s="455">
        <f t="shared" si="2"/>
        <v>1797161.5002900008</v>
      </c>
    </row>
    <row r="40" spans="1:8">
      <c r="A40" s="444">
        <v>43830</v>
      </c>
      <c r="B40" s="389" t="s">
        <v>258</v>
      </c>
      <c r="C40" s="488">
        <v>34636501</v>
      </c>
      <c r="E40" s="377">
        <v>-186539.13160999998</v>
      </c>
      <c r="F40" s="377">
        <f>(+H39*0.0542)/365*31</f>
        <v>8272.8513774993407</v>
      </c>
      <c r="H40" s="455">
        <f t="shared" si="2"/>
        <v>1618895.2200575001</v>
      </c>
    </row>
    <row r="41" spans="1:8">
      <c r="A41" s="444">
        <v>43861</v>
      </c>
      <c r="B41" s="389" t="s">
        <v>258</v>
      </c>
      <c r="C41" s="488">
        <v>41447011</v>
      </c>
      <c r="E41" s="377">
        <v>-232677.94760999994</v>
      </c>
      <c r="F41" s="377">
        <f>(+H40*0.0496)/365*31</f>
        <v>6819.7624393435945</v>
      </c>
      <c r="H41" s="455">
        <f t="shared" si="2"/>
        <v>1393037.0348868438</v>
      </c>
    </row>
    <row r="42" spans="1:8">
      <c r="A42" s="444">
        <v>43890</v>
      </c>
      <c r="B42" s="389" t="s">
        <v>258</v>
      </c>
      <c r="C42" s="488">
        <v>34316998</v>
      </c>
      <c r="E42" s="377">
        <v>-185523.55536999999</v>
      </c>
      <c r="F42" s="377">
        <f>(+H41*0.0496)/365*29</f>
        <v>5489.7108794006463</v>
      </c>
      <c r="H42" s="455">
        <f t="shared" si="2"/>
        <v>1213003.1903962444</v>
      </c>
    </row>
    <row r="43" spans="1:8">
      <c r="A43" s="444">
        <v>43921</v>
      </c>
      <c r="B43" s="389" t="s">
        <v>258</v>
      </c>
      <c r="C43" s="488">
        <v>34370665</v>
      </c>
      <c r="E43" s="377">
        <v>-186051.78346999999</v>
      </c>
      <c r="F43" s="377">
        <f>(+H42*0.0496)/365*31</f>
        <v>5109.900563159631</v>
      </c>
      <c r="H43" s="455">
        <f>H42+SUM(D43:G43)-0.01</f>
        <v>1032061.297489404</v>
      </c>
    </row>
    <row r="44" spans="1:8">
      <c r="A44" s="444">
        <v>43951</v>
      </c>
      <c r="B44" s="389" t="s">
        <v>258</v>
      </c>
      <c r="C44" s="488">
        <v>26722621</v>
      </c>
      <c r="E44" s="377">
        <v>-140599.89796</v>
      </c>
      <c r="F44" s="377">
        <f>(+H43*0.0475)/365*30</f>
        <v>4029.2804080065771</v>
      </c>
      <c r="H44" s="455">
        <f>H43+SUM(D44:G44)</f>
        <v>895490.67993741052</v>
      </c>
    </row>
    <row r="45" spans="1:8">
      <c r="A45" s="444">
        <v>43982</v>
      </c>
      <c r="B45" s="389" t="s">
        <v>258</v>
      </c>
      <c r="C45" s="488">
        <v>13504949</v>
      </c>
      <c r="E45" s="377">
        <v>-63018.858980000012</v>
      </c>
      <c r="F45" s="377">
        <f>(+H44*0.0475)/365*31</f>
        <v>3612.6302087885947</v>
      </c>
      <c r="H45" s="455">
        <f>H44+SUM(D45:G45)+0.01</f>
        <v>836084.46116619906</v>
      </c>
    </row>
    <row r="46" spans="1:8">
      <c r="A46" s="444">
        <v>44012</v>
      </c>
      <c r="B46" s="389" t="s">
        <v>258</v>
      </c>
      <c r="C46" s="488">
        <v>10562993</v>
      </c>
      <c r="E46" s="377">
        <v>-38258.960389999986</v>
      </c>
      <c r="F46" s="377">
        <f>(+H45*0.0475)/365*30</f>
        <v>3264.1653620872157</v>
      </c>
      <c r="H46" s="455">
        <f>H45+SUM(D46:G46)-0.01</f>
        <v>801089.65613828623</v>
      </c>
    </row>
    <row r="47" spans="1:8">
      <c r="A47" s="444">
        <v>44043</v>
      </c>
      <c r="B47" s="389" t="s">
        <v>258</v>
      </c>
      <c r="C47" s="488">
        <v>9083808</v>
      </c>
      <c r="E47" s="377">
        <v>-26641.79</v>
      </c>
      <c r="F47" s="377">
        <f>(+H46*0.0343)/365*31</f>
        <v>2333.6948804707936</v>
      </c>
      <c r="H47" s="455">
        <f>H46+SUM(D47:G47)+0.01</f>
        <v>776781.57101875707</v>
      </c>
    </row>
    <row r="48" spans="1:8">
      <c r="A48" s="444">
        <v>44074</v>
      </c>
      <c r="B48" s="389" t="s">
        <v>258</v>
      </c>
      <c r="C48" s="488">
        <v>6752494</v>
      </c>
      <c r="E48" s="377">
        <v>-14204.911440000002</v>
      </c>
      <c r="F48" s="377">
        <f t="shared" ref="F48" si="3">(+H47*0.0343)/365*31</f>
        <v>2262.8817656554638</v>
      </c>
      <c r="H48" s="455">
        <f t="shared" si="2"/>
        <v>764839.54134441249</v>
      </c>
    </row>
    <row r="49" spans="1:8">
      <c r="A49" s="444">
        <v>44104</v>
      </c>
      <c r="B49" s="389" t="s">
        <v>258</v>
      </c>
      <c r="C49" s="488">
        <v>7390192</v>
      </c>
      <c r="E49" s="377">
        <v>-16219.958349999997</v>
      </c>
      <c r="F49" s="377">
        <f>(+H48*0.0343)/365*30</f>
        <v>2156.2188713517821</v>
      </c>
      <c r="H49" s="455">
        <f t="shared" si="2"/>
        <v>750775.80186576431</v>
      </c>
    </row>
    <row r="50" spans="1:8">
      <c r="A50" s="444">
        <v>44135</v>
      </c>
      <c r="B50" s="389" t="s">
        <v>258</v>
      </c>
      <c r="C50" s="488">
        <v>9479391</v>
      </c>
      <c r="E50" s="377">
        <v>-41762.727760000002</v>
      </c>
      <c r="F50" s="377">
        <f>(+H49*0.0325)/365*31</f>
        <v>2072.3469051500206</v>
      </c>
      <c r="H50" s="455">
        <f t="shared" si="2"/>
        <v>711085.42101091438</v>
      </c>
    </row>
    <row r="51" spans="1:8">
      <c r="A51" s="444"/>
      <c r="B51" s="389"/>
      <c r="E51" s="377" t="s">
        <v>257</v>
      </c>
      <c r="G51" s="377">
        <v>-4569822.54</v>
      </c>
      <c r="H51" s="455">
        <f t="shared" si="2"/>
        <v>-3858737.1189890858</v>
      </c>
    </row>
    <row r="52" spans="1:8">
      <c r="A52" s="444">
        <v>44165</v>
      </c>
      <c r="B52" s="389" t="s">
        <v>258</v>
      </c>
      <c r="C52" s="488">
        <v>19280891</v>
      </c>
      <c r="E52" s="377">
        <v>11668.787340000024</v>
      </c>
      <c r="F52" s="377">
        <f>(+H51*0.0325)/365*30</f>
        <v>-10307.585454833859</v>
      </c>
      <c r="H52" s="455">
        <f t="shared" si="2"/>
        <v>-3857375.9171039197</v>
      </c>
    </row>
    <row r="53" spans="1:8">
      <c r="A53" s="444">
        <v>44196</v>
      </c>
      <c r="B53" s="389" t="s">
        <v>258</v>
      </c>
      <c r="C53" s="488">
        <v>34057490</v>
      </c>
      <c r="E53" s="377">
        <v>512196.88659000007</v>
      </c>
      <c r="F53" s="377">
        <f>(+H52*0.0325)/365*31</f>
        <v>-10647.414346526573</v>
      </c>
      <c r="H53" s="455">
        <f t="shared" si="2"/>
        <v>-3355826.4448604463</v>
      </c>
    </row>
    <row r="54" spans="1:8">
      <c r="A54" s="444">
        <v>44227</v>
      </c>
      <c r="B54" s="389" t="s">
        <v>258</v>
      </c>
      <c r="C54" s="488">
        <v>35952500</v>
      </c>
      <c r="E54" s="377">
        <v>540665.47662000009</v>
      </c>
      <c r="F54" s="377">
        <f>(+H53*0.0325)/365*31</f>
        <v>-9263.000392320273</v>
      </c>
      <c r="H54" s="455">
        <f t="shared" si="2"/>
        <v>-2824423.9686327665</v>
      </c>
    </row>
    <row r="55" spans="1:8">
      <c r="A55" s="444">
        <v>44255</v>
      </c>
      <c r="B55" s="389" t="s">
        <v>258</v>
      </c>
      <c r="C55" s="488">
        <v>33909523</v>
      </c>
      <c r="E55" s="377">
        <v>508910.32601999998</v>
      </c>
      <c r="F55" s="377">
        <f>(+H54*0.0325)/365*28</f>
        <v>-7041.7145519337464</v>
      </c>
      <c r="H55" s="455">
        <f t="shared" si="2"/>
        <v>-2322555.3571647005</v>
      </c>
    </row>
    <row r="56" spans="1:8">
      <c r="A56" s="444">
        <v>44286</v>
      </c>
      <c r="B56" s="389" t="s">
        <v>258</v>
      </c>
      <c r="C56" s="488">
        <v>36377608</v>
      </c>
      <c r="E56" s="377">
        <v>550335.86378999997</v>
      </c>
      <c r="F56" s="377">
        <f t="shared" ref="F56" si="4">(+H55*0.0325)/365*31</f>
        <v>-6410.8891023107835</v>
      </c>
      <c r="H56" s="455">
        <f t="shared" si="2"/>
        <v>-1778630.3824770113</v>
      </c>
    </row>
    <row r="57" spans="1:8">
      <c r="A57" s="444">
        <v>44316</v>
      </c>
      <c r="B57" s="389" t="s">
        <v>258</v>
      </c>
      <c r="C57" s="488">
        <v>25532431</v>
      </c>
      <c r="E57" s="377">
        <v>387233.80443000002</v>
      </c>
      <c r="F57" s="377">
        <f>(+H56*0.0325)/365*30</f>
        <v>-4751.135953192017</v>
      </c>
      <c r="H57" s="455">
        <f t="shared" si="2"/>
        <v>-1396147.7140002032</v>
      </c>
    </row>
    <row r="58" spans="1:8">
      <c r="A58" s="444">
        <v>44347</v>
      </c>
      <c r="B58" s="389" t="s">
        <v>258</v>
      </c>
      <c r="C58" s="488">
        <v>13309390</v>
      </c>
      <c r="E58" s="377">
        <v>205004.10041000001</v>
      </c>
      <c r="F58" s="377">
        <f>(+H57*0.0325)/365*31</f>
        <v>-3853.7501968635747</v>
      </c>
      <c r="H58" s="455">
        <f t="shared" si="2"/>
        <v>-1194997.3637870667</v>
      </c>
    </row>
    <row r="59" spans="1:8">
      <c r="A59" s="444">
        <v>44377</v>
      </c>
      <c r="B59" s="389" t="s">
        <v>258</v>
      </c>
      <c r="C59" s="488">
        <v>10832413</v>
      </c>
      <c r="E59" s="377">
        <v>169347.11</v>
      </c>
      <c r="F59" s="377">
        <f>(+H58*0.0325)/365*30</f>
        <v>-3192.1162457325754</v>
      </c>
      <c r="H59" s="455">
        <f>H58+SUM(D59:G59)-0.01</f>
        <v>-1028842.3800327992</v>
      </c>
    </row>
    <row r="60" spans="1:8">
      <c r="A60" s="444">
        <v>44408</v>
      </c>
      <c r="B60" s="389" t="s">
        <v>258</v>
      </c>
      <c r="C60" s="488">
        <v>6955024</v>
      </c>
      <c r="E60" s="377">
        <v>110956.32797</v>
      </c>
      <c r="F60" s="377">
        <f>(+H59*0.0325)/365*31</f>
        <v>-2839.8868435151921</v>
      </c>
      <c r="H60" s="455">
        <f t="shared" si="2"/>
        <v>-920725.93890631443</v>
      </c>
    </row>
    <row r="61" spans="1:8">
      <c r="A61" s="444">
        <v>44439</v>
      </c>
      <c r="B61" s="389" t="s">
        <v>258</v>
      </c>
      <c r="C61" s="488">
        <f>+'Test Period Volumes'!I6</f>
        <v>6421769</v>
      </c>
      <c r="E61" s="568">
        <v>103534.84290000002</v>
      </c>
      <c r="F61" s="377">
        <f t="shared" ref="F61:F63" si="5">(+H60*0.0325)/365*31</f>
        <v>-2541.4558450633199</v>
      </c>
      <c r="H61" s="455">
        <f t="shared" si="2"/>
        <v>-819732.55185137771</v>
      </c>
    </row>
    <row r="62" spans="1:8">
      <c r="A62" s="444">
        <v>44469</v>
      </c>
      <c r="B62" s="389" t="s">
        <v>258</v>
      </c>
      <c r="C62" s="488">
        <f>+'Test Period Volumes'!I7</f>
        <v>7139967</v>
      </c>
      <c r="E62" s="568">
        <v>113310.60581000001</v>
      </c>
      <c r="F62" s="377">
        <f>(+H61*0.0325)/365*30</f>
        <v>-2189.6965426166939</v>
      </c>
      <c r="H62" s="455">
        <f t="shared" si="2"/>
        <v>-708611.64258399443</v>
      </c>
    </row>
    <row r="63" spans="1:8">
      <c r="A63" s="444">
        <v>44500</v>
      </c>
      <c r="B63" s="389" t="s">
        <v>258</v>
      </c>
      <c r="C63" s="488">
        <f>+'Test Period Volumes'!I8</f>
        <v>11546479</v>
      </c>
      <c r="E63" s="568">
        <v>175646.34134000001</v>
      </c>
      <c r="F63" s="377">
        <f t="shared" si="5"/>
        <v>-1955.9622737078753</v>
      </c>
      <c r="H63" s="455">
        <f t="shared" si="2"/>
        <v>-534921.26351770223</v>
      </c>
    </row>
    <row r="64" spans="1:8">
      <c r="A64" s="444"/>
      <c r="C64" s="488"/>
      <c r="E64" s="377" t="s">
        <v>257</v>
      </c>
      <c r="G64" s="569">
        <v>3412220.59</v>
      </c>
      <c r="H64" s="455">
        <f t="shared" si="2"/>
        <v>2877299.3264822979</v>
      </c>
    </row>
    <row r="65" spans="1:8">
      <c r="A65" s="444">
        <v>44530</v>
      </c>
      <c r="B65" s="389" t="s">
        <v>258</v>
      </c>
      <c r="C65" s="488">
        <f>+'Test Period Volumes'!I9</f>
        <v>18804046</v>
      </c>
      <c r="E65" s="568">
        <v>181431.84000000003</v>
      </c>
      <c r="F65" s="377">
        <f>(+H64*0.0325)/365*30</f>
        <v>7685.9365570417549</v>
      </c>
      <c r="H65" s="455">
        <f t="shared" si="2"/>
        <v>3066417.1030393397</v>
      </c>
    </row>
    <row r="66" spans="1:8">
      <c r="A66" s="444">
        <v>44561</v>
      </c>
      <c r="B66" s="389" t="s">
        <v>258</v>
      </c>
      <c r="C66" s="488">
        <f>+'Test Period Volumes'!I10</f>
        <v>30532105</v>
      </c>
      <c r="E66" s="568">
        <v>-129628.83</v>
      </c>
      <c r="F66" s="377">
        <f t="shared" ref="F66" si="6">(+H65*0.0325)/365*31</f>
        <v>8464.1513186633838</v>
      </c>
      <c r="H66" s="455">
        <f t="shared" si="2"/>
        <v>2945252.4243580028</v>
      </c>
    </row>
  </sheetData>
  <mergeCells count="19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A38:F38"/>
    <mergeCell ref="C7:H7"/>
    <mergeCell ref="D8:F8"/>
    <mergeCell ref="A11:F11"/>
    <mergeCell ref="A12:F12"/>
    <mergeCell ref="D25:F25"/>
    <mergeCell ref="A7:B7"/>
  </mergeCells>
  <pageMargins left="0.7" right="0.7" top="0.75" bottom="0.75" header="0.3" footer="0.3"/>
  <pageSetup scale="9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>
    <pageSetUpPr fitToPage="1"/>
  </sheetPr>
  <dimension ref="A1:P69"/>
  <sheetViews>
    <sheetView zoomScaleNormal="100" workbookViewId="0">
      <pane xSplit="5" ySplit="4" topLeftCell="F5" activePane="bottomRight" state="frozen"/>
      <selection sqref="A1:XFD1048576"/>
      <selection pane="topRight" sqref="A1:XFD1048576"/>
      <selection pane="bottomLeft" sqref="A1:XFD1048576"/>
      <selection pane="bottomRight" activeCell="I12" sqref="I12"/>
    </sheetView>
  </sheetViews>
  <sheetFormatPr defaultColWidth="12" defaultRowHeight="15" outlineLevelRow="1"/>
  <cols>
    <col min="1" max="1" width="1.6640625" style="37" customWidth="1"/>
    <col min="2" max="2" width="5.83203125" style="50" customWidth="1"/>
    <col min="3" max="3" width="15.5" style="37" customWidth="1"/>
    <col min="4" max="4" width="20" style="37" customWidth="1"/>
    <col min="5" max="5" width="10.6640625" style="50" bestFit="1" customWidth="1"/>
    <col min="6" max="6" width="13.6640625" style="37" bestFit="1" customWidth="1"/>
    <col min="7" max="7" width="16.5" style="37" customWidth="1"/>
    <col min="8" max="8" width="2.33203125" style="43" customWidth="1"/>
    <col min="9" max="9" width="18.1640625" style="37" customWidth="1"/>
    <col min="10" max="11" width="2.33203125" style="43" customWidth="1"/>
    <col min="12" max="12" width="4" style="37" customWidth="1"/>
    <col min="13" max="13" width="16.6640625" style="37" bestFit="1" customWidth="1"/>
    <col min="14" max="15" width="15" style="37" bestFit="1" customWidth="1"/>
    <col min="16" max="16" width="5.6640625" style="37" customWidth="1"/>
    <col min="17" max="16384" width="12" style="37"/>
  </cols>
  <sheetData>
    <row r="1" spans="1:16" ht="18" customHeight="1">
      <c r="A1" s="46"/>
      <c r="C1" s="622" t="s">
        <v>33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3"/>
    </row>
    <row r="2" spans="1:16">
      <c r="C2" s="643" t="s">
        <v>176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43"/>
    </row>
    <row r="3" spans="1:16">
      <c r="C3" s="643" t="s">
        <v>352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43"/>
    </row>
    <row r="4" spans="1:16">
      <c r="C4" s="622" t="s">
        <v>35</v>
      </c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43"/>
    </row>
    <row r="5" spans="1:16" ht="6" customHeight="1">
      <c r="M5" s="43"/>
      <c r="N5" s="43"/>
      <c r="O5" s="43"/>
      <c r="P5" s="43"/>
    </row>
    <row r="6" spans="1:16">
      <c r="B6" s="120"/>
      <c r="C6" s="121"/>
      <c r="D6" s="121"/>
      <c r="E6" s="120"/>
      <c r="F6" s="122"/>
      <c r="G6" s="122"/>
      <c r="I6" s="122"/>
      <c r="M6" s="124" t="s">
        <v>37</v>
      </c>
      <c r="N6" s="123"/>
      <c r="O6" s="123"/>
      <c r="P6" s="43"/>
    </row>
    <row r="7" spans="1:16">
      <c r="B7" s="38" t="s">
        <v>3</v>
      </c>
      <c r="C7" s="39"/>
      <c r="D7" s="39"/>
      <c r="E7" s="38" t="s">
        <v>32</v>
      </c>
      <c r="F7" s="38" t="s">
        <v>38</v>
      </c>
      <c r="G7" s="38" t="s">
        <v>39</v>
      </c>
      <c r="H7" s="39"/>
      <c r="I7" s="38" t="s">
        <v>40</v>
      </c>
      <c r="J7" s="39"/>
      <c r="K7" s="39"/>
      <c r="M7" s="125" t="s">
        <v>266</v>
      </c>
      <c r="N7" s="38" t="s">
        <v>41</v>
      </c>
      <c r="O7" s="38" t="s">
        <v>42</v>
      </c>
      <c r="P7" s="43"/>
    </row>
    <row r="8" spans="1:16">
      <c r="B8" s="38" t="s">
        <v>6</v>
      </c>
      <c r="C8" s="116"/>
      <c r="D8" s="39" t="s">
        <v>0</v>
      </c>
      <c r="E8" s="38" t="s">
        <v>43</v>
      </c>
      <c r="F8" s="38" t="s">
        <v>44</v>
      </c>
      <c r="G8" s="38" t="s">
        <v>45</v>
      </c>
      <c r="H8" s="39"/>
      <c r="I8" s="38" t="s">
        <v>46</v>
      </c>
      <c r="J8" s="39"/>
      <c r="K8" s="39"/>
      <c r="M8" s="125" t="s">
        <v>47</v>
      </c>
      <c r="N8" s="38" t="s">
        <v>47</v>
      </c>
      <c r="O8" s="38" t="s">
        <v>47</v>
      </c>
      <c r="P8" s="43"/>
    </row>
    <row r="9" spans="1:16">
      <c r="B9" s="126"/>
      <c r="C9" s="116"/>
      <c r="D9" s="39" t="s">
        <v>9</v>
      </c>
      <c r="E9" s="127" t="s">
        <v>10</v>
      </c>
      <c r="F9" s="127" t="s">
        <v>11</v>
      </c>
      <c r="G9" s="127" t="s">
        <v>12</v>
      </c>
      <c r="H9" s="39"/>
      <c r="I9" s="127" t="s">
        <v>48</v>
      </c>
      <c r="J9" s="39"/>
      <c r="K9" s="39"/>
      <c r="M9" s="128" t="s">
        <v>87</v>
      </c>
      <c r="N9" s="127" t="s">
        <v>49</v>
      </c>
      <c r="O9" s="127" t="s">
        <v>50</v>
      </c>
      <c r="P9" s="43"/>
    </row>
    <row r="10" spans="1:16" s="43" customFormat="1">
      <c r="B10" s="129"/>
      <c r="C10" s="130" t="s">
        <v>52</v>
      </c>
      <c r="D10" s="131"/>
      <c r="E10" s="129"/>
      <c r="F10" s="131"/>
      <c r="G10" s="131"/>
      <c r="I10" s="279"/>
      <c r="M10" s="132"/>
      <c r="N10" s="131"/>
      <c r="O10" s="131"/>
    </row>
    <row r="11" spans="1:16">
      <c r="B11" s="120">
        <v>1</v>
      </c>
      <c r="C11" s="96" t="s">
        <v>53</v>
      </c>
      <c r="D11" s="133"/>
      <c r="E11" s="419"/>
      <c r="F11" s="121"/>
      <c r="G11" s="123"/>
      <c r="I11" s="123"/>
      <c r="M11" s="285"/>
      <c r="N11" s="123"/>
      <c r="O11" s="123"/>
      <c r="P11" s="43"/>
    </row>
    <row r="12" spans="1:16">
      <c r="B12" s="38">
        <v>2</v>
      </c>
      <c r="C12" s="134" t="s">
        <v>117</v>
      </c>
      <c r="D12" s="40"/>
      <c r="E12" s="420" t="s">
        <v>56</v>
      </c>
      <c r="F12" s="474">
        <v>200356</v>
      </c>
      <c r="G12" s="474">
        <v>134278058</v>
      </c>
      <c r="H12" s="136"/>
      <c r="I12" s="119">
        <v>160686756.90000001</v>
      </c>
      <c r="K12" s="136"/>
      <c r="M12" s="159">
        <f>+'DMA Proposed Rate 594'!F12</f>
        <v>8.2950000000000003E-3</v>
      </c>
      <c r="N12" s="135">
        <f>+G12*M12</f>
        <v>1113836.4911100001</v>
      </c>
      <c r="O12" s="361">
        <f>N12/I12</f>
        <v>6.9317255049410982E-3</v>
      </c>
      <c r="P12" s="43"/>
    </row>
    <row r="13" spans="1:16">
      <c r="B13" s="38">
        <v>3</v>
      </c>
      <c r="C13" s="134"/>
      <c r="D13" s="40"/>
      <c r="E13" s="420"/>
      <c r="F13" s="474"/>
      <c r="G13" s="135"/>
      <c r="I13" s="475"/>
      <c r="M13" s="159"/>
      <c r="N13" s="135"/>
      <c r="O13" s="278"/>
      <c r="P13" s="43"/>
    </row>
    <row r="14" spans="1:16">
      <c r="B14" s="38">
        <v>4</v>
      </c>
      <c r="C14" s="134"/>
      <c r="D14" s="40"/>
      <c r="E14" s="420"/>
      <c r="F14" s="474"/>
      <c r="G14" s="135"/>
      <c r="I14" s="119"/>
      <c r="M14" s="159"/>
      <c r="N14" s="135"/>
      <c r="O14" s="278"/>
      <c r="P14" s="43"/>
    </row>
    <row r="15" spans="1:16">
      <c r="B15" s="38">
        <v>5</v>
      </c>
      <c r="C15" s="283" t="s">
        <v>172</v>
      </c>
      <c r="D15" s="40"/>
      <c r="E15" s="421">
        <v>503</v>
      </c>
      <c r="F15" s="474"/>
      <c r="G15" s="135">
        <v>1155568</v>
      </c>
      <c r="H15" s="136"/>
      <c r="I15" s="119">
        <v>1151142.17</v>
      </c>
      <c r="J15" s="136"/>
      <c r="K15" s="136"/>
      <c r="M15" s="159">
        <f>+M12</f>
        <v>8.2950000000000003E-3</v>
      </c>
      <c r="N15" s="135">
        <f>+G15*M15</f>
        <v>9585.4365600000001</v>
      </c>
      <c r="O15" s="278"/>
      <c r="P15" s="43"/>
    </row>
    <row r="16" spans="1:16">
      <c r="B16" s="38">
        <v>6</v>
      </c>
      <c r="C16" s="284" t="s">
        <v>173</v>
      </c>
      <c r="D16" s="137"/>
      <c r="E16" s="476">
        <v>503</v>
      </c>
      <c r="F16" s="477"/>
      <c r="G16" s="422">
        <v>-1242836</v>
      </c>
      <c r="H16" s="136"/>
      <c r="I16" s="422">
        <v>-1140438.75</v>
      </c>
      <c r="J16" s="136"/>
      <c r="K16" s="136"/>
      <c r="M16" s="159">
        <f>M12</f>
        <v>8.2950000000000003E-3</v>
      </c>
      <c r="N16" s="135">
        <f>+G16*M16</f>
        <v>-10309.324620000001</v>
      </c>
      <c r="O16" s="278"/>
      <c r="P16" s="43"/>
    </row>
    <row r="17" spans="2:16" s="145" customFormat="1">
      <c r="B17" s="38">
        <v>7</v>
      </c>
      <c r="C17" s="138" t="s">
        <v>125</v>
      </c>
      <c r="D17" s="161"/>
      <c r="E17" s="423"/>
      <c r="F17" s="424">
        <f>SUM(F12:F16)</f>
        <v>200356</v>
      </c>
      <c r="G17" s="140">
        <f>SUM(G12:G16)</f>
        <v>134190790</v>
      </c>
      <c r="H17" s="141"/>
      <c r="I17" s="478">
        <f>SUM(I12:I16)</f>
        <v>160697460.31999999</v>
      </c>
      <c r="J17" s="141"/>
      <c r="K17" s="141"/>
      <c r="M17" s="142"/>
      <c r="N17" s="143">
        <f>SUM(N12:N16)</f>
        <v>1113112.60305</v>
      </c>
      <c r="O17" s="144">
        <f>+N17/I17</f>
        <v>6.9267591462456044E-3</v>
      </c>
      <c r="P17" s="51"/>
    </row>
    <row r="18" spans="2:16">
      <c r="B18" s="126">
        <v>8</v>
      </c>
      <c r="C18" s="96" t="s">
        <v>61</v>
      </c>
      <c r="D18" s="40"/>
      <c r="E18" s="421"/>
      <c r="F18" s="136"/>
      <c r="G18" s="135"/>
      <c r="H18" s="136"/>
      <c r="I18" s="425"/>
      <c r="K18" s="136"/>
      <c r="M18" s="158"/>
      <c r="N18" s="41"/>
      <c r="O18" s="146"/>
      <c r="P18" s="43"/>
    </row>
    <row r="19" spans="2:16">
      <c r="B19" s="38">
        <v>9</v>
      </c>
      <c r="C19" s="52" t="s">
        <v>117</v>
      </c>
      <c r="D19" s="40"/>
      <c r="E19" s="420" t="s">
        <v>62</v>
      </c>
      <c r="F19" s="136">
        <v>27210</v>
      </c>
      <c r="G19" s="135">
        <v>95604530</v>
      </c>
      <c r="H19" s="136"/>
      <c r="I19" s="119">
        <v>103944257.75</v>
      </c>
      <c r="K19" s="136"/>
      <c r="M19" s="159">
        <f>'DMA Proposed Rate 594'!$F$13</f>
        <v>3.3313000000000002E-2</v>
      </c>
      <c r="N19" s="41">
        <f>+G19*M19</f>
        <v>3184873.7078900002</v>
      </c>
      <c r="O19" s="361">
        <f>+N19/I19</f>
        <v>3.0640208288850859E-2</v>
      </c>
      <c r="P19" s="43"/>
    </row>
    <row r="20" spans="2:16">
      <c r="B20" s="38">
        <v>10</v>
      </c>
      <c r="C20" s="52" t="s">
        <v>118</v>
      </c>
      <c r="D20" s="40"/>
      <c r="E20" s="420" t="s">
        <v>64</v>
      </c>
      <c r="F20" s="136">
        <v>75</v>
      </c>
      <c r="G20" s="135">
        <v>10770715</v>
      </c>
      <c r="I20" s="119">
        <v>9132349.6099999994</v>
      </c>
      <c r="M20" s="159">
        <f>+'DMA Proposed Rate 594'!F15</f>
        <v>2.4960000000000003E-2</v>
      </c>
      <c r="N20" s="41">
        <f>+G20*M20</f>
        <v>268837.04640000005</v>
      </c>
      <c r="O20" s="361">
        <f>+N20/I20</f>
        <v>2.9437883773702798E-2</v>
      </c>
      <c r="P20" s="43"/>
    </row>
    <row r="21" spans="2:16">
      <c r="B21" s="38">
        <v>11</v>
      </c>
      <c r="C21" s="52"/>
      <c r="D21" s="40"/>
      <c r="E21" s="420"/>
      <c r="F21" s="136"/>
      <c r="G21" s="135"/>
      <c r="H21" s="136"/>
      <c r="I21" s="119"/>
      <c r="K21" s="136"/>
      <c r="M21" s="159"/>
      <c r="N21" s="41"/>
      <c r="O21" s="361"/>
      <c r="P21" s="43"/>
    </row>
    <row r="22" spans="2:16">
      <c r="B22" s="38">
        <v>12</v>
      </c>
      <c r="C22" s="52"/>
      <c r="D22" s="40"/>
      <c r="E22" s="420"/>
      <c r="F22" s="136"/>
      <c r="M22" s="159"/>
      <c r="N22" s="41"/>
      <c r="O22" s="278"/>
      <c r="P22" s="43"/>
    </row>
    <row r="23" spans="2:16">
      <c r="B23" s="38">
        <v>13</v>
      </c>
      <c r="C23" s="147" t="s">
        <v>172</v>
      </c>
      <c r="D23" s="40"/>
      <c r="E23" s="421">
        <v>504</v>
      </c>
      <c r="F23" s="43"/>
      <c r="G23" s="135">
        <v>1121403</v>
      </c>
      <c r="H23" s="136"/>
      <c r="I23" s="119">
        <v>1032325.42</v>
      </c>
      <c r="J23" s="136"/>
      <c r="K23" s="136"/>
      <c r="M23" s="159">
        <f>M19</f>
        <v>3.3313000000000002E-2</v>
      </c>
      <c r="N23" s="41">
        <f>+G24*M23</f>
        <v>-41582.086112000005</v>
      </c>
      <c r="O23" s="278"/>
      <c r="P23" s="43"/>
    </row>
    <row r="24" spans="2:16">
      <c r="B24" s="38">
        <v>14</v>
      </c>
      <c r="C24" s="147" t="s">
        <v>173</v>
      </c>
      <c r="D24" s="40"/>
      <c r="E24" s="421">
        <v>504</v>
      </c>
      <c r="F24" s="43"/>
      <c r="G24" s="135">
        <v>-1248224</v>
      </c>
      <c r="H24" s="136"/>
      <c r="I24" s="135">
        <v>-1061305.83</v>
      </c>
      <c r="J24" s="136"/>
      <c r="K24" s="136"/>
      <c r="M24" s="159">
        <f>M19</f>
        <v>3.3313000000000002E-2</v>
      </c>
      <c r="N24" s="41">
        <f>+G25*M24</f>
        <v>293.08777400000002</v>
      </c>
      <c r="O24" s="278"/>
      <c r="P24" s="43"/>
    </row>
    <row r="25" spans="2:16">
      <c r="B25" s="38"/>
      <c r="C25" s="147" t="s">
        <v>172</v>
      </c>
      <c r="D25" s="40"/>
      <c r="E25" s="421">
        <v>511</v>
      </c>
      <c r="F25" s="43"/>
      <c r="G25" s="135">
        <v>8798</v>
      </c>
      <c r="H25" s="136"/>
      <c r="I25" s="135">
        <v>7669.79</v>
      </c>
      <c r="J25" s="136"/>
      <c r="K25" s="136"/>
      <c r="M25" s="159"/>
      <c r="N25" s="41"/>
      <c r="O25" s="278"/>
      <c r="P25" s="43"/>
    </row>
    <row r="26" spans="2:16">
      <c r="B26" s="38"/>
      <c r="C26" s="147" t="s">
        <v>173</v>
      </c>
      <c r="D26" s="40"/>
      <c r="E26" s="421">
        <v>511</v>
      </c>
      <c r="F26" s="43"/>
      <c r="G26" s="135">
        <v>-4542</v>
      </c>
      <c r="H26" s="136"/>
      <c r="I26" s="135">
        <v>-4019.29</v>
      </c>
      <c r="J26" s="136"/>
      <c r="K26" s="136"/>
      <c r="M26" s="159"/>
      <c r="N26" s="41"/>
      <c r="O26" s="278"/>
      <c r="P26" s="43"/>
    </row>
    <row r="27" spans="2:16">
      <c r="B27" s="38">
        <v>15</v>
      </c>
      <c r="C27" s="52" t="s">
        <v>119</v>
      </c>
      <c r="D27" s="40"/>
      <c r="E27" s="421"/>
      <c r="F27" s="136"/>
      <c r="G27" s="135">
        <v>0</v>
      </c>
      <c r="H27" s="136"/>
      <c r="I27" s="422"/>
      <c r="K27" s="136"/>
      <c r="M27" s="159">
        <v>0</v>
      </c>
      <c r="N27" s="41"/>
      <c r="O27" s="79"/>
      <c r="P27" s="43"/>
    </row>
    <row r="28" spans="2:16" s="145" customFormat="1">
      <c r="B28" s="38">
        <v>16</v>
      </c>
      <c r="C28" s="138" t="s">
        <v>124</v>
      </c>
      <c r="D28" s="139"/>
      <c r="E28" s="423"/>
      <c r="F28" s="424">
        <f>SUM(F19:F27)</f>
        <v>27285</v>
      </c>
      <c r="G28" s="140">
        <f>SUM(G19:G27)</f>
        <v>106252680</v>
      </c>
      <c r="H28" s="141"/>
      <c r="I28" s="478">
        <f>SUM(I19:I27)</f>
        <v>113051277.45</v>
      </c>
      <c r="J28" s="141"/>
      <c r="K28" s="141"/>
      <c r="M28" s="148"/>
      <c r="N28" s="143">
        <f>SUM(N19:N27)</f>
        <v>3412421.7559520002</v>
      </c>
      <c r="O28" s="144">
        <f>N28/I28</f>
        <v>3.0184725311584705E-2</v>
      </c>
      <c r="P28" s="51"/>
    </row>
    <row r="29" spans="2:16">
      <c r="B29" s="126">
        <v>17</v>
      </c>
      <c r="C29" s="96" t="s">
        <v>65</v>
      </c>
      <c r="D29" s="40"/>
      <c r="E29" s="421"/>
      <c r="F29" s="136"/>
      <c r="G29" s="135"/>
      <c r="H29" s="136"/>
      <c r="I29" s="425"/>
      <c r="K29" s="136"/>
      <c r="M29" s="159"/>
      <c r="N29" s="41"/>
      <c r="O29" s="79"/>
      <c r="P29" s="43"/>
    </row>
    <row r="30" spans="2:16">
      <c r="B30" s="38">
        <v>18</v>
      </c>
      <c r="C30" s="52" t="s">
        <v>117</v>
      </c>
      <c r="D30" s="40"/>
      <c r="E30" s="420" t="s">
        <v>66</v>
      </c>
      <c r="F30" s="136">
        <v>487</v>
      </c>
      <c r="G30" s="135">
        <v>12498242</v>
      </c>
      <c r="H30" s="136"/>
      <c r="I30" s="425">
        <v>11638459.84</v>
      </c>
      <c r="K30" s="136"/>
      <c r="M30" s="159">
        <f>+'DMA Proposed Rate 594'!F14</f>
        <v>8.2909999999999998E-3</v>
      </c>
      <c r="N30" s="41">
        <f>+G30*M30</f>
        <v>103622.924422</v>
      </c>
      <c r="O30" s="79">
        <f>+N30/I30</f>
        <v>8.9034911703574689E-3</v>
      </c>
      <c r="P30" s="43"/>
    </row>
    <row r="31" spans="2:16">
      <c r="B31" s="38">
        <v>19</v>
      </c>
      <c r="C31" s="52" t="s">
        <v>118</v>
      </c>
      <c r="D31" s="40"/>
      <c r="E31" s="420" t="s">
        <v>64</v>
      </c>
      <c r="F31" s="136">
        <v>24</v>
      </c>
      <c r="G31" s="135">
        <v>4695589</v>
      </c>
      <c r="I31" s="425">
        <v>3801586.5</v>
      </c>
      <c r="M31" s="159">
        <f>+M20</f>
        <v>2.4960000000000003E-2</v>
      </c>
      <c r="N31" s="41">
        <f>+G31*M31</f>
        <v>117201.90144000002</v>
      </c>
      <c r="O31" s="79">
        <f>+N31/I31</f>
        <v>3.082973422806505E-2</v>
      </c>
      <c r="P31" s="43"/>
    </row>
    <row r="32" spans="2:16" s="145" customFormat="1">
      <c r="B32" s="38">
        <v>22</v>
      </c>
      <c r="C32" s="138" t="s">
        <v>123</v>
      </c>
      <c r="D32" s="139"/>
      <c r="E32" s="423"/>
      <c r="F32" s="140">
        <f>SUM(F30:F31)</f>
        <v>511</v>
      </c>
      <c r="G32" s="140">
        <f>SUM(G30:G31)</f>
        <v>17193831</v>
      </c>
      <c r="H32" s="141"/>
      <c r="I32" s="140">
        <f>SUM(I30:I31)</f>
        <v>15440046.34</v>
      </c>
      <c r="J32" s="141"/>
      <c r="K32" s="141"/>
      <c r="M32" s="148"/>
      <c r="N32" s="140">
        <f>SUM(N30:N31)</f>
        <v>220824.825862</v>
      </c>
      <c r="O32" s="144">
        <f>+N32/I32</f>
        <v>1.4302083102556285E-2</v>
      </c>
      <c r="P32" s="51"/>
    </row>
    <row r="33" spans="2:16">
      <c r="B33" s="126">
        <v>23</v>
      </c>
      <c r="C33" s="96" t="s">
        <v>8</v>
      </c>
      <c r="D33" s="40"/>
      <c r="E33" s="421"/>
      <c r="F33" s="136"/>
      <c r="G33" s="135"/>
      <c r="H33" s="136"/>
      <c r="I33" s="425"/>
      <c r="K33" s="136"/>
      <c r="M33" s="159"/>
      <c r="N33" s="41"/>
      <c r="O33" s="79"/>
      <c r="P33" s="43"/>
    </row>
    <row r="34" spans="2:16">
      <c r="B34" s="38">
        <v>24</v>
      </c>
      <c r="C34" s="52" t="s">
        <v>114</v>
      </c>
      <c r="D34" s="40"/>
      <c r="E34" s="420" t="s">
        <v>67</v>
      </c>
      <c r="F34" s="136">
        <v>7</v>
      </c>
      <c r="G34" s="135">
        <v>2206553</v>
      </c>
      <c r="H34" s="136"/>
      <c r="I34" s="425">
        <v>1676430.01</v>
      </c>
      <c r="K34" s="136"/>
      <c r="M34" s="159">
        <f>+'DMA Proposed Rate 594'!F16</f>
        <v>-8.8240000000000002E-3</v>
      </c>
      <c r="N34" s="41">
        <f>+G34*M34</f>
        <v>-19470.623672000002</v>
      </c>
      <c r="O34" s="79">
        <f>+N34/I34</f>
        <v>-1.1614337345344946E-2</v>
      </c>
      <c r="P34" s="43"/>
    </row>
    <row r="35" spans="2:16">
      <c r="B35" s="38">
        <v>26</v>
      </c>
      <c r="C35" s="52" t="s">
        <v>172</v>
      </c>
      <c r="D35" s="40"/>
      <c r="E35" s="420">
        <v>570</v>
      </c>
      <c r="F35" s="136"/>
      <c r="G35" s="135">
        <v>88882</v>
      </c>
      <c r="I35" s="425">
        <v>66972.600000000006</v>
      </c>
      <c r="M35" s="159"/>
      <c r="N35" s="41"/>
      <c r="O35" s="79"/>
      <c r="P35" s="43"/>
    </row>
    <row r="36" spans="2:16">
      <c r="B36" s="38">
        <v>27</v>
      </c>
      <c r="C36" s="52" t="s">
        <v>173</v>
      </c>
      <c r="D36" s="40"/>
      <c r="E36" s="420">
        <v>570</v>
      </c>
      <c r="F36" s="136"/>
      <c r="G36" s="135">
        <v>-88811</v>
      </c>
      <c r="I36" s="425">
        <v>-61381.08</v>
      </c>
      <c r="M36" s="159"/>
      <c r="N36" s="41"/>
      <c r="O36" s="79"/>
      <c r="P36" s="43"/>
    </row>
    <row r="37" spans="2:16">
      <c r="B37" s="38"/>
      <c r="C37" s="52"/>
      <c r="D37" s="40"/>
      <c r="E37" s="420"/>
      <c r="F37" s="136"/>
      <c r="G37" s="135"/>
      <c r="I37" s="425"/>
      <c r="M37" s="159"/>
      <c r="N37" s="41"/>
      <c r="O37" s="79"/>
      <c r="P37" s="43"/>
    </row>
    <row r="38" spans="2:16">
      <c r="B38" s="38"/>
      <c r="C38" s="52"/>
      <c r="D38" s="40"/>
      <c r="E38" s="420"/>
      <c r="F38" s="136"/>
      <c r="G38" s="135"/>
      <c r="I38" s="425"/>
      <c r="M38" s="159"/>
      <c r="N38" s="41"/>
      <c r="O38" s="79"/>
      <c r="P38" s="43"/>
    </row>
    <row r="39" spans="2:16" s="145" customFormat="1">
      <c r="B39" s="151">
        <v>28</v>
      </c>
      <c r="C39" s="130" t="s">
        <v>120</v>
      </c>
      <c r="D39" s="139"/>
      <c r="E39" s="423"/>
      <c r="F39" s="424">
        <f>SUM(F34:F34)</f>
        <v>7</v>
      </c>
      <c r="G39" s="140">
        <f>SUM(G34:G36)</f>
        <v>2206624</v>
      </c>
      <c r="H39" s="141"/>
      <c r="I39" s="478">
        <f>+I34+I35+I36</f>
        <v>1682021.53</v>
      </c>
      <c r="J39" s="141"/>
      <c r="K39" s="141"/>
      <c r="M39" s="152"/>
      <c r="N39" s="143">
        <f>SUM(N34:N34)</f>
        <v>-19470.623672000002</v>
      </c>
      <c r="O39" s="144">
        <f>N39/I39</f>
        <v>-1.1575727970616406E-2</v>
      </c>
      <c r="P39" s="51"/>
    </row>
    <row r="40" spans="2:16" s="145" customFormat="1">
      <c r="B40" s="127">
        <v>29</v>
      </c>
      <c r="C40" s="153" t="s">
        <v>121</v>
      </c>
      <c r="D40" s="51"/>
      <c r="E40" s="426"/>
      <c r="F40" s="141">
        <f>+F39+F32+F28+F17</f>
        <v>228159</v>
      </c>
      <c r="G40" s="140">
        <f>G17+G28+G32+G39</f>
        <v>259843925</v>
      </c>
      <c r="H40" s="141"/>
      <c r="I40" s="478">
        <f>I17+I28+I32+I39</f>
        <v>290870805.63999993</v>
      </c>
      <c r="J40" s="141"/>
      <c r="K40" s="141"/>
      <c r="M40" s="288"/>
      <c r="N40" s="92">
        <f>N17+N28+N32+N39</f>
        <v>4726888.5611919994</v>
      </c>
      <c r="O40" s="144">
        <f>N40/I40</f>
        <v>1.625081812797086E-2</v>
      </c>
      <c r="P40" s="51"/>
    </row>
    <row r="41" spans="2:16" s="43" customFormat="1">
      <c r="B41" s="129"/>
      <c r="C41" s="130" t="s">
        <v>71</v>
      </c>
      <c r="D41" s="131"/>
      <c r="E41" s="129"/>
      <c r="F41" s="279"/>
      <c r="G41" s="279"/>
      <c r="H41" s="136"/>
      <c r="I41" s="154"/>
      <c r="K41" s="136"/>
      <c r="M41" s="155"/>
      <c r="N41" s="155"/>
      <c r="O41" s="156"/>
    </row>
    <row r="42" spans="2:16">
      <c r="B42" s="122">
        <v>30</v>
      </c>
      <c r="C42" s="150" t="s">
        <v>5</v>
      </c>
      <c r="D42" s="40"/>
      <c r="E42" s="420"/>
      <c r="F42" s="136"/>
      <c r="G42" s="135"/>
      <c r="H42" s="427"/>
      <c r="I42" s="479"/>
      <c r="J42" s="150"/>
      <c r="K42" s="150"/>
      <c r="M42" s="159"/>
      <c r="N42" s="41"/>
      <c r="O42" s="157">
        <v>0</v>
      </c>
      <c r="P42" s="43"/>
    </row>
    <row r="43" spans="2:16">
      <c r="B43" s="38">
        <v>31</v>
      </c>
      <c r="C43" s="149" t="s">
        <v>116</v>
      </c>
      <c r="D43" s="40"/>
      <c r="E43" s="421"/>
      <c r="F43" s="136"/>
      <c r="G43" s="135"/>
      <c r="H43" s="427"/>
      <c r="I43" s="425"/>
      <c r="K43" s="136"/>
      <c r="M43" s="158"/>
      <c r="N43" s="41"/>
      <c r="O43" s="157"/>
      <c r="P43" s="43"/>
    </row>
    <row r="44" spans="2:16">
      <c r="B44" s="38">
        <v>32</v>
      </c>
      <c r="C44" s="52" t="s">
        <v>114</v>
      </c>
      <c r="D44" s="40"/>
      <c r="E44" s="420" t="s">
        <v>72</v>
      </c>
      <c r="F44" s="136">
        <v>198</v>
      </c>
      <c r="G44" s="135">
        <v>623152191</v>
      </c>
      <c r="H44" s="136"/>
      <c r="I44" s="425">
        <v>22879391.52</v>
      </c>
      <c r="J44" s="150"/>
      <c r="K44" s="136"/>
      <c r="M44" s="159"/>
      <c r="N44" s="41"/>
      <c r="O44" s="157"/>
      <c r="P44" s="43"/>
    </row>
    <row r="45" spans="2:16">
      <c r="B45" s="38">
        <v>33</v>
      </c>
      <c r="C45" s="52" t="s">
        <v>115</v>
      </c>
      <c r="D45" s="40"/>
      <c r="E45" s="420" t="s">
        <v>154</v>
      </c>
      <c r="F45" s="428">
        <v>6</v>
      </c>
      <c r="G45" s="422">
        <v>199641395</v>
      </c>
      <c r="I45" s="422">
        <v>4265482.95</v>
      </c>
      <c r="M45" s="93"/>
      <c r="N45" s="41"/>
      <c r="O45" s="157"/>
      <c r="P45" s="43"/>
    </row>
    <row r="46" spans="2:16" s="145" customFormat="1">
      <c r="B46" s="38">
        <v>34</v>
      </c>
      <c r="C46" s="160" t="s">
        <v>122</v>
      </c>
      <c r="D46" s="139"/>
      <c r="E46" s="426"/>
      <c r="F46" s="429">
        <f>SUM(F42:F45)</f>
        <v>204</v>
      </c>
      <c r="G46" s="430">
        <f>SUM(G42:G45)</f>
        <v>822793586</v>
      </c>
      <c r="H46" s="51"/>
      <c r="I46" s="480">
        <f>SUM(I42:I45)</f>
        <v>27144874.469999999</v>
      </c>
      <c r="J46" s="51"/>
      <c r="K46" s="51"/>
      <c r="M46" s="286"/>
      <c r="N46" s="162"/>
      <c r="O46" s="163"/>
      <c r="P46" s="51"/>
    </row>
    <row r="47" spans="2:16" s="145" customFormat="1">
      <c r="B47" s="127">
        <v>35</v>
      </c>
      <c r="C47" s="160" t="s">
        <v>73</v>
      </c>
      <c r="D47" s="164"/>
      <c r="E47" s="426"/>
      <c r="F47" s="429">
        <f>+F46+F40</f>
        <v>228363</v>
      </c>
      <c r="G47" s="430">
        <f>G40+G46</f>
        <v>1082637511</v>
      </c>
      <c r="H47" s="141"/>
      <c r="I47" s="478">
        <f>I40+I46</f>
        <v>318015680.1099999</v>
      </c>
      <c r="J47" s="141"/>
      <c r="K47" s="141"/>
      <c r="M47" s="287"/>
      <c r="N47" s="165">
        <f>N40+SUM(N42:N46)</f>
        <v>4726888.5611919994</v>
      </c>
      <c r="O47" s="144">
        <f>N47/I47</f>
        <v>1.4863696530803118E-2</v>
      </c>
      <c r="P47" s="51"/>
    </row>
    <row r="48" spans="2:16" s="43" customFormat="1" outlineLevel="1">
      <c r="B48" s="602"/>
      <c r="C48" s="603"/>
      <c r="E48" s="258"/>
      <c r="F48" s="136"/>
      <c r="G48" s="136"/>
      <c r="H48" s="136"/>
      <c r="I48" s="154"/>
      <c r="K48" s="136"/>
      <c r="M48" s="94"/>
    </row>
    <row r="49" spans="2:11">
      <c r="B49" s="49"/>
      <c r="F49" s="80"/>
      <c r="G49" s="80"/>
      <c r="H49" s="80"/>
      <c r="I49" s="80"/>
      <c r="J49" s="80"/>
    </row>
    <row r="50" spans="2:11">
      <c r="F50" s="81" t="s">
        <v>132</v>
      </c>
      <c r="G50" s="81" t="s">
        <v>133</v>
      </c>
      <c r="H50" s="81"/>
      <c r="I50" s="81" t="s">
        <v>134</v>
      </c>
      <c r="J50" s="81"/>
    </row>
    <row r="51" spans="2:11">
      <c r="F51" s="4"/>
      <c r="G51" s="4"/>
      <c r="H51" s="1"/>
      <c r="I51" s="4"/>
      <c r="J51" s="1"/>
      <c r="K51" s="1"/>
    </row>
    <row r="52" spans="2:11">
      <c r="E52" s="50">
        <v>503</v>
      </c>
      <c r="F52" s="4">
        <f>F12</f>
        <v>200356</v>
      </c>
      <c r="G52" s="4">
        <f>G17</f>
        <v>134190790</v>
      </c>
      <c r="H52" s="1"/>
      <c r="I52" s="4">
        <f>I17</f>
        <v>160697460.31999999</v>
      </c>
      <c r="J52" s="1"/>
      <c r="K52" s="1"/>
    </row>
    <row r="53" spans="2:11">
      <c r="E53" s="50">
        <v>504</v>
      </c>
      <c r="F53" s="4">
        <f>F19</f>
        <v>27210</v>
      </c>
      <c r="G53" s="4">
        <f>G19+G23+G24</f>
        <v>95477709</v>
      </c>
      <c r="H53" s="1"/>
      <c r="I53" s="4">
        <f>+I19+I23+I24</f>
        <v>103915277.34</v>
      </c>
      <c r="J53" s="1"/>
      <c r="K53" s="1"/>
    </row>
    <row r="54" spans="2:11">
      <c r="F54" s="4"/>
      <c r="G54" s="4"/>
      <c r="H54" s="1"/>
      <c r="I54" s="4"/>
      <c r="J54" s="1"/>
      <c r="K54" s="1"/>
    </row>
    <row r="55" spans="2:11">
      <c r="F55" s="4"/>
      <c r="G55" s="4"/>
      <c r="H55" s="1"/>
      <c r="I55" s="4"/>
      <c r="J55" s="1"/>
      <c r="K55" s="1"/>
    </row>
    <row r="56" spans="2:11">
      <c r="E56" s="50">
        <v>511</v>
      </c>
      <c r="F56" s="4">
        <f>F20+F31</f>
        <v>99</v>
      </c>
      <c r="G56" s="4">
        <f>+G20+G25+G26+G31</f>
        <v>15470560</v>
      </c>
      <c r="H56" s="1"/>
      <c r="I56" s="4">
        <f>+I20+I25+I26+I31</f>
        <v>12937586.609999999</v>
      </c>
      <c r="J56" s="1"/>
      <c r="K56" s="1"/>
    </row>
    <row r="57" spans="2:11">
      <c r="E57" s="50">
        <v>505</v>
      </c>
      <c r="F57" s="4">
        <f>F30</f>
        <v>487</v>
      </c>
      <c r="G57" s="4">
        <f>G30</f>
        <v>12498242</v>
      </c>
      <c r="H57" s="1"/>
      <c r="I57" s="4">
        <f>I30</f>
        <v>11638459.84</v>
      </c>
      <c r="J57" s="1"/>
      <c r="K57" s="1"/>
    </row>
    <row r="58" spans="2:11">
      <c r="E58" s="50">
        <v>570</v>
      </c>
      <c r="F58" s="4">
        <f>F34</f>
        <v>7</v>
      </c>
      <c r="G58" s="4">
        <f>G39</f>
        <v>2206624</v>
      </c>
      <c r="H58" s="1"/>
      <c r="I58" s="4">
        <f>+I39</f>
        <v>1682021.53</v>
      </c>
      <c r="J58" s="1"/>
      <c r="K58" s="1"/>
    </row>
    <row r="59" spans="2:11">
      <c r="F59" s="4"/>
      <c r="G59" s="4"/>
      <c r="H59" s="1"/>
      <c r="I59" s="4"/>
      <c r="J59" s="1"/>
      <c r="K59" s="1"/>
    </row>
    <row r="60" spans="2:11">
      <c r="F60" s="4"/>
      <c r="G60" s="4"/>
      <c r="H60" s="1"/>
      <c r="I60" s="4"/>
      <c r="J60" s="1"/>
      <c r="K60" s="1"/>
    </row>
    <row r="61" spans="2:11">
      <c r="E61" s="50">
        <v>663</v>
      </c>
      <c r="F61" s="4">
        <f>F44</f>
        <v>198</v>
      </c>
      <c r="G61" s="4">
        <f>G44</f>
        <v>623152191</v>
      </c>
      <c r="H61" s="1"/>
      <c r="I61" s="4">
        <f>I44</f>
        <v>22879391.52</v>
      </c>
      <c r="J61" s="1"/>
      <c r="K61" s="1"/>
    </row>
    <row r="62" spans="2:11">
      <c r="E62" s="50" t="s">
        <v>154</v>
      </c>
      <c r="F62" s="5">
        <f>F45</f>
        <v>6</v>
      </c>
      <c r="G62" s="5">
        <f>G45</f>
        <v>199641395</v>
      </c>
      <c r="H62" s="5"/>
      <c r="I62" s="5">
        <f>I45</f>
        <v>4265482.95</v>
      </c>
      <c r="J62" s="5"/>
      <c r="K62" s="1"/>
    </row>
    <row r="63" spans="2:11" s="145" customFormat="1">
      <c r="B63" s="166"/>
      <c r="E63" s="166"/>
      <c r="F63" s="73">
        <f>SUM(F51:F62)</f>
        <v>228363</v>
      </c>
      <c r="G63" s="73">
        <f>SUM(G51:G62)</f>
        <v>1082637511</v>
      </c>
      <c r="H63" s="56"/>
      <c r="I63" s="73">
        <f>SUM(I51:I62)</f>
        <v>318015680.1099999</v>
      </c>
      <c r="J63" s="56"/>
      <c r="K63" s="56"/>
    </row>
    <row r="69" spans="6:10">
      <c r="F69" s="145"/>
      <c r="G69" s="145"/>
      <c r="H69" s="51"/>
      <c r="I69" s="145"/>
      <c r="J69" s="51"/>
    </row>
  </sheetData>
  <mergeCells count="4">
    <mergeCell ref="C1:O1"/>
    <mergeCell ref="C2:O2"/>
    <mergeCell ref="C3:O3"/>
    <mergeCell ref="C4:O4"/>
  </mergeCells>
  <phoneticPr fontId="22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4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B89D-CB35-42A4-9121-069E7DEDF9AE}">
  <dimension ref="A1:D33"/>
  <sheetViews>
    <sheetView workbookViewId="0">
      <selection activeCell="C12" sqref="C12"/>
    </sheetView>
  </sheetViews>
  <sheetFormatPr defaultColWidth="10.6640625" defaultRowHeight="15.75"/>
  <cols>
    <col min="1" max="1" width="39.6640625" style="521" bestFit="1" customWidth="1"/>
    <col min="2" max="2" width="10.6640625" style="521"/>
    <col min="3" max="3" width="24.83203125" style="528" customWidth="1"/>
    <col min="4" max="16384" width="10.6640625" style="521"/>
  </cols>
  <sheetData>
    <row r="1" spans="1:4">
      <c r="A1" s="674" t="s">
        <v>261</v>
      </c>
      <c r="B1" s="674"/>
      <c r="C1" s="674"/>
    </row>
    <row r="2" spans="1:4">
      <c r="A2" s="674" t="s">
        <v>290</v>
      </c>
      <c r="B2" s="674"/>
      <c r="C2" s="674"/>
    </row>
    <row r="3" spans="1:4">
      <c r="A3" s="675" t="s">
        <v>351</v>
      </c>
      <c r="B3" s="675"/>
      <c r="C3" s="675"/>
    </row>
    <row r="4" spans="1:4">
      <c r="A4" s="676" t="s">
        <v>291</v>
      </c>
      <c r="B4" s="677"/>
      <c r="C4" s="678"/>
    </row>
    <row r="5" spans="1:4">
      <c r="A5" s="522"/>
      <c r="B5" s="523"/>
      <c r="C5" s="524"/>
    </row>
    <row r="6" spans="1:4">
      <c r="A6" s="522" t="s">
        <v>292</v>
      </c>
      <c r="B6" s="523"/>
      <c r="C6" s="524">
        <v>1</v>
      </c>
    </row>
    <row r="7" spans="1:4">
      <c r="A7" s="525" t="s">
        <v>293</v>
      </c>
      <c r="B7" s="523"/>
      <c r="C7" s="524"/>
    </row>
    <row r="8" spans="1:4">
      <c r="A8" s="526" t="s">
        <v>294</v>
      </c>
      <c r="B8" s="523"/>
      <c r="C8" s="527">
        <v>3.7100000000000002E-3</v>
      </c>
    </row>
    <row r="9" spans="1:4">
      <c r="A9" s="526" t="s">
        <v>295</v>
      </c>
      <c r="B9" s="523"/>
      <c r="C9" s="527">
        <v>3.8519999999999999E-2</v>
      </c>
    </row>
    <row r="10" spans="1:4">
      <c r="A10" s="526" t="s">
        <v>296</v>
      </c>
      <c r="B10" s="523"/>
      <c r="C10" s="527">
        <v>2E-3</v>
      </c>
      <c r="D10" s="528">
        <f>+C8+C9+C10</f>
        <v>4.4229999999999998E-2</v>
      </c>
    </row>
    <row r="11" spans="1:4">
      <c r="A11" s="525" t="s">
        <v>297</v>
      </c>
      <c r="B11" s="523"/>
      <c r="C11" s="529"/>
    </row>
    <row r="12" spans="1:4" ht="16.5" thickBot="1">
      <c r="A12" s="525" t="s">
        <v>298</v>
      </c>
      <c r="B12" s="523"/>
      <c r="C12" s="530">
        <f>+C6-SUM(C8:C11)</f>
        <v>0.95577000000000001</v>
      </c>
    </row>
    <row r="13" spans="1:4">
      <c r="A13" s="531"/>
      <c r="B13" s="523"/>
      <c r="C13" s="524"/>
    </row>
    <row r="14" spans="1:4" ht="16.5" thickBot="1">
      <c r="A14" s="525" t="s">
        <v>299</v>
      </c>
      <c r="B14" s="523"/>
      <c r="C14" s="532">
        <v>0</v>
      </c>
    </row>
    <row r="15" spans="1:4">
      <c r="A15" s="531"/>
      <c r="B15" s="523"/>
      <c r="C15" s="524"/>
    </row>
    <row r="16" spans="1:4" ht="16.5" thickBot="1">
      <c r="A16" s="531" t="s">
        <v>300</v>
      </c>
      <c r="B16" s="523"/>
      <c r="C16" s="532">
        <f>+C12-C14</f>
        <v>0.95577000000000001</v>
      </c>
    </row>
    <row r="17" spans="1:3">
      <c r="A17" s="531"/>
      <c r="B17" s="523"/>
      <c r="C17" s="524"/>
    </row>
    <row r="18" spans="1:3" ht="16.5" thickBot="1">
      <c r="A18" s="531" t="s">
        <v>301</v>
      </c>
      <c r="B18" s="523"/>
      <c r="C18" s="532">
        <f>+C16*0.21</f>
        <v>0.20071169999999999</v>
      </c>
    </row>
    <row r="19" spans="1:3">
      <c r="A19" s="531"/>
      <c r="B19" s="523"/>
      <c r="C19" s="529"/>
    </row>
    <row r="20" spans="1:3" ht="16.5" thickBot="1">
      <c r="A20" s="531" t="s">
        <v>302</v>
      </c>
      <c r="B20" s="523"/>
      <c r="C20" s="530">
        <f>+C14+C18</f>
        <v>0.20071169999999999</v>
      </c>
    </row>
    <row r="21" spans="1:3">
      <c r="A21" s="531"/>
      <c r="B21" s="523"/>
      <c r="C21" s="524"/>
    </row>
    <row r="22" spans="1:3" ht="16.5" thickBot="1">
      <c r="A22" s="531" t="s">
        <v>303</v>
      </c>
      <c r="B22" s="523"/>
      <c r="C22" s="532">
        <f>SUM(C8:C11)+C20</f>
        <v>0.24494169999999998</v>
      </c>
    </row>
    <row r="23" spans="1:3">
      <c r="A23" s="531"/>
      <c r="B23" s="523"/>
      <c r="C23" s="524"/>
    </row>
    <row r="24" spans="1:3">
      <c r="A24" s="531" t="s">
        <v>304</v>
      </c>
      <c r="B24" s="523"/>
      <c r="C24" s="524"/>
    </row>
    <row r="25" spans="1:3" ht="16.5" thickBot="1">
      <c r="A25" s="531" t="s">
        <v>305</v>
      </c>
      <c r="B25" s="523"/>
      <c r="C25" s="533">
        <f>+C6-C22</f>
        <v>0.75505829999999996</v>
      </c>
    </row>
    <row r="26" spans="1:3">
      <c r="A26" s="534"/>
      <c r="B26" s="535"/>
      <c r="C26" s="529"/>
    </row>
    <row r="27" spans="1:3">
      <c r="A27" s="522"/>
      <c r="B27" s="523"/>
      <c r="C27" s="524"/>
    </row>
    <row r="28" spans="1:3">
      <c r="A28" s="522"/>
      <c r="B28" s="523"/>
      <c r="C28" s="524"/>
    </row>
    <row r="29" spans="1:3">
      <c r="A29" s="536" t="s">
        <v>306</v>
      </c>
      <c r="B29" s="537"/>
      <c r="C29" s="538"/>
    </row>
    <row r="30" spans="1:3">
      <c r="A30" s="536" t="s">
        <v>307</v>
      </c>
      <c r="B30" s="537"/>
      <c r="C30" s="538">
        <v>0</v>
      </c>
    </row>
    <row r="31" spans="1:3">
      <c r="A31" s="536" t="s">
        <v>308</v>
      </c>
      <c r="B31" s="537"/>
      <c r="C31" s="538">
        <v>0.21</v>
      </c>
    </row>
    <row r="32" spans="1:3">
      <c r="A32" s="539"/>
      <c r="B32" s="537"/>
      <c r="C32" s="540"/>
    </row>
    <row r="33" spans="1:3">
      <c r="A33" s="541" t="s">
        <v>309</v>
      </c>
      <c r="B33" s="542"/>
      <c r="C33" s="543">
        <f>ROUND(((1-C30)*C31)+C30,5)</f>
        <v>0.21</v>
      </c>
    </row>
  </sheetData>
  <mergeCells count="4">
    <mergeCell ref="A1:C1"/>
    <mergeCell ref="A2:C2"/>
    <mergeCell ref="A3:C3"/>
    <mergeCell ref="A4:C4"/>
  </mergeCells>
  <printOptions horizontalCentered="1"/>
  <pageMargins left="0.7" right="0.7" top="1.25" bottom="0.75" header="0.3" footer="0.3"/>
  <pageSetup orientation="portrait" r:id="rId1"/>
  <headerFooter scaleWithDoc="0" alignWithMargins="0">
    <oddHeader>&amp;RDocket No. UG-19___
Exhibit _____ (MCP-4)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B1:V27"/>
  <sheetViews>
    <sheetView view="pageBreakPreview" zoomScale="98" zoomScaleNormal="100" zoomScaleSheetLayoutView="98" workbookViewId="0">
      <selection activeCell="G14" sqref="G14"/>
    </sheetView>
  </sheetViews>
  <sheetFormatPr defaultColWidth="10.6640625" defaultRowHeight="15"/>
  <cols>
    <col min="1" max="1" width="7.83203125" style="184" customWidth="1"/>
    <col min="2" max="2" width="26" style="184" customWidth="1"/>
    <col min="3" max="3" width="14.1640625" style="184" customWidth="1"/>
    <col min="4" max="4" width="16.1640625" style="184" customWidth="1"/>
    <col min="5" max="5" width="19.83203125" style="184" customWidth="1"/>
    <col min="6" max="6" width="19.33203125" style="184" customWidth="1"/>
    <col min="7" max="7" width="19.5" style="184" customWidth="1"/>
    <col min="8" max="8" width="5.1640625" style="184" customWidth="1"/>
    <col min="9" max="9" width="18" style="184" customWidth="1"/>
    <col min="10" max="10" width="16.1640625" style="184" customWidth="1"/>
    <col min="11" max="12" width="13.83203125" style="184" customWidth="1"/>
    <col min="13" max="13" width="14.83203125" style="184" customWidth="1"/>
    <col min="14" max="14" width="13.33203125" style="184" customWidth="1"/>
    <col min="15" max="15" width="19.6640625" style="184" customWidth="1"/>
    <col min="16" max="17" width="13.33203125" style="184" customWidth="1"/>
    <col min="18" max="18" width="16" style="184" customWidth="1"/>
    <col min="19" max="19" width="14.1640625" style="184" customWidth="1"/>
    <col min="20" max="20" width="17" style="184" customWidth="1"/>
    <col min="21" max="21" width="14.1640625" style="184" customWidth="1"/>
    <col min="22" max="16384" width="10.6640625" style="184"/>
  </cols>
  <sheetData>
    <row r="1" spans="2:15" ht="15.75" customHeight="1">
      <c r="G1" s="386" t="str">
        <f>+'DMA Summary of Def. Accts.'!N1</f>
        <v>CNGC Advice W22-09-03</v>
      </c>
    </row>
    <row r="2" spans="2:15" ht="15.75" customHeight="1">
      <c r="G2" s="306" t="s">
        <v>191</v>
      </c>
    </row>
    <row r="3" spans="2:15" ht="15.75" customHeight="1">
      <c r="G3" s="306" t="s">
        <v>141</v>
      </c>
    </row>
    <row r="4" spans="2:15" s="185" customFormat="1" ht="15.75" customHeight="1">
      <c r="B4" s="343"/>
      <c r="C4" s="616" t="s">
        <v>33</v>
      </c>
      <c r="D4" s="616"/>
      <c r="E4" s="616"/>
      <c r="F4" s="616"/>
      <c r="G4" s="344"/>
      <c r="H4" s="186"/>
      <c r="I4" s="186"/>
      <c r="J4" s="186"/>
      <c r="K4" s="186"/>
      <c r="L4" s="186"/>
      <c r="M4" s="186"/>
      <c r="N4" s="186"/>
      <c r="O4" s="186"/>
    </row>
    <row r="5" spans="2:15" s="185" customFormat="1" ht="15.75" customHeight="1">
      <c r="B5" s="343"/>
      <c r="C5" s="616" t="s">
        <v>86</v>
      </c>
      <c r="D5" s="616"/>
      <c r="E5" s="616"/>
      <c r="F5" s="616"/>
      <c r="G5" s="344"/>
      <c r="H5" s="186"/>
      <c r="I5" s="186"/>
      <c r="J5" s="186"/>
      <c r="K5" s="186"/>
      <c r="L5" s="186"/>
      <c r="M5" s="186"/>
      <c r="N5" s="186"/>
      <c r="O5" s="186"/>
    </row>
    <row r="6" spans="2:15" s="185" customFormat="1" ht="15.75" customHeight="1">
      <c r="B6" s="343"/>
      <c r="C6" s="616" t="s">
        <v>180</v>
      </c>
      <c r="D6" s="616"/>
      <c r="E6" s="616"/>
      <c r="F6" s="616"/>
      <c r="G6" s="344"/>
      <c r="H6" s="186"/>
      <c r="I6" s="186"/>
      <c r="J6" s="186"/>
      <c r="K6" s="186"/>
      <c r="L6" s="186"/>
      <c r="M6" s="186"/>
      <c r="N6" s="186"/>
      <c r="O6" s="186"/>
    </row>
    <row r="7" spans="2:15" s="185" customFormat="1" ht="15.75" customHeight="1">
      <c r="B7" s="343"/>
      <c r="C7" s="616" t="s">
        <v>35</v>
      </c>
      <c r="D7" s="616"/>
      <c r="E7" s="616"/>
      <c r="F7" s="616"/>
      <c r="G7" s="344"/>
      <c r="H7" s="186"/>
      <c r="I7" s="186"/>
      <c r="J7" s="186"/>
      <c r="K7" s="186"/>
      <c r="L7" s="186"/>
      <c r="M7" s="186"/>
      <c r="N7" s="186"/>
      <c r="O7" s="186"/>
    </row>
    <row r="8" spans="2:15" ht="15.75">
      <c r="B8" s="345"/>
      <c r="C8" s="345"/>
      <c r="D8" s="345"/>
      <c r="E8" s="345"/>
      <c r="F8" s="346"/>
      <c r="G8" s="339"/>
    </row>
    <row r="9" spans="2:15" s="191" customFormat="1" ht="63">
      <c r="B9" s="347" t="s">
        <v>0</v>
      </c>
      <c r="C9" s="348" t="s">
        <v>135</v>
      </c>
      <c r="D9" s="347" t="s">
        <v>179</v>
      </c>
      <c r="E9" s="363" t="s">
        <v>201</v>
      </c>
      <c r="F9" s="347" t="s">
        <v>181</v>
      </c>
      <c r="G9" s="347" t="s">
        <v>182</v>
      </c>
      <c r="H9" s="190"/>
      <c r="I9" s="190"/>
      <c r="J9" s="190"/>
      <c r="K9" s="190"/>
    </row>
    <row r="10" spans="2:15" ht="15.75">
      <c r="B10" s="349" t="s">
        <v>9</v>
      </c>
      <c r="C10" s="350" t="s">
        <v>10</v>
      </c>
      <c r="D10" s="351" t="s">
        <v>11</v>
      </c>
      <c r="E10" s="352" t="s">
        <v>12</v>
      </c>
      <c r="F10" s="351" t="s">
        <v>13</v>
      </c>
      <c r="G10" s="353" t="s">
        <v>87</v>
      </c>
      <c r="H10" s="188"/>
      <c r="I10" s="188"/>
      <c r="J10" s="188"/>
      <c r="K10" s="188"/>
    </row>
    <row r="11" spans="2:15" ht="16.5" customHeight="1">
      <c r="B11" s="354" t="s">
        <v>88</v>
      </c>
      <c r="C11" s="338"/>
      <c r="D11" s="338"/>
      <c r="E11" s="338"/>
      <c r="F11" s="489"/>
      <c r="G11" s="338"/>
    </row>
    <row r="12" spans="2:15" ht="15.75">
      <c r="B12" s="357" t="s">
        <v>53</v>
      </c>
      <c r="C12" s="355">
        <v>503</v>
      </c>
      <c r="D12" s="581">
        <v>-1.0749999999999999E-2</v>
      </c>
      <c r="E12" s="342">
        <f>+'DMA Summary of Def. Accts.'!G22</f>
        <v>1.9044999999999999E-2</v>
      </c>
      <c r="F12" s="341">
        <f>+D12+E12</f>
        <v>8.2950000000000003E-3</v>
      </c>
      <c r="G12" s="340">
        <f>+E12</f>
        <v>1.9044999999999999E-2</v>
      </c>
      <c r="H12" s="3"/>
      <c r="I12" s="84"/>
      <c r="J12" s="35"/>
      <c r="K12" s="35"/>
    </row>
    <row r="13" spans="2:15" ht="15.75">
      <c r="B13" s="357" t="s">
        <v>61</v>
      </c>
      <c r="C13" s="355">
        <v>504</v>
      </c>
      <c r="D13" s="581">
        <v>-3.1900000000000001E-3</v>
      </c>
      <c r="E13" s="342">
        <f>+'DMA Summary of Def. Accts.'!H22</f>
        <v>3.6503000000000001E-2</v>
      </c>
      <c r="F13" s="341">
        <f>+D13+E13</f>
        <v>3.3313000000000002E-2</v>
      </c>
      <c r="G13" s="340">
        <f>+E13</f>
        <v>3.6503000000000001E-2</v>
      </c>
      <c r="H13" s="3"/>
      <c r="I13" s="84"/>
      <c r="J13" s="35"/>
      <c r="K13" s="35"/>
    </row>
    <row r="14" spans="2:15" ht="15.75">
      <c r="B14" s="357" t="s">
        <v>65</v>
      </c>
      <c r="C14" s="356">
        <v>505</v>
      </c>
      <c r="D14" s="581">
        <v>-7.2700000000000004E-3</v>
      </c>
      <c r="E14" s="342">
        <f>+'DMA Summary of Def. Accts.'!I22</f>
        <v>1.5561E-2</v>
      </c>
      <c r="F14" s="341">
        <f>+D14+E14</f>
        <v>8.2909999999999998E-3</v>
      </c>
      <c r="G14" s="340">
        <f>+E14</f>
        <v>1.5561E-2</v>
      </c>
      <c r="H14" s="3"/>
      <c r="I14" s="84"/>
      <c r="J14" s="35"/>
      <c r="K14" s="35"/>
    </row>
    <row r="15" spans="2:15" ht="15.75">
      <c r="B15" s="357" t="s">
        <v>137</v>
      </c>
      <c r="C15" s="356">
        <v>511</v>
      </c>
      <c r="D15" s="581">
        <v>5.3830000000000003E-2</v>
      </c>
      <c r="E15" s="342">
        <f>+'DMA Summary of Def. Accts.'!J22</f>
        <v>-2.887E-2</v>
      </c>
      <c r="F15" s="341">
        <f>+D15+E15</f>
        <v>2.4960000000000003E-2</v>
      </c>
      <c r="G15" s="340">
        <f>+E15</f>
        <v>-2.887E-2</v>
      </c>
      <c r="H15" s="3"/>
      <c r="I15" s="84"/>
      <c r="J15" s="35"/>
      <c r="K15" s="35"/>
    </row>
    <row r="16" spans="2:15" ht="15.75">
      <c r="B16" s="357" t="s">
        <v>89</v>
      </c>
      <c r="C16" s="356">
        <v>570</v>
      </c>
      <c r="D16" s="581">
        <v>-2.82E-3</v>
      </c>
      <c r="E16" s="342">
        <f>+'DMA Summary of Def. Accts.'!K22</f>
        <v>-6.0039999999999998E-3</v>
      </c>
      <c r="F16" s="341">
        <f>+D16+E16</f>
        <v>-8.8240000000000002E-3</v>
      </c>
      <c r="G16" s="340">
        <f>+E16</f>
        <v>-6.0039999999999998E-3</v>
      </c>
      <c r="H16" s="3"/>
      <c r="I16" s="84"/>
      <c r="J16" s="35"/>
      <c r="K16" s="35"/>
    </row>
    <row r="17" spans="2:22" ht="15.75">
      <c r="B17" s="358"/>
      <c r="C17" s="359"/>
      <c r="D17" s="359"/>
      <c r="E17" s="359"/>
      <c r="F17" s="360"/>
      <c r="G17" s="359"/>
      <c r="H17" s="84"/>
      <c r="I17" s="84"/>
      <c r="J17" s="35"/>
      <c r="K17" s="35"/>
    </row>
    <row r="18" spans="2:22" s="187" customFormat="1">
      <c r="B18" s="202"/>
      <c r="G18" s="84"/>
      <c r="H18" s="84"/>
      <c r="I18" s="84"/>
      <c r="J18" s="84"/>
      <c r="K18" s="84"/>
    </row>
    <row r="19" spans="2:22">
      <c r="B19" s="203"/>
      <c r="G19" s="4"/>
      <c r="Q19" s="35"/>
      <c r="R19" s="35"/>
      <c r="S19" s="35"/>
      <c r="T19" s="35"/>
      <c r="U19" s="35"/>
      <c r="V19" s="35"/>
    </row>
    <row r="20" spans="2:22">
      <c r="B20" s="203"/>
      <c r="F20" s="204"/>
      <c r="G20" s="4"/>
      <c r="Q20" s="35"/>
      <c r="R20" s="35"/>
      <c r="S20" s="35"/>
      <c r="T20" s="35"/>
      <c r="U20" s="35"/>
    </row>
    <row r="21" spans="2:22">
      <c r="B21" s="203"/>
      <c r="F21" s="204"/>
      <c r="G21" s="4"/>
      <c r="Q21" s="35"/>
      <c r="R21" s="35"/>
      <c r="S21" s="35"/>
      <c r="T21" s="35"/>
      <c r="U21" s="35"/>
    </row>
    <row r="22" spans="2:22">
      <c r="B22" s="205"/>
      <c r="F22" s="204"/>
      <c r="G22" s="4"/>
    </row>
    <row r="23" spans="2:22">
      <c r="B23" s="205"/>
      <c r="F23" s="204"/>
      <c r="G23" s="86"/>
      <c r="H23" s="86"/>
      <c r="I23" s="86"/>
    </row>
    <row r="24" spans="2:22">
      <c r="F24" s="206"/>
      <c r="K24" s="86"/>
    </row>
    <row r="25" spans="2:22">
      <c r="F25" s="207"/>
      <c r="K25" s="86"/>
    </row>
    <row r="26" spans="2:22">
      <c r="K26" s="86"/>
    </row>
    <row r="27" spans="2:22">
      <c r="K27" s="86"/>
    </row>
  </sheetData>
  <mergeCells count="4">
    <mergeCell ref="C7:F7"/>
    <mergeCell ref="C6:F6"/>
    <mergeCell ref="C5:F5"/>
    <mergeCell ref="C4:F4"/>
  </mergeCells>
  <phoneticPr fontId="24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Q23"/>
  <sheetViews>
    <sheetView view="pageBreakPreview" zoomScale="93" zoomScaleNormal="100" zoomScaleSheetLayoutView="93" workbookViewId="0">
      <selection activeCell="L13" sqref="L13"/>
    </sheetView>
  </sheetViews>
  <sheetFormatPr defaultRowHeight="15"/>
  <cols>
    <col min="1" max="1" width="6.5" style="63" bestFit="1" customWidth="1"/>
    <col min="2" max="2" width="47.6640625" style="176" customWidth="1"/>
    <col min="3" max="3" width="12.6640625" style="176" bestFit="1" customWidth="1"/>
    <col min="4" max="4" width="16" style="176" bestFit="1" customWidth="1"/>
    <col min="5" max="5" width="23.1640625" style="176" bestFit="1" customWidth="1"/>
    <col min="6" max="6" width="1.33203125" style="15" customWidth="1"/>
    <col min="7" max="7" width="27.83203125" style="176" customWidth="1"/>
    <col min="8" max="9" width="1.33203125" style="15" customWidth="1"/>
    <col min="10" max="10" width="17.1640625" style="8" bestFit="1" customWidth="1"/>
    <col min="11" max="11" width="19.33203125" style="176" customWidth="1"/>
    <col min="12" max="12" width="15.6640625" style="176" bestFit="1" customWidth="1"/>
    <col min="13" max="13" width="9.33203125" style="176"/>
    <col min="14" max="14" width="14.5" style="176" bestFit="1" customWidth="1"/>
    <col min="15" max="15" width="17.6640625" style="176" bestFit="1" customWidth="1"/>
    <col min="16" max="249" width="9.33203125" style="176"/>
    <col min="250" max="250" width="5" style="176" customWidth="1"/>
    <col min="251" max="251" width="9.33203125" style="176"/>
    <col min="252" max="252" width="21.6640625" style="176" customWidth="1"/>
    <col min="253" max="253" width="13.5" style="176" customWidth="1"/>
    <col min="254" max="254" width="10.5" style="176" customWidth="1"/>
    <col min="255" max="255" width="15.1640625" style="176" customWidth="1"/>
    <col min="256" max="256" width="3.6640625" style="176" customWidth="1"/>
    <col min="257" max="257" width="13.1640625" style="176" customWidth="1"/>
    <col min="258" max="258" width="3.83203125" style="176" customWidth="1"/>
    <col min="259" max="259" width="15" style="176" customWidth="1"/>
    <col min="260" max="260" width="3.6640625" style="176" customWidth="1"/>
    <col min="261" max="262" width="13" style="176" customWidth="1"/>
    <col min="263" max="263" width="0" style="176" hidden="1" customWidth="1"/>
    <col min="264" max="265" width="9.33203125" style="176"/>
    <col min="266" max="266" width="15.83203125" style="176" customWidth="1"/>
    <col min="267" max="505" width="9.33203125" style="176"/>
    <col min="506" max="506" width="5" style="176" customWidth="1"/>
    <col min="507" max="507" width="9.33203125" style="176"/>
    <col min="508" max="508" width="21.6640625" style="176" customWidth="1"/>
    <col min="509" max="509" width="13.5" style="176" customWidth="1"/>
    <col min="510" max="510" width="10.5" style="176" customWidth="1"/>
    <col min="511" max="511" width="15.1640625" style="176" customWidth="1"/>
    <col min="512" max="512" width="3.6640625" style="176" customWidth="1"/>
    <col min="513" max="513" width="13.1640625" style="176" customWidth="1"/>
    <col min="514" max="514" width="3.83203125" style="176" customWidth="1"/>
    <col min="515" max="515" width="15" style="176" customWidth="1"/>
    <col min="516" max="516" width="3.6640625" style="176" customWidth="1"/>
    <col min="517" max="518" width="13" style="176" customWidth="1"/>
    <col min="519" max="519" width="0" style="176" hidden="1" customWidth="1"/>
    <col min="520" max="521" width="9.33203125" style="176"/>
    <col min="522" max="522" width="15.83203125" style="176" customWidth="1"/>
    <col min="523" max="761" width="9.33203125" style="176"/>
    <col min="762" max="762" width="5" style="176" customWidth="1"/>
    <col min="763" max="763" width="9.33203125" style="176"/>
    <col min="764" max="764" width="21.6640625" style="176" customWidth="1"/>
    <col min="765" max="765" width="13.5" style="176" customWidth="1"/>
    <col min="766" max="766" width="10.5" style="176" customWidth="1"/>
    <col min="767" max="767" width="15.1640625" style="176" customWidth="1"/>
    <col min="768" max="768" width="3.6640625" style="176" customWidth="1"/>
    <col min="769" max="769" width="13.1640625" style="176" customWidth="1"/>
    <col min="770" max="770" width="3.83203125" style="176" customWidth="1"/>
    <col min="771" max="771" width="15" style="176" customWidth="1"/>
    <col min="772" max="772" width="3.6640625" style="176" customWidth="1"/>
    <col min="773" max="774" width="13" style="176" customWidth="1"/>
    <col min="775" max="775" width="0" style="176" hidden="1" customWidth="1"/>
    <col min="776" max="777" width="9.33203125" style="176"/>
    <col min="778" max="778" width="15.83203125" style="176" customWidth="1"/>
    <col min="779" max="1017" width="9.33203125" style="176"/>
    <col min="1018" max="1018" width="5" style="176" customWidth="1"/>
    <col min="1019" max="1019" width="9.33203125" style="176"/>
    <col min="1020" max="1020" width="21.6640625" style="176" customWidth="1"/>
    <col min="1021" max="1021" width="13.5" style="176" customWidth="1"/>
    <col min="1022" max="1022" width="10.5" style="176" customWidth="1"/>
    <col min="1023" max="1023" width="15.1640625" style="176" customWidth="1"/>
    <col min="1024" max="1024" width="3.6640625" style="176" customWidth="1"/>
    <col min="1025" max="1025" width="13.1640625" style="176" customWidth="1"/>
    <col min="1026" max="1026" width="3.83203125" style="176" customWidth="1"/>
    <col min="1027" max="1027" width="15" style="176" customWidth="1"/>
    <col min="1028" max="1028" width="3.6640625" style="176" customWidth="1"/>
    <col min="1029" max="1030" width="13" style="176" customWidth="1"/>
    <col min="1031" max="1031" width="0" style="176" hidden="1" customWidth="1"/>
    <col min="1032" max="1033" width="9.33203125" style="176"/>
    <col min="1034" max="1034" width="15.83203125" style="176" customWidth="1"/>
    <col min="1035" max="1273" width="9.33203125" style="176"/>
    <col min="1274" max="1274" width="5" style="176" customWidth="1"/>
    <col min="1275" max="1275" width="9.33203125" style="176"/>
    <col min="1276" max="1276" width="21.6640625" style="176" customWidth="1"/>
    <col min="1277" max="1277" width="13.5" style="176" customWidth="1"/>
    <col min="1278" max="1278" width="10.5" style="176" customWidth="1"/>
    <col min="1279" max="1279" width="15.1640625" style="176" customWidth="1"/>
    <col min="1280" max="1280" width="3.6640625" style="176" customWidth="1"/>
    <col min="1281" max="1281" width="13.1640625" style="176" customWidth="1"/>
    <col min="1282" max="1282" width="3.83203125" style="176" customWidth="1"/>
    <col min="1283" max="1283" width="15" style="176" customWidth="1"/>
    <col min="1284" max="1284" width="3.6640625" style="176" customWidth="1"/>
    <col min="1285" max="1286" width="13" style="176" customWidth="1"/>
    <col min="1287" max="1287" width="0" style="176" hidden="1" customWidth="1"/>
    <col min="1288" max="1289" width="9.33203125" style="176"/>
    <col min="1290" max="1290" width="15.83203125" style="176" customWidth="1"/>
    <col min="1291" max="1529" width="9.33203125" style="176"/>
    <col min="1530" max="1530" width="5" style="176" customWidth="1"/>
    <col min="1531" max="1531" width="9.33203125" style="176"/>
    <col min="1532" max="1532" width="21.6640625" style="176" customWidth="1"/>
    <col min="1533" max="1533" width="13.5" style="176" customWidth="1"/>
    <col min="1534" max="1534" width="10.5" style="176" customWidth="1"/>
    <col min="1535" max="1535" width="15.1640625" style="176" customWidth="1"/>
    <col min="1536" max="1536" width="3.6640625" style="176" customWidth="1"/>
    <col min="1537" max="1537" width="13.1640625" style="176" customWidth="1"/>
    <col min="1538" max="1538" width="3.83203125" style="176" customWidth="1"/>
    <col min="1539" max="1539" width="15" style="176" customWidth="1"/>
    <col min="1540" max="1540" width="3.6640625" style="176" customWidth="1"/>
    <col min="1541" max="1542" width="13" style="176" customWidth="1"/>
    <col min="1543" max="1543" width="0" style="176" hidden="1" customWidth="1"/>
    <col min="1544" max="1545" width="9.33203125" style="176"/>
    <col min="1546" max="1546" width="15.83203125" style="176" customWidth="1"/>
    <col min="1547" max="1785" width="9.33203125" style="176"/>
    <col min="1786" max="1786" width="5" style="176" customWidth="1"/>
    <col min="1787" max="1787" width="9.33203125" style="176"/>
    <col min="1788" max="1788" width="21.6640625" style="176" customWidth="1"/>
    <col min="1789" max="1789" width="13.5" style="176" customWidth="1"/>
    <col min="1790" max="1790" width="10.5" style="176" customWidth="1"/>
    <col min="1791" max="1791" width="15.1640625" style="176" customWidth="1"/>
    <col min="1792" max="1792" width="3.6640625" style="176" customWidth="1"/>
    <col min="1793" max="1793" width="13.1640625" style="176" customWidth="1"/>
    <col min="1794" max="1794" width="3.83203125" style="176" customWidth="1"/>
    <col min="1795" max="1795" width="15" style="176" customWidth="1"/>
    <col min="1796" max="1796" width="3.6640625" style="176" customWidth="1"/>
    <col min="1797" max="1798" width="13" style="176" customWidth="1"/>
    <col min="1799" max="1799" width="0" style="176" hidden="1" customWidth="1"/>
    <col min="1800" max="1801" width="9.33203125" style="176"/>
    <col min="1802" max="1802" width="15.83203125" style="176" customWidth="1"/>
    <col min="1803" max="2041" width="9.33203125" style="176"/>
    <col min="2042" max="2042" width="5" style="176" customWidth="1"/>
    <col min="2043" max="2043" width="9.33203125" style="176"/>
    <col min="2044" max="2044" width="21.6640625" style="176" customWidth="1"/>
    <col min="2045" max="2045" width="13.5" style="176" customWidth="1"/>
    <col min="2046" max="2046" width="10.5" style="176" customWidth="1"/>
    <col min="2047" max="2047" width="15.1640625" style="176" customWidth="1"/>
    <col min="2048" max="2048" width="3.6640625" style="176" customWidth="1"/>
    <col min="2049" max="2049" width="13.1640625" style="176" customWidth="1"/>
    <col min="2050" max="2050" width="3.83203125" style="176" customWidth="1"/>
    <col min="2051" max="2051" width="15" style="176" customWidth="1"/>
    <col min="2052" max="2052" width="3.6640625" style="176" customWidth="1"/>
    <col min="2053" max="2054" width="13" style="176" customWidth="1"/>
    <col min="2055" max="2055" width="0" style="176" hidden="1" customWidth="1"/>
    <col min="2056" max="2057" width="9.33203125" style="176"/>
    <col min="2058" max="2058" width="15.83203125" style="176" customWidth="1"/>
    <col min="2059" max="2297" width="9.33203125" style="176"/>
    <col min="2298" max="2298" width="5" style="176" customWidth="1"/>
    <col min="2299" max="2299" width="9.33203125" style="176"/>
    <col min="2300" max="2300" width="21.6640625" style="176" customWidth="1"/>
    <col min="2301" max="2301" width="13.5" style="176" customWidth="1"/>
    <col min="2302" max="2302" width="10.5" style="176" customWidth="1"/>
    <col min="2303" max="2303" width="15.1640625" style="176" customWidth="1"/>
    <col min="2304" max="2304" width="3.6640625" style="176" customWidth="1"/>
    <col min="2305" max="2305" width="13.1640625" style="176" customWidth="1"/>
    <col min="2306" max="2306" width="3.83203125" style="176" customWidth="1"/>
    <col min="2307" max="2307" width="15" style="176" customWidth="1"/>
    <col min="2308" max="2308" width="3.6640625" style="176" customWidth="1"/>
    <col min="2309" max="2310" width="13" style="176" customWidth="1"/>
    <col min="2311" max="2311" width="0" style="176" hidden="1" customWidth="1"/>
    <col min="2312" max="2313" width="9.33203125" style="176"/>
    <col min="2314" max="2314" width="15.83203125" style="176" customWidth="1"/>
    <col min="2315" max="2553" width="9.33203125" style="176"/>
    <col min="2554" max="2554" width="5" style="176" customWidth="1"/>
    <col min="2555" max="2555" width="9.33203125" style="176"/>
    <col min="2556" max="2556" width="21.6640625" style="176" customWidth="1"/>
    <col min="2557" max="2557" width="13.5" style="176" customWidth="1"/>
    <col min="2558" max="2558" width="10.5" style="176" customWidth="1"/>
    <col min="2559" max="2559" width="15.1640625" style="176" customWidth="1"/>
    <col min="2560" max="2560" width="3.6640625" style="176" customWidth="1"/>
    <col min="2561" max="2561" width="13.1640625" style="176" customWidth="1"/>
    <col min="2562" max="2562" width="3.83203125" style="176" customWidth="1"/>
    <col min="2563" max="2563" width="15" style="176" customWidth="1"/>
    <col min="2564" max="2564" width="3.6640625" style="176" customWidth="1"/>
    <col min="2565" max="2566" width="13" style="176" customWidth="1"/>
    <col min="2567" max="2567" width="0" style="176" hidden="1" customWidth="1"/>
    <col min="2568" max="2569" width="9.33203125" style="176"/>
    <col min="2570" max="2570" width="15.83203125" style="176" customWidth="1"/>
    <col min="2571" max="2809" width="9.33203125" style="176"/>
    <col min="2810" max="2810" width="5" style="176" customWidth="1"/>
    <col min="2811" max="2811" width="9.33203125" style="176"/>
    <col min="2812" max="2812" width="21.6640625" style="176" customWidth="1"/>
    <col min="2813" max="2813" width="13.5" style="176" customWidth="1"/>
    <col min="2814" max="2814" width="10.5" style="176" customWidth="1"/>
    <col min="2815" max="2815" width="15.1640625" style="176" customWidth="1"/>
    <col min="2816" max="2816" width="3.6640625" style="176" customWidth="1"/>
    <col min="2817" max="2817" width="13.1640625" style="176" customWidth="1"/>
    <col min="2818" max="2818" width="3.83203125" style="176" customWidth="1"/>
    <col min="2819" max="2819" width="15" style="176" customWidth="1"/>
    <col min="2820" max="2820" width="3.6640625" style="176" customWidth="1"/>
    <col min="2821" max="2822" width="13" style="176" customWidth="1"/>
    <col min="2823" max="2823" width="0" style="176" hidden="1" customWidth="1"/>
    <col min="2824" max="2825" width="9.33203125" style="176"/>
    <col min="2826" max="2826" width="15.83203125" style="176" customWidth="1"/>
    <col min="2827" max="3065" width="9.33203125" style="176"/>
    <col min="3066" max="3066" width="5" style="176" customWidth="1"/>
    <col min="3067" max="3067" width="9.33203125" style="176"/>
    <col min="3068" max="3068" width="21.6640625" style="176" customWidth="1"/>
    <col min="3069" max="3069" width="13.5" style="176" customWidth="1"/>
    <col min="3070" max="3070" width="10.5" style="176" customWidth="1"/>
    <col min="3071" max="3071" width="15.1640625" style="176" customWidth="1"/>
    <col min="3072" max="3072" width="3.6640625" style="176" customWidth="1"/>
    <col min="3073" max="3073" width="13.1640625" style="176" customWidth="1"/>
    <col min="3074" max="3074" width="3.83203125" style="176" customWidth="1"/>
    <col min="3075" max="3075" width="15" style="176" customWidth="1"/>
    <col min="3076" max="3076" width="3.6640625" style="176" customWidth="1"/>
    <col min="3077" max="3078" width="13" style="176" customWidth="1"/>
    <col min="3079" max="3079" width="0" style="176" hidden="1" customWidth="1"/>
    <col min="3080" max="3081" width="9.33203125" style="176"/>
    <col min="3082" max="3082" width="15.83203125" style="176" customWidth="1"/>
    <col min="3083" max="3321" width="9.33203125" style="176"/>
    <col min="3322" max="3322" width="5" style="176" customWidth="1"/>
    <col min="3323" max="3323" width="9.33203125" style="176"/>
    <col min="3324" max="3324" width="21.6640625" style="176" customWidth="1"/>
    <col min="3325" max="3325" width="13.5" style="176" customWidth="1"/>
    <col min="3326" max="3326" width="10.5" style="176" customWidth="1"/>
    <col min="3327" max="3327" width="15.1640625" style="176" customWidth="1"/>
    <col min="3328" max="3328" width="3.6640625" style="176" customWidth="1"/>
    <col min="3329" max="3329" width="13.1640625" style="176" customWidth="1"/>
    <col min="3330" max="3330" width="3.83203125" style="176" customWidth="1"/>
    <col min="3331" max="3331" width="15" style="176" customWidth="1"/>
    <col min="3332" max="3332" width="3.6640625" style="176" customWidth="1"/>
    <col min="3333" max="3334" width="13" style="176" customWidth="1"/>
    <col min="3335" max="3335" width="0" style="176" hidden="1" customWidth="1"/>
    <col min="3336" max="3337" width="9.33203125" style="176"/>
    <col min="3338" max="3338" width="15.83203125" style="176" customWidth="1"/>
    <col min="3339" max="3577" width="9.33203125" style="176"/>
    <col min="3578" max="3578" width="5" style="176" customWidth="1"/>
    <col min="3579" max="3579" width="9.33203125" style="176"/>
    <col min="3580" max="3580" width="21.6640625" style="176" customWidth="1"/>
    <col min="3581" max="3581" width="13.5" style="176" customWidth="1"/>
    <col min="3582" max="3582" width="10.5" style="176" customWidth="1"/>
    <col min="3583" max="3583" width="15.1640625" style="176" customWidth="1"/>
    <col min="3584" max="3584" width="3.6640625" style="176" customWidth="1"/>
    <col min="3585" max="3585" width="13.1640625" style="176" customWidth="1"/>
    <col min="3586" max="3586" width="3.83203125" style="176" customWidth="1"/>
    <col min="3587" max="3587" width="15" style="176" customWidth="1"/>
    <col min="3588" max="3588" width="3.6640625" style="176" customWidth="1"/>
    <col min="3589" max="3590" width="13" style="176" customWidth="1"/>
    <col min="3591" max="3591" width="0" style="176" hidden="1" customWidth="1"/>
    <col min="3592" max="3593" width="9.33203125" style="176"/>
    <col min="3594" max="3594" width="15.83203125" style="176" customWidth="1"/>
    <col min="3595" max="3833" width="9.33203125" style="176"/>
    <col min="3834" max="3834" width="5" style="176" customWidth="1"/>
    <col min="3835" max="3835" width="9.33203125" style="176"/>
    <col min="3836" max="3836" width="21.6640625" style="176" customWidth="1"/>
    <col min="3837" max="3837" width="13.5" style="176" customWidth="1"/>
    <col min="3838" max="3838" width="10.5" style="176" customWidth="1"/>
    <col min="3839" max="3839" width="15.1640625" style="176" customWidth="1"/>
    <col min="3840" max="3840" width="3.6640625" style="176" customWidth="1"/>
    <col min="3841" max="3841" width="13.1640625" style="176" customWidth="1"/>
    <col min="3842" max="3842" width="3.83203125" style="176" customWidth="1"/>
    <col min="3843" max="3843" width="15" style="176" customWidth="1"/>
    <col min="3844" max="3844" width="3.6640625" style="176" customWidth="1"/>
    <col min="3845" max="3846" width="13" style="176" customWidth="1"/>
    <col min="3847" max="3847" width="0" style="176" hidden="1" customWidth="1"/>
    <col min="3848" max="3849" width="9.33203125" style="176"/>
    <col min="3850" max="3850" width="15.83203125" style="176" customWidth="1"/>
    <col min="3851" max="4089" width="9.33203125" style="176"/>
    <col min="4090" max="4090" width="5" style="176" customWidth="1"/>
    <col min="4091" max="4091" width="9.33203125" style="176"/>
    <col min="4092" max="4092" width="21.6640625" style="176" customWidth="1"/>
    <col min="4093" max="4093" width="13.5" style="176" customWidth="1"/>
    <col min="4094" max="4094" width="10.5" style="176" customWidth="1"/>
    <col min="4095" max="4095" width="15.1640625" style="176" customWidth="1"/>
    <col min="4096" max="4096" width="3.6640625" style="176" customWidth="1"/>
    <col min="4097" max="4097" width="13.1640625" style="176" customWidth="1"/>
    <col min="4098" max="4098" width="3.83203125" style="176" customWidth="1"/>
    <col min="4099" max="4099" width="15" style="176" customWidth="1"/>
    <col min="4100" max="4100" width="3.6640625" style="176" customWidth="1"/>
    <col min="4101" max="4102" width="13" style="176" customWidth="1"/>
    <col min="4103" max="4103" width="0" style="176" hidden="1" customWidth="1"/>
    <col min="4104" max="4105" width="9.33203125" style="176"/>
    <col min="4106" max="4106" width="15.83203125" style="176" customWidth="1"/>
    <col min="4107" max="4345" width="9.33203125" style="176"/>
    <col min="4346" max="4346" width="5" style="176" customWidth="1"/>
    <col min="4347" max="4347" width="9.33203125" style="176"/>
    <col min="4348" max="4348" width="21.6640625" style="176" customWidth="1"/>
    <col min="4349" max="4349" width="13.5" style="176" customWidth="1"/>
    <col min="4350" max="4350" width="10.5" style="176" customWidth="1"/>
    <col min="4351" max="4351" width="15.1640625" style="176" customWidth="1"/>
    <col min="4352" max="4352" width="3.6640625" style="176" customWidth="1"/>
    <col min="4353" max="4353" width="13.1640625" style="176" customWidth="1"/>
    <col min="4354" max="4354" width="3.83203125" style="176" customWidth="1"/>
    <col min="4355" max="4355" width="15" style="176" customWidth="1"/>
    <col min="4356" max="4356" width="3.6640625" style="176" customWidth="1"/>
    <col min="4357" max="4358" width="13" style="176" customWidth="1"/>
    <col min="4359" max="4359" width="0" style="176" hidden="1" customWidth="1"/>
    <col min="4360" max="4361" width="9.33203125" style="176"/>
    <col min="4362" max="4362" width="15.83203125" style="176" customWidth="1"/>
    <col min="4363" max="4601" width="9.33203125" style="176"/>
    <col min="4602" max="4602" width="5" style="176" customWidth="1"/>
    <col min="4603" max="4603" width="9.33203125" style="176"/>
    <col min="4604" max="4604" width="21.6640625" style="176" customWidth="1"/>
    <col min="4605" max="4605" width="13.5" style="176" customWidth="1"/>
    <col min="4606" max="4606" width="10.5" style="176" customWidth="1"/>
    <col min="4607" max="4607" width="15.1640625" style="176" customWidth="1"/>
    <col min="4608" max="4608" width="3.6640625" style="176" customWidth="1"/>
    <col min="4609" max="4609" width="13.1640625" style="176" customWidth="1"/>
    <col min="4610" max="4610" width="3.83203125" style="176" customWidth="1"/>
    <col min="4611" max="4611" width="15" style="176" customWidth="1"/>
    <col min="4612" max="4612" width="3.6640625" style="176" customWidth="1"/>
    <col min="4613" max="4614" width="13" style="176" customWidth="1"/>
    <col min="4615" max="4615" width="0" style="176" hidden="1" customWidth="1"/>
    <col min="4616" max="4617" width="9.33203125" style="176"/>
    <col min="4618" max="4618" width="15.83203125" style="176" customWidth="1"/>
    <col min="4619" max="4857" width="9.33203125" style="176"/>
    <col min="4858" max="4858" width="5" style="176" customWidth="1"/>
    <col min="4859" max="4859" width="9.33203125" style="176"/>
    <col min="4860" max="4860" width="21.6640625" style="176" customWidth="1"/>
    <col min="4861" max="4861" width="13.5" style="176" customWidth="1"/>
    <col min="4862" max="4862" width="10.5" style="176" customWidth="1"/>
    <col min="4863" max="4863" width="15.1640625" style="176" customWidth="1"/>
    <col min="4864" max="4864" width="3.6640625" style="176" customWidth="1"/>
    <col min="4865" max="4865" width="13.1640625" style="176" customWidth="1"/>
    <col min="4866" max="4866" width="3.83203125" style="176" customWidth="1"/>
    <col min="4867" max="4867" width="15" style="176" customWidth="1"/>
    <col min="4868" max="4868" width="3.6640625" style="176" customWidth="1"/>
    <col min="4869" max="4870" width="13" style="176" customWidth="1"/>
    <col min="4871" max="4871" width="0" style="176" hidden="1" customWidth="1"/>
    <col min="4872" max="4873" width="9.33203125" style="176"/>
    <col min="4874" max="4874" width="15.83203125" style="176" customWidth="1"/>
    <col min="4875" max="5113" width="9.33203125" style="176"/>
    <col min="5114" max="5114" width="5" style="176" customWidth="1"/>
    <col min="5115" max="5115" width="9.33203125" style="176"/>
    <col min="5116" max="5116" width="21.6640625" style="176" customWidth="1"/>
    <col min="5117" max="5117" width="13.5" style="176" customWidth="1"/>
    <col min="5118" max="5118" width="10.5" style="176" customWidth="1"/>
    <col min="5119" max="5119" width="15.1640625" style="176" customWidth="1"/>
    <col min="5120" max="5120" width="3.6640625" style="176" customWidth="1"/>
    <col min="5121" max="5121" width="13.1640625" style="176" customWidth="1"/>
    <col min="5122" max="5122" width="3.83203125" style="176" customWidth="1"/>
    <col min="5123" max="5123" width="15" style="176" customWidth="1"/>
    <col min="5124" max="5124" width="3.6640625" style="176" customWidth="1"/>
    <col min="5125" max="5126" width="13" style="176" customWidth="1"/>
    <col min="5127" max="5127" width="0" style="176" hidden="1" customWidth="1"/>
    <col min="5128" max="5129" width="9.33203125" style="176"/>
    <col min="5130" max="5130" width="15.83203125" style="176" customWidth="1"/>
    <col min="5131" max="5369" width="9.33203125" style="176"/>
    <col min="5370" max="5370" width="5" style="176" customWidth="1"/>
    <col min="5371" max="5371" width="9.33203125" style="176"/>
    <col min="5372" max="5372" width="21.6640625" style="176" customWidth="1"/>
    <col min="5373" max="5373" width="13.5" style="176" customWidth="1"/>
    <col min="5374" max="5374" width="10.5" style="176" customWidth="1"/>
    <col min="5375" max="5375" width="15.1640625" style="176" customWidth="1"/>
    <col min="5376" max="5376" width="3.6640625" style="176" customWidth="1"/>
    <col min="5377" max="5377" width="13.1640625" style="176" customWidth="1"/>
    <col min="5378" max="5378" width="3.83203125" style="176" customWidth="1"/>
    <col min="5379" max="5379" width="15" style="176" customWidth="1"/>
    <col min="5380" max="5380" width="3.6640625" style="176" customWidth="1"/>
    <col min="5381" max="5382" width="13" style="176" customWidth="1"/>
    <col min="5383" max="5383" width="0" style="176" hidden="1" customWidth="1"/>
    <col min="5384" max="5385" width="9.33203125" style="176"/>
    <col min="5386" max="5386" width="15.83203125" style="176" customWidth="1"/>
    <col min="5387" max="5625" width="9.33203125" style="176"/>
    <col min="5626" max="5626" width="5" style="176" customWidth="1"/>
    <col min="5627" max="5627" width="9.33203125" style="176"/>
    <col min="5628" max="5628" width="21.6640625" style="176" customWidth="1"/>
    <col min="5629" max="5629" width="13.5" style="176" customWidth="1"/>
    <col min="5630" max="5630" width="10.5" style="176" customWidth="1"/>
    <col min="5631" max="5631" width="15.1640625" style="176" customWidth="1"/>
    <col min="5632" max="5632" width="3.6640625" style="176" customWidth="1"/>
    <col min="5633" max="5633" width="13.1640625" style="176" customWidth="1"/>
    <col min="5634" max="5634" width="3.83203125" style="176" customWidth="1"/>
    <col min="5635" max="5635" width="15" style="176" customWidth="1"/>
    <col min="5636" max="5636" width="3.6640625" style="176" customWidth="1"/>
    <col min="5637" max="5638" width="13" style="176" customWidth="1"/>
    <col min="5639" max="5639" width="0" style="176" hidden="1" customWidth="1"/>
    <col min="5640" max="5641" width="9.33203125" style="176"/>
    <col min="5642" max="5642" width="15.83203125" style="176" customWidth="1"/>
    <col min="5643" max="5881" width="9.33203125" style="176"/>
    <col min="5882" max="5882" width="5" style="176" customWidth="1"/>
    <col min="5883" max="5883" width="9.33203125" style="176"/>
    <col min="5884" max="5884" width="21.6640625" style="176" customWidth="1"/>
    <col min="5885" max="5885" width="13.5" style="176" customWidth="1"/>
    <col min="5886" max="5886" width="10.5" style="176" customWidth="1"/>
    <col min="5887" max="5887" width="15.1640625" style="176" customWidth="1"/>
    <col min="5888" max="5888" width="3.6640625" style="176" customWidth="1"/>
    <col min="5889" max="5889" width="13.1640625" style="176" customWidth="1"/>
    <col min="5890" max="5890" width="3.83203125" style="176" customWidth="1"/>
    <col min="5891" max="5891" width="15" style="176" customWidth="1"/>
    <col min="5892" max="5892" width="3.6640625" style="176" customWidth="1"/>
    <col min="5893" max="5894" width="13" style="176" customWidth="1"/>
    <col min="5895" max="5895" width="0" style="176" hidden="1" customWidth="1"/>
    <col min="5896" max="5897" width="9.33203125" style="176"/>
    <col min="5898" max="5898" width="15.83203125" style="176" customWidth="1"/>
    <col min="5899" max="6137" width="9.33203125" style="176"/>
    <col min="6138" max="6138" width="5" style="176" customWidth="1"/>
    <col min="6139" max="6139" width="9.33203125" style="176"/>
    <col min="6140" max="6140" width="21.6640625" style="176" customWidth="1"/>
    <col min="6141" max="6141" width="13.5" style="176" customWidth="1"/>
    <col min="6142" max="6142" width="10.5" style="176" customWidth="1"/>
    <col min="6143" max="6143" width="15.1640625" style="176" customWidth="1"/>
    <col min="6144" max="6144" width="3.6640625" style="176" customWidth="1"/>
    <col min="6145" max="6145" width="13.1640625" style="176" customWidth="1"/>
    <col min="6146" max="6146" width="3.83203125" style="176" customWidth="1"/>
    <col min="6147" max="6147" width="15" style="176" customWidth="1"/>
    <col min="6148" max="6148" width="3.6640625" style="176" customWidth="1"/>
    <col min="6149" max="6150" width="13" style="176" customWidth="1"/>
    <col min="6151" max="6151" width="0" style="176" hidden="1" customWidth="1"/>
    <col min="6152" max="6153" width="9.33203125" style="176"/>
    <col min="6154" max="6154" width="15.83203125" style="176" customWidth="1"/>
    <col min="6155" max="6393" width="9.33203125" style="176"/>
    <col min="6394" max="6394" width="5" style="176" customWidth="1"/>
    <col min="6395" max="6395" width="9.33203125" style="176"/>
    <col min="6396" max="6396" width="21.6640625" style="176" customWidth="1"/>
    <col min="6397" max="6397" width="13.5" style="176" customWidth="1"/>
    <col min="6398" max="6398" width="10.5" style="176" customWidth="1"/>
    <col min="6399" max="6399" width="15.1640625" style="176" customWidth="1"/>
    <col min="6400" max="6400" width="3.6640625" style="176" customWidth="1"/>
    <col min="6401" max="6401" width="13.1640625" style="176" customWidth="1"/>
    <col min="6402" max="6402" width="3.83203125" style="176" customWidth="1"/>
    <col min="6403" max="6403" width="15" style="176" customWidth="1"/>
    <col min="6404" max="6404" width="3.6640625" style="176" customWidth="1"/>
    <col min="6405" max="6406" width="13" style="176" customWidth="1"/>
    <col min="6407" max="6407" width="0" style="176" hidden="1" customWidth="1"/>
    <col min="6408" max="6409" width="9.33203125" style="176"/>
    <col min="6410" max="6410" width="15.83203125" style="176" customWidth="1"/>
    <col min="6411" max="6649" width="9.33203125" style="176"/>
    <col min="6650" max="6650" width="5" style="176" customWidth="1"/>
    <col min="6651" max="6651" width="9.33203125" style="176"/>
    <col min="6652" max="6652" width="21.6640625" style="176" customWidth="1"/>
    <col min="6653" max="6653" width="13.5" style="176" customWidth="1"/>
    <col min="6654" max="6654" width="10.5" style="176" customWidth="1"/>
    <col min="6655" max="6655" width="15.1640625" style="176" customWidth="1"/>
    <col min="6656" max="6656" width="3.6640625" style="176" customWidth="1"/>
    <col min="6657" max="6657" width="13.1640625" style="176" customWidth="1"/>
    <col min="6658" max="6658" width="3.83203125" style="176" customWidth="1"/>
    <col min="6659" max="6659" width="15" style="176" customWidth="1"/>
    <col min="6660" max="6660" width="3.6640625" style="176" customWidth="1"/>
    <col min="6661" max="6662" width="13" style="176" customWidth="1"/>
    <col min="6663" max="6663" width="0" style="176" hidden="1" customWidth="1"/>
    <col min="6664" max="6665" width="9.33203125" style="176"/>
    <col min="6666" max="6666" width="15.83203125" style="176" customWidth="1"/>
    <col min="6667" max="6905" width="9.33203125" style="176"/>
    <col min="6906" max="6906" width="5" style="176" customWidth="1"/>
    <col min="6907" max="6907" width="9.33203125" style="176"/>
    <col min="6908" max="6908" width="21.6640625" style="176" customWidth="1"/>
    <col min="6909" max="6909" width="13.5" style="176" customWidth="1"/>
    <col min="6910" max="6910" width="10.5" style="176" customWidth="1"/>
    <col min="6911" max="6911" width="15.1640625" style="176" customWidth="1"/>
    <col min="6912" max="6912" width="3.6640625" style="176" customWidth="1"/>
    <col min="6913" max="6913" width="13.1640625" style="176" customWidth="1"/>
    <col min="6914" max="6914" width="3.83203125" style="176" customWidth="1"/>
    <col min="6915" max="6915" width="15" style="176" customWidth="1"/>
    <col min="6916" max="6916" width="3.6640625" style="176" customWidth="1"/>
    <col min="6917" max="6918" width="13" style="176" customWidth="1"/>
    <col min="6919" max="6919" width="0" style="176" hidden="1" customWidth="1"/>
    <col min="6920" max="6921" width="9.33203125" style="176"/>
    <col min="6922" max="6922" width="15.83203125" style="176" customWidth="1"/>
    <col min="6923" max="7161" width="9.33203125" style="176"/>
    <col min="7162" max="7162" width="5" style="176" customWidth="1"/>
    <col min="7163" max="7163" width="9.33203125" style="176"/>
    <col min="7164" max="7164" width="21.6640625" style="176" customWidth="1"/>
    <col min="7165" max="7165" width="13.5" style="176" customWidth="1"/>
    <col min="7166" max="7166" width="10.5" style="176" customWidth="1"/>
    <col min="7167" max="7167" width="15.1640625" style="176" customWidth="1"/>
    <col min="7168" max="7168" width="3.6640625" style="176" customWidth="1"/>
    <col min="7169" max="7169" width="13.1640625" style="176" customWidth="1"/>
    <col min="7170" max="7170" width="3.83203125" style="176" customWidth="1"/>
    <col min="7171" max="7171" width="15" style="176" customWidth="1"/>
    <col min="7172" max="7172" width="3.6640625" style="176" customWidth="1"/>
    <col min="7173" max="7174" width="13" style="176" customWidth="1"/>
    <col min="7175" max="7175" width="0" style="176" hidden="1" customWidth="1"/>
    <col min="7176" max="7177" width="9.33203125" style="176"/>
    <col min="7178" max="7178" width="15.83203125" style="176" customWidth="1"/>
    <col min="7179" max="7417" width="9.33203125" style="176"/>
    <col min="7418" max="7418" width="5" style="176" customWidth="1"/>
    <col min="7419" max="7419" width="9.33203125" style="176"/>
    <col min="7420" max="7420" width="21.6640625" style="176" customWidth="1"/>
    <col min="7421" max="7421" width="13.5" style="176" customWidth="1"/>
    <col min="7422" max="7422" width="10.5" style="176" customWidth="1"/>
    <col min="7423" max="7423" width="15.1640625" style="176" customWidth="1"/>
    <col min="7424" max="7424" width="3.6640625" style="176" customWidth="1"/>
    <col min="7425" max="7425" width="13.1640625" style="176" customWidth="1"/>
    <col min="7426" max="7426" width="3.83203125" style="176" customWidth="1"/>
    <col min="7427" max="7427" width="15" style="176" customWidth="1"/>
    <col min="7428" max="7428" width="3.6640625" style="176" customWidth="1"/>
    <col min="7429" max="7430" width="13" style="176" customWidth="1"/>
    <col min="7431" max="7431" width="0" style="176" hidden="1" customWidth="1"/>
    <col min="7432" max="7433" width="9.33203125" style="176"/>
    <col min="7434" max="7434" width="15.83203125" style="176" customWidth="1"/>
    <col min="7435" max="7673" width="9.33203125" style="176"/>
    <col min="7674" max="7674" width="5" style="176" customWidth="1"/>
    <col min="7675" max="7675" width="9.33203125" style="176"/>
    <col min="7676" max="7676" width="21.6640625" style="176" customWidth="1"/>
    <col min="7677" max="7677" width="13.5" style="176" customWidth="1"/>
    <col min="7678" max="7678" width="10.5" style="176" customWidth="1"/>
    <col min="7679" max="7679" width="15.1640625" style="176" customWidth="1"/>
    <col min="7680" max="7680" width="3.6640625" style="176" customWidth="1"/>
    <col min="7681" max="7681" width="13.1640625" style="176" customWidth="1"/>
    <col min="7682" max="7682" width="3.83203125" style="176" customWidth="1"/>
    <col min="7683" max="7683" width="15" style="176" customWidth="1"/>
    <col min="7684" max="7684" width="3.6640625" style="176" customWidth="1"/>
    <col min="7685" max="7686" width="13" style="176" customWidth="1"/>
    <col min="7687" max="7687" width="0" style="176" hidden="1" customWidth="1"/>
    <col min="7688" max="7689" width="9.33203125" style="176"/>
    <col min="7690" max="7690" width="15.83203125" style="176" customWidth="1"/>
    <col min="7691" max="7929" width="9.33203125" style="176"/>
    <col min="7930" max="7930" width="5" style="176" customWidth="1"/>
    <col min="7931" max="7931" width="9.33203125" style="176"/>
    <col min="7932" max="7932" width="21.6640625" style="176" customWidth="1"/>
    <col min="7933" max="7933" width="13.5" style="176" customWidth="1"/>
    <col min="7934" max="7934" width="10.5" style="176" customWidth="1"/>
    <col min="7935" max="7935" width="15.1640625" style="176" customWidth="1"/>
    <col min="7936" max="7936" width="3.6640625" style="176" customWidth="1"/>
    <col min="7937" max="7937" width="13.1640625" style="176" customWidth="1"/>
    <col min="7938" max="7938" width="3.83203125" style="176" customWidth="1"/>
    <col min="7939" max="7939" width="15" style="176" customWidth="1"/>
    <col min="7940" max="7940" width="3.6640625" style="176" customWidth="1"/>
    <col min="7941" max="7942" width="13" style="176" customWidth="1"/>
    <col min="7943" max="7943" width="0" style="176" hidden="1" customWidth="1"/>
    <col min="7944" max="7945" width="9.33203125" style="176"/>
    <col min="7946" max="7946" width="15.83203125" style="176" customWidth="1"/>
    <col min="7947" max="8185" width="9.33203125" style="176"/>
    <col min="8186" max="8186" width="5" style="176" customWidth="1"/>
    <col min="8187" max="8187" width="9.33203125" style="176"/>
    <col min="8188" max="8188" width="21.6640625" style="176" customWidth="1"/>
    <col min="8189" max="8189" width="13.5" style="176" customWidth="1"/>
    <col min="8190" max="8190" width="10.5" style="176" customWidth="1"/>
    <col min="8191" max="8191" width="15.1640625" style="176" customWidth="1"/>
    <col min="8192" max="8192" width="3.6640625" style="176" customWidth="1"/>
    <col min="8193" max="8193" width="13.1640625" style="176" customWidth="1"/>
    <col min="8194" max="8194" width="3.83203125" style="176" customWidth="1"/>
    <col min="8195" max="8195" width="15" style="176" customWidth="1"/>
    <col min="8196" max="8196" width="3.6640625" style="176" customWidth="1"/>
    <col min="8197" max="8198" width="13" style="176" customWidth="1"/>
    <col min="8199" max="8199" width="0" style="176" hidden="1" customWidth="1"/>
    <col min="8200" max="8201" width="9.33203125" style="176"/>
    <col min="8202" max="8202" width="15.83203125" style="176" customWidth="1"/>
    <col min="8203" max="8441" width="9.33203125" style="176"/>
    <col min="8442" max="8442" width="5" style="176" customWidth="1"/>
    <col min="8443" max="8443" width="9.33203125" style="176"/>
    <col min="8444" max="8444" width="21.6640625" style="176" customWidth="1"/>
    <col min="8445" max="8445" width="13.5" style="176" customWidth="1"/>
    <col min="8446" max="8446" width="10.5" style="176" customWidth="1"/>
    <col min="8447" max="8447" width="15.1640625" style="176" customWidth="1"/>
    <col min="8448" max="8448" width="3.6640625" style="176" customWidth="1"/>
    <col min="8449" max="8449" width="13.1640625" style="176" customWidth="1"/>
    <col min="8450" max="8450" width="3.83203125" style="176" customWidth="1"/>
    <col min="8451" max="8451" width="15" style="176" customWidth="1"/>
    <col min="8452" max="8452" width="3.6640625" style="176" customWidth="1"/>
    <col min="8453" max="8454" width="13" style="176" customWidth="1"/>
    <col min="8455" max="8455" width="0" style="176" hidden="1" customWidth="1"/>
    <col min="8456" max="8457" width="9.33203125" style="176"/>
    <col min="8458" max="8458" width="15.83203125" style="176" customWidth="1"/>
    <col min="8459" max="8697" width="9.33203125" style="176"/>
    <col min="8698" max="8698" width="5" style="176" customWidth="1"/>
    <col min="8699" max="8699" width="9.33203125" style="176"/>
    <col min="8700" max="8700" width="21.6640625" style="176" customWidth="1"/>
    <col min="8701" max="8701" width="13.5" style="176" customWidth="1"/>
    <col min="8702" max="8702" width="10.5" style="176" customWidth="1"/>
    <col min="8703" max="8703" width="15.1640625" style="176" customWidth="1"/>
    <col min="8704" max="8704" width="3.6640625" style="176" customWidth="1"/>
    <col min="8705" max="8705" width="13.1640625" style="176" customWidth="1"/>
    <col min="8706" max="8706" width="3.83203125" style="176" customWidth="1"/>
    <col min="8707" max="8707" width="15" style="176" customWidth="1"/>
    <col min="8708" max="8708" width="3.6640625" style="176" customWidth="1"/>
    <col min="8709" max="8710" width="13" style="176" customWidth="1"/>
    <col min="8711" max="8711" width="0" style="176" hidden="1" customWidth="1"/>
    <col min="8712" max="8713" width="9.33203125" style="176"/>
    <col min="8714" max="8714" width="15.83203125" style="176" customWidth="1"/>
    <col min="8715" max="8953" width="9.33203125" style="176"/>
    <col min="8954" max="8954" width="5" style="176" customWidth="1"/>
    <col min="8955" max="8955" width="9.33203125" style="176"/>
    <col min="8956" max="8956" width="21.6640625" style="176" customWidth="1"/>
    <col min="8957" max="8957" width="13.5" style="176" customWidth="1"/>
    <col min="8958" max="8958" width="10.5" style="176" customWidth="1"/>
    <col min="8959" max="8959" width="15.1640625" style="176" customWidth="1"/>
    <col min="8960" max="8960" width="3.6640625" style="176" customWidth="1"/>
    <col min="8961" max="8961" width="13.1640625" style="176" customWidth="1"/>
    <col min="8962" max="8962" width="3.83203125" style="176" customWidth="1"/>
    <col min="8963" max="8963" width="15" style="176" customWidth="1"/>
    <col min="8964" max="8964" width="3.6640625" style="176" customWidth="1"/>
    <col min="8965" max="8966" width="13" style="176" customWidth="1"/>
    <col min="8967" max="8967" width="0" style="176" hidden="1" customWidth="1"/>
    <col min="8968" max="8969" width="9.33203125" style="176"/>
    <col min="8970" max="8970" width="15.83203125" style="176" customWidth="1"/>
    <col min="8971" max="9209" width="9.33203125" style="176"/>
    <col min="9210" max="9210" width="5" style="176" customWidth="1"/>
    <col min="9211" max="9211" width="9.33203125" style="176"/>
    <col min="9212" max="9212" width="21.6640625" style="176" customWidth="1"/>
    <col min="9213" max="9213" width="13.5" style="176" customWidth="1"/>
    <col min="9214" max="9214" width="10.5" style="176" customWidth="1"/>
    <col min="9215" max="9215" width="15.1640625" style="176" customWidth="1"/>
    <col min="9216" max="9216" width="3.6640625" style="176" customWidth="1"/>
    <col min="9217" max="9217" width="13.1640625" style="176" customWidth="1"/>
    <col min="9218" max="9218" width="3.83203125" style="176" customWidth="1"/>
    <col min="9219" max="9219" width="15" style="176" customWidth="1"/>
    <col min="9220" max="9220" width="3.6640625" style="176" customWidth="1"/>
    <col min="9221" max="9222" width="13" style="176" customWidth="1"/>
    <col min="9223" max="9223" width="0" style="176" hidden="1" customWidth="1"/>
    <col min="9224" max="9225" width="9.33203125" style="176"/>
    <col min="9226" max="9226" width="15.83203125" style="176" customWidth="1"/>
    <col min="9227" max="9465" width="9.33203125" style="176"/>
    <col min="9466" max="9466" width="5" style="176" customWidth="1"/>
    <col min="9467" max="9467" width="9.33203125" style="176"/>
    <col min="9468" max="9468" width="21.6640625" style="176" customWidth="1"/>
    <col min="9469" max="9469" width="13.5" style="176" customWidth="1"/>
    <col min="9470" max="9470" width="10.5" style="176" customWidth="1"/>
    <col min="9471" max="9471" width="15.1640625" style="176" customWidth="1"/>
    <col min="9472" max="9472" width="3.6640625" style="176" customWidth="1"/>
    <col min="9473" max="9473" width="13.1640625" style="176" customWidth="1"/>
    <col min="9474" max="9474" width="3.83203125" style="176" customWidth="1"/>
    <col min="9475" max="9475" width="15" style="176" customWidth="1"/>
    <col min="9476" max="9476" width="3.6640625" style="176" customWidth="1"/>
    <col min="9477" max="9478" width="13" style="176" customWidth="1"/>
    <col min="9479" max="9479" width="0" style="176" hidden="1" customWidth="1"/>
    <col min="9480" max="9481" width="9.33203125" style="176"/>
    <col min="9482" max="9482" width="15.83203125" style="176" customWidth="1"/>
    <col min="9483" max="9721" width="9.33203125" style="176"/>
    <col min="9722" max="9722" width="5" style="176" customWidth="1"/>
    <col min="9723" max="9723" width="9.33203125" style="176"/>
    <col min="9724" max="9724" width="21.6640625" style="176" customWidth="1"/>
    <col min="9725" max="9725" width="13.5" style="176" customWidth="1"/>
    <col min="9726" max="9726" width="10.5" style="176" customWidth="1"/>
    <col min="9727" max="9727" width="15.1640625" style="176" customWidth="1"/>
    <col min="9728" max="9728" width="3.6640625" style="176" customWidth="1"/>
    <col min="9729" max="9729" width="13.1640625" style="176" customWidth="1"/>
    <col min="9730" max="9730" width="3.83203125" style="176" customWidth="1"/>
    <col min="9731" max="9731" width="15" style="176" customWidth="1"/>
    <col min="9732" max="9732" width="3.6640625" style="176" customWidth="1"/>
    <col min="9733" max="9734" width="13" style="176" customWidth="1"/>
    <col min="9735" max="9735" width="0" style="176" hidden="1" customWidth="1"/>
    <col min="9736" max="9737" width="9.33203125" style="176"/>
    <col min="9738" max="9738" width="15.83203125" style="176" customWidth="1"/>
    <col min="9739" max="9977" width="9.33203125" style="176"/>
    <col min="9978" max="9978" width="5" style="176" customWidth="1"/>
    <col min="9979" max="9979" width="9.33203125" style="176"/>
    <col min="9980" max="9980" width="21.6640625" style="176" customWidth="1"/>
    <col min="9981" max="9981" width="13.5" style="176" customWidth="1"/>
    <col min="9982" max="9982" width="10.5" style="176" customWidth="1"/>
    <col min="9983" max="9983" width="15.1640625" style="176" customWidth="1"/>
    <col min="9984" max="9984" width="3.6640625" style="176" customWidth="1"/>
    <col min="9985" max="9985" width="13.1640625" style="176" customWidth="1"/>
    <col min="9986" max="9986" width="3.83203125" style="176" customWidth="1"/>
    <col min="9987" max="9987" width="15" style="176" customWidth="1"/>
    <col min="9988" max="9988" width="3.6640625" style="176" customWidth="1"/>
    <col min="9989" max="9990" width="13" style="176" customWidth="1"/>
    <col min="9991" max="9991" width="0" style="176" hidden="1" customWidth="1"/>
    <col min="9992" max="9993" width="9.33203125" style="176"/>
    <col min="9994" max="9994" width="15.83203125" style="176" customWidth="1"/>
    <col min="9995" max="10233" width="9.33203125" style="176"/>
    <col min="10234" max="10234" width="5" style="176" customWidth="1"/>
    <col min="10235" max="10235" width="9.33203125" style="176"/>
    <col min="10236" max="10236" width="21.6640625" style="176" customWidth="1"/>
    <col min="10237" max="10237" width="13.5" style="176" customWidth="1"/>
    <col min="10238" max="10238" width="10.5" style="176" customWidth="1"/>
    <col min="10239" max="10239" width="15.1640625" style="176" customWidth="1"/>
    <col min="10240" max="10240" width="3.6640625" style="176" customWidth="1"/>
    <col min="10241" max="10241" width="13.1640625" style="176" customWidth="1"/>
    <col min="10242" max="10242" width="3.83203125" style="176" customWidth="1"/>
    <col min="10243" max="10243" width="15" style="176" customWidth="1"/>
    <col min="10244" max="10244" width="3.6640625" style="176" customWidth="1"/>
    <col min="10245" max="10246" width="13" style="176" customWidth="1"/>
    <col min="10247" max="10247" width="0" style="176" hidden="1" customWidth="1"/>
    <col min="10248" max="10249" width="9.33203125" style="176"/>
    <col min="10250" max="10250" width="15.83203125" style="176" customWidth="1"/>
    <col min="10251" max="10489" width="9.33203125" style="176"/>
    <col min="10490" max="10490" width="5" style="176" customWidth="1"/>
    <col min="10491" max="10491" width="9.33203125" style="176"/>
    <col min="10492" max="10492" width="21.6640625" style="176" customWidth="1"/>
    <col min="10493" max="10493" width="13.5" style="176" customWidth="1"/>
    <col min="10494" max="10494" width="10.5" style="176" customWidth="1"/>
    <col min="10495" max="10495" width="15.1640625" style="176" customWidth="1"/>
    <col min="10496" max="10496" width="3.6640625" style="176" customWidth="1"/>
    <col min="10497" max="10497" width="13.1640625" style="176" customWidth="1"/>
    <col min="10498" max="10498" width="3.83203125" style="176" customWidth="1"/>
    <col min="10499" max="10499" width="15" style="176" customWidth="1"/>
    <col min="10500" max="10500" width="3.6640625" style="176" customWidth="1"/>
    <col min="10501" max="10502" width="13" style="176" customWidth="1"/>
    <col min="10503" max="10503" width="0" style="176" hidden="1" customWidth="1"/>
    <col min="10504" max="10505" width="9.33203125" style="176"/>
    <col min="10506" max="10506" width="15.83203125" style="176" customWidth="1"/>
    <col min="10507" max="10745" width="9.33203125" style="176"/>
    <col min="10746" max="10746" width="5" style="176" customWidth="1"/>
    <col min="10747" max="10747" width="9.33203125" style="176"/>
    <col min="10748" max="10748" width="21.6640625" style="176" customWidth="1"/>
    <col min="10749" max="10749" width="13.5" style="176" customWidth="1"/>
    <col min="10750" max="10750" width="10.5" style="176" customWidth="1"/>
    <col min="10751" max="10751" width="15.1640625" style="176" customWidth="1"/>
    <col min="10752" max="10752" width="3.6640625" style="176" customWidth="1"/>
    <col min="10753" max="10753" width="13.1640625" style="176" customWidth="1"/>
    <col min="10754" max="10754" width="3.83203125" style="176" customWidth="1"/>
    <col min="10755" max="10755" width="15" style="176" customWidth="1"/>
    <col min="10756" max="10756" width="3.6640625" style="176" customWidth="1"/>
    <col min="10757" max="10758" width="13" style="176" customWidth="1"/>
    <col min="10759" max="10759" width="0" style="176" hidden="1" customWidth="1"/>
    <col min="10760" max="10761" width="9.33203125" style="176"/>
    <col min="10762" max="10762" width="15.83203125" style="176" customWidth="1"/>
    <col min="10763" max="11001" width="9.33203125" style="176"/>
    <col min="11002" max="11002" width="5" style="176" customWidth="1"/>
    <col min="11003" max="11003" width="9.33203125" style="176"/>
    <col min="11004" max="11004" width="21.6640625" style="176" customWidth="1"/>
    <col min="11005" max="11005" width="13.5" style="176" customWidth="1"/>
    <col min="11006" max="11006" width="10.5" style="176" customWidth="1"/>
    <col min="11007" max="11007" width="15.1640625" style="176" customWidth="1"/>
    <col min="11008" max="11008" width="3.6640625" style="176" customWidth="1"/>
    <col min="11009" max="11009" width="13.1640625" style="176" customWidth="1"/>
    <col min="11010" max="11010" width="3.83203125" style="176" customWidth="1"/>
    <col min="11011" max="11011" width="15" style="176" customWidth="1"/>
    <col min="11012" max="11012" width="3.6640625" style="176" customWidth="1"/>
    <col min="11013" max="11014" width="13" style="176" customWidth="1"/>
    <col min="11015" max="11015" width="0" style="176" hidden="1" customWidth="1"/>
    <col min="11016" max="11017" width="9.33203125" style="176"/>
    <col min="11018" max="11018" width="15.83203125" style="176" customWidth="1"/>
    <col min="11019" max="11257" width="9.33203125" style="176"/>
    <col min="11258" max="11258" width="5" style="176" customWidth="1"/>
    <col min="11259" max="11259" width="9.33203125" style="176"/>
    <col min="11260" max="11260" width="21.6640625" style="176" customWidth="1"/>
    <col min="11261" max="11261" width="13.5" style="176" customWidth="1"/>
    <col min="11262" max="11262" width="10.5" style="176" customWidth="1"/>
    <col min="11263" max="11263" width="15.1640625" style="176" customWidth="1"/>
    <col min="11264" max="11264" width="3.6640625" style="176" customWidth="1"/>
    <col min="11265" max="11265" width="13.1640625" style="176" customWidth="1"/>
    <col min="11266" max="11266" width="3.83203125" style="176" customWidth="1"/>
    <col min="11267" max="11267" width="15" style="176" customWidth="1"/>
    <col min="11268" max="11268" width="3.6640625" style="176" customWidth="1"/>
    <col min="11269" max="11270" width="13" style="176" customWidth="1"/>
    <col min="11271" max="11271" width="0" style="176" hidden="1" customWidth="1"/>
    <col min="11272" max="11273" width="9.33203125" style="176"/>
    <col min="11274" max="11274" width="15.83203125" style="176" customWidth="1"/>
    <col min="11275" max="11513" width="9.33203125" style="176"/>
    <col min="11514" max="11514" width="5" style="176" customWidth="1"/>
    <col min="11515" max="11515" width="9.33203125" style="176"/>
    <col min="11516" max="11516" width="21.6640625" style="176" customWidth="1"/>
    <col min="11517" max="11517" width="13.5" style="176" customWidth="1"/>
    <col min="11518" max="11518" width="10.5" style="176" customWidth="1"/>
    <col min="11519" max="11519" width="15.1640625" style="176" customWidth="1"/>
    <col min="11520" max="11520" width="3.6640625" style="176" customWidth="1"/>
    <col min="11521" max="11521" width="13.1640625" style="176" customWidth="1"/>
    <col min="11522" max="11522" width="3.83203125" style="176" customWidth="1"/>
    <col min="11523" max="11523" width="15" style="176" customWidth="1"/>
    <col min="11524" max="11524" width="3.6640625" style="176" customWidth="1"/>
    <col min="11525" max="11526" width="13" style="176" customWidth="1"/>
    <col min="11527" max="11527" width="0" style="176" hidden="1" customWidth="1"/>
    <col min="11528" max="11529" width="9.33203125" style="176"/>
    <col min="11530" max="11530" width="15.83203125" style="176" customWidth="1"/>
    <col min="11531" max="11769" width="9.33203125" style="176"/>
    <col min="11770" max="11770" width="5" style="176" customWidth="1"/>
    <col min="11771" max="11771" width="9.33203125" style="176"/>
    <col min="11772" max="11772" width="21.6640625" style="176" customWidth="1"/>
    <col min="11773" max="11773" width="13.5" style="176" customWidth="1"/>
    <col min="11774" max="11774" width="10.5" style="176" customWidth="1"/>
    <col min="11775" max="11775" width="15.1640625" style="176" customWidth="1"/>
    <col min="11776" max="11776" width="3.6640625" style="176" customWidth="1"/>
    <col min="11777" max="11777" width="13.1640625" style="176" customWidth="1"/>
    <col min="11778" max="11778" width="3.83203125" style="176" customWidth="1"/>
    <col min="11779" max="11779" width="15" style="176" customWidth="1"/>
    <col min="11780" max="11780" width="3.6640625" style="176" customWidth="1"/>
    <col min="11781" max="11782" width="13" style="176" customWidth="1"/>
    <col min="11783" max="11783" width="0" style="176" hidden="1" customWidth="1"/>
    <col min="11784" max="11785" width="9.33203125" style="176"/>
    <col min="11786" max="11786" width="15.83203125" style="176" customWidth="1"/>
    <col min="11787" max="12025" width="9.33203125" style="176"/>
    <col min="12026" max="12026" width="5" style="176" customWidth="1"/>
    <col min="12027" max="12027" width="9.33203125" style="176"/>
    <col min="12028" max="12028" width="21.6640625" style="176" customWidth="1"/>
    <col min="12029" max="12029" width="13.5" style="176" customWidth="1"/>
    <col min="12030" max="12030" width="10.5" style="176" customWidth="1"/>
    <col min="12031" max="12031" width="15.1640625" style="176" customWidth="1"/>
    <col min="12032" max="12032" width="3.6640625" style="176" customWidth="1"/>
    <col min="12033" max="12033" width="13.1640625" style="176" customWidth="1"/>
    <col min="12034" max="12034" width="3.83203125" style="176" customWidth="1"/>
    <col min="12035" max="12035" width="15" style="176" customWidth="1"/>
    <col min="12036" max="12036" width="3.6640625" style="176" customWidth="1"/>
    <col min="12037" max="12038" width="13" style="176" customWidth="1"/>
    <col min="12039" max="12039" width="0" style="176" hidden="1" customWidth="1"/>
    <col min="12040" max="12041" width="9.33203125" style="176"/>
    <col min="12042" max="12042" width="15.83203125" style="176" customWidth="1"/>
    <col min="12043" max="12281" width="9.33203125" style="176"/>
    <col min="12282" max="12282" width="5" style="176" customWidth="1"/>
    <col min="12283" max="12283" width="9.33203125" style="176"/>
    <col min="12284" max="12284" width="21.6640625" style="176" customWidth="1"/>
    <col min="12285" max="12285" width="13.5" style="176" customWidth="1"/>
    <col min="12286" max="12286" width="10.5" style="176" customWidth="1"/>
    <col min="12287" max="12287" width="15.1640625" style="176" customWidth="1"/>
    <col min="12288" max="12288" width="3.6640625" style="176" customWidth="1"/>
    <col min="12289" max="12289" width="13.1640625" style="176" customWidth="1"/>
    <col min="12290" max="12290" width="3.83203125" style="176" customWidth="1"/>
    <col min="12291" max="12291" width="15" style="176" customWidth="1"/>
    <col min="12292" max="12292" width="3.6640625" style="176" customWidth="1"/>
    <col min="12293" max="12294" width="13" style="176" customWidth="1"/>
    <col min="12295" max="12295" width="0" style="176" hidden="1" customWidth="1"/>
    <col min="12296" max="12297" width="9.33203125" style="176"/>
    <col min="12298" max="12298" width="15.83203125" style="176" customWidth="1"/>
    <col min="12299" max="12537" width="9.33203125" style="176"/>
    <col min="12538" max="12538" width="5" style="176" customWidth="1"/>
    <col min="12539" max="12539" width="9.33203125" style="176"/>
    <col min="12540" max="12540" width="21.6640625" style="176" customWidth="1"/>
    <col min="12541" max="12541" width="13.5" style="176" customWidth="1"/>
    <col min="12542" max="12542" width="10.5" style="176" customWidth="1"/>
    <col min="12543" max="12543" width="15.1640625" style="176" customWidth="1"/>
    <col min="12544" max="12544" width="3.6640625" style="176" customWidth="1"/>
    <col min="12545" max="12545" width="13.1640625" style="176" customWidth="1"/>
    <col min="12546" max="12546" width="3.83203125" style="176" customWidth="1"/>
    <col min="12547" max="12547" width="15" style="176" customWidth="1"/>
    <col min="12548" max="12548" width="3.6640625" style="176" customWidth="1"/>
    <col min="12549" max="12550" width="13" style="176" customWidth="1"/>
    <col min="12551" max="12551" width="0" style="176" hidden="1" customWidth="1"/>
    <col min="12552" max="12553" width="9.33203125" style="176"/>
    <col min="12554" max="12554" width="15.83203125" style="176" customWidth="1"/>
    <col min="12555" max="12793" width="9.33203125" style="176"/>
    <col min="12794" max="12794" width="5" style="176" customWidth="1"/>
    <col min="12795" max="12795" width="9.33203125" style="176"/>
    <col min="12796" max="12796" width="21.6640625" style="176" customWidth="1"/>
    <col min="12797" max="12797" width="13.5" style="176" customWidth="1"/>
    <col min="12798" max="12798" width="10.5" style="176" customWidth="1"/>
    <col min="12799" max="12799" width="15.1640625" style="176" customWidth="1"/>
    <col min="12800" max="12800" width="3.6640625" style="176" customWidth="1"/>
    <col min="12801" max="12801" width="13.1640625" style="176" customWidth="1"/>
    <col min="12802" max="12802" width="3.83203125" style="176" customWidth="1"/>
    <col min="12803" max="12803" width="15" style="176" customWidth="1"/>
    <col min="12804" max="12804" width="3.6640625" style="176" customWidth="1"/>
    <col min="12805" max="12806" width="13" style="176" customWidth="1"/>
    <col min="12807" max="12807" width="0" style="176" hidden="1" customWidth="1"/>
    <col min="12808" max="12809" width="9.33203125" style="176"/>
    <col min="12810" max="12810" width="15.83203125" style="176" customWidth="1"/>
    <col min="12811" max="13049" width="9.33203125" style="176"/>
    <col min="13050" max="13050" width="5" style="176" customWidth="1"/>
    <col min="13051" max="13051" width="9.33203125" style="176"/>
    <col min="13052" max="13052" width="21.6640625" style="176" customWidth="1"/>
    <col min="13053" max="13053" width="13.5" style="176" customWidth="1"/>
    <col min="13054" max="13054" width="10.5" style="176" customWidth="1"/>
    <col min="13055" max="13055" width="15.1640625" style="176" customWidth="1"/>
    <col min="13056" max="13056" width="3.6640625" style="176" customWidth="1"/>
    <col min="13057" max="13057" width="13.1640625" style="176" customWidth="1"/>
    <col min="13058" max="13058" width="3.83203125" style="176" customWidth="1"/>
    <col min="13059" max="13059" width="15" style="176" customWidth="1"/>
    <col min="13060" max="13060" width="3.6640625" style="176" customWidth="1"/>
    <col min="13061" max="13062" width="13" style="176" customWidth="1"/>
    <col min="13063" max="13063" width="0" style="176" hidden="1" customWidth="1"/>
    <col min="13064" max="13065" width="9.33203125" style="176"/>
    <col min="13066" max="13066" width="15.83203125" style="176" customWidth="1"/>
    <col min="13067" max="13305" width="9.33203125" style="176"/>
    <col min="13306" max="13306" width="5" style="176" customWidth="1"/>
    <col min="13307" max="13307" width="9.33203125" style="176"/>
    <col min="13308" max="13308" width="21.6640625" style="176" customWidth="1"/>
    <col min="13309" max="13309" width="13.5" style="176" customWidth="1"/>
    <col min="13310" max="13310" width="10.5" style="176" customWidth="1"/>
    <col min="13311" max="13311" width="15.1640625" style="176" customWidth="1"/>
    <col min="13312" max="13312" width="3.6640625" style="176" customWidth="1"/>
    <col min="13313" max="13313" width="13.1640625" style="176" customWidth="1"/>
    <col min="13314" max="13314" width="3.83203125" style="176" customWidth="1"/>
    <col min="13315" max="13315" width="15" style="176" customWidth="1"/>
    <col min="13316" max="13316" width="3.6640625" style="176" customWidth="1"/>
    <col min="13317" max="13318" width="13" style="176" customWidth="1"/>
    <col min="13319" max="13319" width="0" style="176" hidden="1" customWidth="1"/>
    <col min="13320" max="13321" width="9.33203125" style="176"/>
    <col min="13322" max="13322" width="15.83203125" style="176" customWidth="1"/>
    <col min="13323" max="13561" width="9.33203125" style="176"/>
    <col min="13562" max="13562" width="5" style="176" customWidth="1"/>
    <col min="13563" max="13563" width="9.33203125" style="176"/>
    <col min="13564" max="13564" width="21.6640625" style="176" customWidth="1"/>
    <col min="13565" max="13565" width="13.5" style="176" customWidth="1"/>
    <col min="13566" max="13566" width="10.5" style="176" customWidth="1"/>
    <col min="13567" max="13567" width="15.1640625" style="176" customWidth="1"/>
    <col min="13568" max="13568" width="3.6640625" style="176" customWidth="1"/>
    <col min="13569" max="13569" width="13.1640625" style="176" customWidth="1"/>
    <col min="13570" max="13570" width="3.83203125" style="176" customWidth="1"/>
    <col min="13571" max="13571" width="15" style="176" customWidth="1"/>
    <col min="13572" max="13572" width="3.6640625" style="176" customWidth="1"/>
    <col min="13573" max="13574" width="13" style="176" customWidth="1"/>
    <col min="13575" max="13575" width="0" style="176" hidden="1" customWidth="1"/>
    <col min="13576" max="13577" width="9.33203125" style="176"/>
    <col min="13578" max="13578" width="15.83203125" style="176" customWidth="1"/>
    <col min="13579" max="13817" width="9.33203125" style="176"/>
    <col min="13818" max="13818" width="5" style="176" customWidth="1"/>
    <col min="13819" max="13819" width="9.33203125" style="176"/>
    <col min="13820" max="13820" width="21.6640625" style="176" customWidth="1"/>
    <col min="13821" max="13821" width="13.5" style="176" customWidth="1"/>
    <col min="13822" max="13822" width="10.5" style="176" customWidth="1"/>
    <col min="13823" max="13823" width="15.1640625" style="176" customWidth="1"/>
    <col min="13824" max="13824" width="3.6640625" style="176" customWidth="1"/>
    <col min="13825" max="13825" width="13.1640625" style="176" customWidth="1"/>
    <col min="13826" max="13826" width="3.83203125" style="176" customWidth="1"/>
    <col min="13827" max="13827" width="15" style="176" customWidth="1"/>
    <col min="13828" max="13828" width="3.6640625" style="176" customWidth="1"/>
    <col min="13829" max="13830" width="13" style="176" customWidth="1"/>
    <col min="13831" max="13831" width="0" style="176" hidden="1" customWidth="1"/>
    <col min="13832" max="13833" width="9.33203125" style="176"/>
    <col min="13834" max="13834" width="15.83203125" style="176" customWidth="1"/>
    <col min="13835" max="14073" width="9.33203125" style="176"/>
    <col min="14074" max="14074" width="5" style="176" customWidth="1"/>
    <col min="14075" max="14075" width="9.33203125" style="176"/>
    <col min="14076" max="14076" width="21.6640625" style="176" customWidth="1"/>
    <col min="14077" max="14077" width="13.5" style="176" customWidth="1"/>
    <col min="14078" max="14078" width="10.5" style="176" customWidth="1"/>
    <col min="14079" max="14079" width="15.1640625" style="176" customWidth="1"/>
    <col min="14080" max="14080" width="3.6640625" style="176" customWidth="1"/>
    <col min="14081" max="14081" width="13.1640625" style="176" customWidth="1"/>
    <col min="14082" max="14082" width="3.83203125" style="176" customWidth="1"/>
    <col min="14083" max="14083" width="15" style="176" customWidth="1"/>
    <col min="14084" max="14084" width="3.6640625" style="176" customWidth="1"/>
    <col min="14085" max="14086" width="13" style="176" customWidth="1"/>
    <col min="14087" max="14087" width="0" style="176" hidden="1" customWidth="1"/>
    <col min="14088" max="14089" width="9.33203125" style="176"/>
    <col min="14090" max="14090" width="15.83203125" style="176" customWidth="1"/>
    <col min="14091" max="14329" width="9.33203125" style="176"/>
    <col min="14330" max="14330" width="5" style="176" customWidth="1"/>
    <col min="14331" max="14331" width="9.33203125" style="176"/>
    <col min="14332" max="14332" width="21.6640625" style="176" customWidth="1"/>
    <col min="14333" max="14333" width="13.5" style="176" customWidth="1"/>
    <col min="14334" max="14334" width="10.5" style="176" customWidth="1"/>
    <col min="14335" max="14335" width="15.1640625" style="176" customWidth="1"/>
    <col min="14336" max="14336" width="3.6640625" style="176" customWidth="1"/>
    <col min="14337" max="14337" width="13.1640625" style="176" customWidth="1"/>
    <col min="14338" max="14338" width="3.83203125" style="176" customWidth="1"/>
    <col min="14339" max="14339" width="15" style="176" customWidth="1"/>
    <col min="14340" max="14340" width="3.6640625" style="176" customWidth="1"/>
    <col min="14341" max="14342" width="13" style="176" customWidth="1"/>
    <col min="14343" max="14343" width="0" style="176" hidden="1" customWidth="1"/>
    <col min="14344" max="14345" width="9.33203125" style="176"/>
    <col min="14346" max="14346" width="15.83203125" style="176" customWidth="1"/>
    <col min="14347" max="14585" width="9.33203125" style="176"/>
    <col min="14586" max="14586" width="5" style="176" customWidth="1"/>
    <col min="14587" max="14587" width="9.33203125" style="176"/>
    <col min="14588" max="14588" width="21.6640625" style="176" customWidth="1"/>
    <col min="14589" max="14589" width="13.5" style="176" customWidth="1"/>
    <col min="14590" max="14590" width="10.5" style="176" customWidth="1"/>
    <col min="14591" max="14591" width="15.1640625" style="176" customWidth="1"/>
    <col min="14592" max="14592" width="3.6640625" style="176" customWidth="1"/>
    <col min="14593" max="14593" width="13.1640625" style="176" customWidth="1"/>
    <col min="14594" max="14594" width="3.83203125" style="176" customWidth="1"/>
    <col min="14595" max="14595" width="15" style="176" customWidth="1"/>
    <col min="14596" max="14596" width="3.6640625" style="176" customWidth="1"/>
    <col min="14597" max="14598" width="13" style="176" customWidth="1"/>
    <col min="14599" max="14599" width="0" style="176" hidden="1" customWidth="1"/>
    <col min="14600" max="14601" width="9.33203125" style="176"/>
    <col min="14602" max="14602" width="15.83203125" style="176" customWidth="1"/>
    <col min="14603" max="14841" width="9.33203125" style="176"/>
    <col min="14842" max="14842" width="5" style="176" customWidth="1"/>
    <col min="14843" max="14843" width="9.33203125" style="176"/>
    <col min="14844" max="14844" width="21.6640625" style="176" customWidth="1"/>
    <col min="14845" max="14845" width="13.5" style="176" customWidth="1"/>
    <col min="14846" max="14846" width="10.5" style="176" customWidth="1"/>
    <col min="14847" max="14847" width="15.1640625" style="176" customWidth="1"/>
    <col min="14848" max="14848" width="3.6640625" style="176" customWidth="1"/>
    <col min="14849" max="14849" width="13.1640625" style="176" customWidth="1"/>
    <col min="14850" max="14850" width="3.83203125" style="176" customWidth="1"/>
    <col min="14851" max="14851" width="15" style="176" customWidth="1"/>
    <col min="14852" max="14852" width="3.6640625" style="176" customWidth="1"/>
    <col min="14853" max="14854" width="13" style="176" customWidth="1"/>
    <col min="14855" max="14855" width="0" style="176" hidden="1" customWidth="1"/>
    <col min="14856" max="14857" width="9.33203125" style="176"/>
    <col min="14858" max="14858" width="15.83203125" style="176" customWidth="1"/>
    <col min="14859" max="15097" width="9.33203125" style="176"/>
    <col min="15098" max="15098" width="5" style="176" customWidth="1"/>
    <col min="15099" max="15099" width="9.33203125" style="176"/>
    <col min="15100" max="15100" width="21.6640625" style="176" customWidth="1"/>
    <col min="15101" max="15101" width="13.5" style="176" customWidth="1"/>
    <col min="15102" max="15102" width="10.5" style="176" customWidth="1"/>
    <col min="15103" max="15103" width="15.1640625" style="176" customWidth="1"/>
    <col min="15104" max="15104" width="3.6640625" style="176" customWidth="1"/>
    <col min="15105" max="15105" width="13.1640625" style="176" customWidth="1"/>
    <col min="15106" max="15106" width="3.83203125" style="176" customWidth="1"/>
    <col min="15107" max="15107" width="15" style="176" customWidth="1"/>
    <col min="15108" max="15108" width="3.6640625" style="176" customWidth="1"/>
    <col min="15109" max="15110" width="13" style="176" customWidth="1"/>
    <col min="15111" max="15111" width="0" style="176" hidden="1" customWidth="1"/>
    <col min="15112" max="15113" width="9.33203125" style="176"/>
    <col min="15114" max="15114" width="15.83203125" style="176" customWidth="1"/>
    <col min="15115" max="15353" width="9.33203125" style="176"/>
    <col min="15354" max="15354" width="5" style="176" customWidth="1"/>
    <col min="15355" max="15355" width="9.33203125" style="176"/>
    <col min="15356" max="15356" width="21.6640625" style="176" customWidth="1"/>
    <col min="15357" max="15357" width="13.5" style="176" customWidth="1"/>
    <col min="15358" max="15358" width="10.5" style="176" customWidth="1"/>
    <col min="15359" max="15359" width="15.1640625" style="176" customWidth="1"/>
    <col min="15360" max="15360" width="3.6640625" style="176" customWidth="1"/>
    <col min="15361" max="15361" width="13.1640625" style="176" customWidth="1"/>
    <col min="15362" max="15362" width="3.83203125" style="176" customWidth="1"/>
    <col min="15363" max="15363" width="15" style="176" customWidth="1"/>
    <col min="15364" max="15364" width="3.6640625" style="176" customWidth="1"/>
    <col min="15365" max="15366" width="13" style="176" customWidth="1"/>
    <col min="15367" max="15367" width="0" style="176" hidden="1" customWidth="1"/>
    <col min="15368" max="15369" width="9.33203125" style="176"/>
    <col min="15370" max="15370" width="15.83203125" style="176" customWidth="1"/>
    <col min="15371" max="15609" width="9.33203125" style="176"/>
    <col min="15610" max="15610" width="5" style="176" customWidth="1"/>
    <col min="15611" max="15611" width="9.33203125" style="176"/>
    <col min="15612" max="15612" width="21.6640625" style="176" customWidth="1"/>
    <col min="15613" max="15613" width="13.5" style="176" customWidth="1"/>
    <col min="15614" max="15614" width="10.5" style="176" customWidth="1"/>
    <col min="15615" max="15615" width="15.1640625" style="176" customWidth="1"/>
    <col min="15616" max="15616" width="3.6640625" style="176" customWidth="1"/>
    <col min="15617" max="15617" width="13.1640625" style="176" customWidth="1"/>
    <col min="15618" max="15618" width="3.83203125" style="176" customWidth="1"/>
    <col min="15619" max="15619" width="15" style="176" customWidth="1"/>
    <col min="15620" max="15620" width="3.6640625" style="176" customWidth="1"/>
    <col min="15621" max="15622" width="13" style="176" customWidth="1"/>
    <col min="15623" max="15623" width="0" style="176" hidden="1" customWidth="1"/>
    <col min="15624" max="15625" width="9.33203125" style="176"/>
    <col min="15626" max="15626" width="15.83203125" style="176" customWidth="1"/>
    <col min="15627" max="15865" width="9.33203125" style="176"/>
    <col min="15866" max="15866" width="5" style="176" customWidth="1"/>
    <col min="15867" max="15867" width="9.33203125" style="176"/>
    <col min="15868" max="15868" width="21.6640625" style="176" customWidth="1"/>
    <col min="15869" max="15869" width="13.5" style="176" customWidth="1"/>
    <col min="15870" max="15870" width="10.5" style="176" customWidth="1"/>
    <col min="15871" max="15871" width="15.1640625" style="176" customWidth="1"/>
    <col min="15872" max="15872" width="3.6640625" style="176" customWidth="1"/>
    <col min="15873" max="15873" width="13.1640625" style="176" customWidth="1"/>
    <col min="15874" max="15874" width="3.83203125" style="176" customWidth="1"/>
    <col min="15875" max="15875" width="15" style="176" customWidth="1"/>
    <col min="15876" max="15876" width="3.6640625" style="176" customWidth="1"/>
    <col min="15877" max="15878" width="13" style="176" customWidth="1"/>
    <col min="15879" max="15879" width="0" style="176" hidden="1" customWidth="1"/>
    <col min="15880" max="15881" width="9.33203125" style="176"/>
    <col min="15882" max="15882" width="15.83203125" style="176" customWidth="1"/>
    <col min="15883" max="16121" width="9.33203125" style="176"/>
    <col min="16122" max="16122" width="5" style="176" customWidth="1"/>
    <col min="16123" max="16123" width="9.33203125" style="176"/>
    <col min="16124" max="16124" width="21.6640625" style="176" customWidth="1"/>
    <col min="16125" max="16125" width="13.5" style="176" customWidth="1"/>
    <col min="16126" max="16126" width="10.5" style="176" customWidth="1"/>
    <col min="16127" max="16127" width="15.1640625" style="176" customWidth="1"/>
    <col min="16128" max="16128" width="3.6640625" style="176" customWidth="1"/>
    <col min="16129" max="16129" width="13.1640625" style="176" customWidth="1"/>
    <col min="16130" max="16130" width="3.83203125" style="176" customWidth="1"/>
    <col min="16131" max="16131" width="15" style="176" customWidth="1"/>
    <col min="16132" max="16132" width="3.6640625" style="176" customWidth="1"/>
    <col min="16133" max="16134" width="13" style="176" customWidth="1"/>
    <col min="16135" max="16135" width="0" style="176" hidden="1" customWidth="1"/>
    <col min="16136" max="16137" width="9.33203125" style="176"/>
    <col min="16138" max="16138" width="15.83203125" style="176" customWidth="1"/>
    <col min="16139" max="16384" width="9.33203125" style="176"/>
  </cols>
  <sheetData>
    <row r="1" spans="1:16">
      <c r="K1" s="386" t="str">
        <f>+'DMA Proposed Rate 594'!G1</f>
        <v>CNGC Advice W22-09-03</v>
      </c>
    </row>
    <row r="2" spans="1:16" ht="15.75">
      <c r="A2" s="176"/>
      <c r="B2" s="9"/>
      <c r="C2" s="619" t="s">
        <v>33</v>
      </c>
      <c r="D2" s="619"/>
      <c r="E2" s="619"/>
      <c r="F2" s="619"/>
      <c r="G2" s="619"/>
      <c r="H2" s="604"/>
      <c r="I2" s="604"/>
      <c r="J2" s="604"/>
      <c r="K2" s="387" t="s">
        <v>191</v>
      </c>
    </row>
    <row r="3" spans="1:16" ht="15.75">
      <c r="A3" s="176"/>
      <c r="B3" s="9"/>
      <c r="C3" s="618" t="s">
        <v>362</v>
      </c>
      <c r="D3" s="618"/>
      <c r="E3" s="618"/>
      <c r="F3" s="618"/>
      <c r="G3" s="618"/>
      <c r="H3" s="606"/>
      <c r="I3" s="606"/>
      <c r="J3" s="606"/>
      <c r="K3" s="387" t="s">
        <v>364</v>
      </c>
    </row>
    <row r="4" spans="1:16" ht="15.75">
      <c r="A4" s="176"/>
      <c r="B4" s="9"/>
      <c r="C4" s="617" t="s">
        <v>361</v>
      </c>
      <c r="D4" s="617"/>
      <c r="E4" s="617"/>
      <c r="F4" s="617"/>
      <c r="G4" s="617"/>
      <c r="H4" s="605"/>
      <c r="I4" s="605"/>
      <c r="J4" s="605"/>
      <c r="K4" s="69"/>
    </row>
    <row r="5" spans="1:16" ht="15.75">
      <c r="A5" s="176"/>
      <c r="B5" s="9"/>
      <c r="C5" s="610" t="s">
        <v>35</v>
      </c>
      <c r="D5" s="610"/>
      <c r="E5" s="610"/>
      <c r="F5" s="610"/>
      <c r="G5" s="610"/>
      <c r="H5" s="604"/>
      <c r="I5" s="604"/>
      <c r="J5" s="604"/>
      <c r="K5" s="9" t="s">
        <v>126</v>
      </c>
    </row>
    <row r="7" spans="1:16">
      <c r="A7" s="64"/>
      <c r="B7" s="11"/>
      <c r="C7" s="281"/>
      <c r="D7" s="13"/>
      <c r="E7" s="60"/>
      <c r="F7" s="19"/>
      <c r="G7" s="60"/>
      <c r="J7" s="332" t="s">
        <v>37</v>
      </c>
      <c r="K7" s="12"/>
      <c r="L7" s="281"/>
    </row>
    <row r="8" spans="1:16">
      <c r="A8" s="61" t="s">
        <v>3</v>
      </c>
      <c r="B8" s="15"/>
      <c r="C8" s="61" t="s">
        <v>32</v>
      </c>
      <c r="D8" s="18" t="s">
        <v>38</v>
      </c>
      <c r="E8" s="61" t="s">
        <v>215</v>
      </c>
      <c r="F8" s="19"/>
      <c r="G8" s="61" t="s">
        <v>40</v>
      </c>
      <c r="J8" s="333" t="s">
        <v>183</v>
      </c>
      <c r="K8" s="21" t="s">
        <v>41</v>
      </c>
      <c r="L8" s="65" t="s">
        <v>174</v>
      </c>
    </row>
    <row r="9" spans="1:16">
      <c r="A9" s="61" t="s">
        <v>6</v>
      </c>
      <c r="B9" s="22" t="s">
        <v>0</v>
      </c>
      <c r="C9" s="61" t="s">
        <v>43</v>
      </c>
      <c r="D9" s="18" t="s">
        <v>44</v>
      </c>
      <c r="E9" s="61" t="s">
        <v>45</v>
      </c>
      <c r="F9" s="19"/>
      <c r="G9" s="61" t="s">
        <v>46</v>
      </c>
      <c r="J9" s="333" t="s">
        <v>47</v>
      </c>
      <c r="K9" s="21" t="s">
        <v>47</v>
      </c>
      <c r="L9" s="65" t="s">
        <v>47</v>
      </c>
    </row>
    <row r="10" spans="1:16" s="63" customFormat="1">
      <c r="A10" s="65"/>
      <c r="B10" s="499" t="s">
        <v>9</v>
      </c>
      <c r="C10" s="61" t="s">
        <v>10</v>
      </c>
      <c r="D10" s="18" t="s">
        <v>11</v>
      </c>
      <c r="E10" s="62" t="s">
        <v>12</v>
      </c>
      <c r="F10" s="67"/>
      <c r="G10" s="62" t="s">
        <v>48</v>
      </c>
      <c r="H10" s="249"/>
      <c r="I10" s="249"/>
      <c r="J10" s="334" t="s">
        <v>87</v>
      </c>
      <c r="K10" s="17" t="s">
        <v>49</v>
      </c>
      <c r="L10" s="282" t="s">
        <v>50</v>
      </c>
    </row>
    <row r="11" spans="1:16">
      <c r="A11" s="66"/>
      <c r="B11" s="24" t="s">
        <v>52</v>
      </c>
      <c r="C11" s="544"/>
      <c r="D11" s="25"/>
      <c r="E11" s="25"/>
      <c r="G11" s="336"/>
      <c r="J11" s="335"/>
      <c r="K11" s="25"/>
    </row>
    <row r="12" spans="1:16" ht="15.75">
      <c r="A12" s="61">
        <v>1</v>
      </c>
      <c r="B12" s="362" t="s">
        <v>109</v>
      </c>
      <c r="C12" s="61" t="s">
        <v>56</v>
      </c>
      <c r="D12" s="58">
        <f>+'Bills-Therms-Revs'!F52</f>
        <v>200356</v>
      </c>
      <c r="E12" s="117">
        <f>+'DMA Summary of Def. Accts.'!G9</f>
        <v>131993811.11343679</v>
      </c>
      <c r="F12" s="90"/>
      <c r="G12" s="117">
        <f>+'Bills-Therms-Revs'!I12+'Bills-Therms-Revs'!I15+'Bills-Therms-Revs'!I16</f>
        <v>160697460.31999999</v>
      </c>
      <c r="I12" s="229"/>
      <c r="J12" s="239">
        <f>+'DMA Proposed Rate 594'!F12</f>
        <v>8.2950000000000003E-3</v>
      </c>
      <c r="K12" s="31">
        <f>E12*J12</f>
        <v>1094888.6631859583</v>
      </c>
      <c r="L12" s="607">
        <f t="shared" ref="L12:L17" si="0">+K12/G12</f>
        <v>6.8133538700965472E-3</v>
      </c>
      <c r="O12" s="86"/>
      <c r="P12" s="7"/>
    </row>
    <row r="13" spans="1:16" ht="15.75">
      <c r="A13" s="61">
        <v>2</v>
      </c>
      <c r="B13" s="362" t="s">
        <v>110</v>
      </c>
      <c r="C13" s="61" t="s">
        <v>62</v>
      </c>
      <c r="D13" s="58">
        <f>+'Bills-Therms-Revs'!F53</f>
        <v>27210</v>
      </c>
      <c r="E13" s="117">
        <f>+'DMA Summary of Def. Accts.'!H9</f>
        <v>93567596.866792873</v>
      </c>
      <c r="F13" s="19"/>
      <c r="G13" s="117">
        <f>+'Bills-Therms-Revs'!I19+'Bills-Therms-Revs'!I23+'Bills-Therms-Revs'!I24</f>
        <v>103915277.34</v>
      </c>
      <c r="J13" s="239">
        <f>+'DMA Proposed Rate 594'!F13</f>
        <v>3.3313000000000002E-2</v>
      </c>
      <c r="K13" s="31">
        <f>ROUND(E13*J13,0)</f>
        <v>3117017</v>
      </c>
      <c r="L13" s="608">
        <f t="shared" si="0"/>
        <v>2.999575307682088E-2</v>
      </c>
      <c r="O13" s="86"/>
      <c r="P13" s="7"/>
    </row>
    <row r="14" spans="1:16" ht="15.75">
      <c r="A14" s="61">
        <v>3</v>
      </c>
      <c r="B14" s="362" t="s">
        <v>111</v>
      </c>
      <c r="C14" s="61" t="s">
        <v>66</v>
      </c>
      <c r="D14" s="58">
        <f>+'Bills-Therms-Revs'!F57</f>
        <v>487</v>
      </c>
      <c r="E14" s="117">
        <f>+'DMA Summary of Def. Accts.'!I9</f>
        <v>12906567.97753373</v>
      </c>
      <c r="F14" s="19"/>
      <c r="G14" s="117">
        <f>+'Bills-Therms-Revs'!I30</f>
        <v>11638459.84</v>
      </c>
      <c r="J14" s="239">
        <f>+'DMA Proposed Rate 594'!F14</f>
        <v>8.2909999999999998E-3</v>
      </c>
      <c r="K14" s="31">
        <f>E14*J14</f>
        <v>107008.35510173214</v>
      </c>
      <c r="L14" s="608">
        <f t="shared" si="0"/>
        <v>9.1943742189973601E-3</v>
      </c>
      <c r="O14" s="86"/>
      <c r="P14" s="7"/>
    </row>
    <row r="15" spans="1:16" ht="15.75">
      <c r="A15" s="61">
        <v>4</v>
      </c>
      <c r="B15" s="362" t="s">
        <v>63</v>
      </c>
      <c r="C15" s="61" t="s">
        <v>64</v>
      </c>
      <c r="D15" s="58">
        <f>+'Bills-Therms-Revs'!F56</f>
        <v>99</v>
      </c>
      <c r="E15" s="117">
        <f>+'DMA Summary of Def. Accts.'!J9</f>
        <v>15549500.235253498</v>
      </c>
      <c r="F15" s="90"/>
      <c r="G15" s="117">
        <f>+'Bills-Therms-Revs'!I20+'Bills-Therms-Revs'!I25+'Bills-Therms-Revs'!I26+'Bills-Therms-Revs'!I31</f>
        <v>12937586.609999999</v>
      </c>
      <c r="H15" s="229"/>
      <c r="I15" s="229"/>
      <c r="J15" s="239">
        <f>+'DMA Proposed Rate 594'!F15</f>
        <v>2.4960000000000003E-2</v>
      </c>
      <c r="K15" s="31">
        <f>E15*J15</f>
        <v>388115.52587192738</v>
      </c>
      <c r="L15" s="608">
        <f t="shared" si="0"/>
        <v>2.999906687170981E-2</v>
      </c>
      <c r="O15" s="86"/>
    </row>
    <row r="16" spans="1:16" ht="15.75">
      <c r="A16" s="61">
        <v>5</v>
      </c>
      <c r="B16" s="362" t="s">
        <v>112</v>
      </c>
      <c r="C16" s="61" t="s">
        <v>67</v>
      </c>
      <c r="D16" s="58">
        <f>+'Bills-Therms-Revs'!F58</f>
        <v>7</v>
      </c>
      <c r="E16" s="117">
        <f>+'DMA Summary of Def. Accts.'!K9</f>
        <v>2331720.8069831203</v>
      </c>
      <c r="F16" s="90"/>
      <c r="G16" s="117">
        <f>+'Bills-Therms-Revs'!I39</f>
        <v>1682021.53</v>
      </c>
      <c r="I16" s="229"/>
      <c r="J16" s="239">
        <f>+'DMA Proposed Rate 594'!F16</f>
        <v>-8.8240000000000002E-3</v>
      </c>
      <c r="K16" s="31">
        <f>E16*J16</f>
        <v>-20575.104400819055</v>
      </c>
      <c r="L16" s="608">
        <f t="shared" si="0"/>
        <v>-1.2232366847776946E-2</v>
      </c>
      <c r="O16" s="86"/>
      <c r="P16" s="7"/>
    </row>
    <row r="17" spans="1:17" s="55" customFormat="1">
      <c r="A17" s="62">
        <v>6</v>
      </c>
      <c r="B17" s="24"/>
      <c r="C17" s="337"/>
      <c r="D17" s="210">
        <f>SUM(D12:D16)</f>
        <v>228159</v>
      </c>
      <c r="E17" s="210">
        <f>SUM(E12:E16)</f>
        <v>256349197</v>
      </c>
      <c r="F17" s="59"/>
      <c r="G17" s="211">
        <f>SUM(G12:G16)</f>
        <v>290870805.63999999</v>
      </c>
      <c r="H17" s="331"/>
      <c r="I17" s="331"/>
      <c r="J17" s="91"/>
      <c r="K17" s="54">
        <f>SUM(K12:K16)</f>
        <v>4686454.4397587981</v>
      </c>
      <c r="L17" s="609">
        <f t="shared" si="0"/>
        <v>1.6111807540970781E-2</v>
      </c>
      <c r="N17" s="176"/>
      <c r="O17" s="86"/>
      <c r="Q17" s="71"/>
    </row>
    <row r="18" spans="1:17">
      <c r="A18" s="249"/>
      <c r="B18" s="250"/>
      <c r="C18" s="598"/>
      <c r="D18" s="58"/>
      <c r="E18" s="58"/>
      <c r="F18" s="229"/>
      <c r="G18" s="1"/>
      <c r="I18" s="229"/>
      <c r="J18" s="599"/>
      <c r="K18" s="600"/>
      <c r="L18" s="209"/>
    </row>
    <row r="19" spans="1:17">
      <c r="A19" s="249"/>
      <c r="B19" s="15"/>
      <c r="C19" s="15"/>
      <c r="D19" s="15"/>
      <c r="E19" s="15"/>
      <c r="G19" s="15"/>
      <c r="J19" s="601"/>
      <c r="K19" s="15"/>
      <c r="L19" s="15"/>
    </row>
    <row r="20" spans="1:17">
      <c r="A20" s="249"/>
      <c r="B20" s="15"/>
      <c r="C20" s="15"/>
      <c r="D20" s="15"/>
      <c r="E20" s="15"/>
      <c r="G20" s="15"/>
      <c r="J20" s="601"/>
      <c r="K20" s="15"/>
      <c r="L20" s="15"/>
    </row>
    <row r="21" spans="1:17">
      <c r="A21" s="249"/>
      <c r="B21" s="15"/>
      <c r="C21" s="15"/>
      <c r="D21" s="15"/>
      <c r="E21" s="15"/>
      <c r="G21" s="15"/>
      <c r="J21" s="601"/>
      <c r="K21" s="15"/>
      <c r="L21" s="15"/>
    </row>
    <row r="22" spans="1:17">
      <c r="A22" s="249"/>
      <c r="B22" s="15"/>
      <c r="C22" s="15"/>
      <c r="D22" s="15"/>
      <c r="E22" s="15"/>
      <c r="G22" s="15"/>
      <c r="J22" s="601"/>
      <c r="K22" s="15"/>
      <c r="L22" s="15"/>
    </row>
    <row r="23" spans="1:17">
      <c r="A23" s="249"/>
      <c r="B23" s="15"/>
      <c r="C23" s="15"/>
      <c r="D23" s="15"/>
      <c r="E23" s="15"/>
      <c r="G23" s="15"/>
      <c r="J23" s="601"/>
      <c r="K23" s="15"/>
      <c r="L23" s="15"/>
    </row>
  </sheetData>
  <mergeCells count="4">
    <mergeCell ref="C5:G5"/>
    <mergeCell ref="C4:G4"/>
    <mergeCell ref="C3:G3"/>
    <mergeCell ref="C2:G2"/>
  </mergeCells>
  <printOptions horizontalCentered="1"/>
  <pageMargins left="0.25" right="0.25" top="1" bottom="0.49" header="0.5" footer="0.27"/>
  <pageSetup scale="6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FF62-4A27-4ED8-A370-71BE413F5E46}">
  <dimension ref="A1:N42"/>
  <sheetViews>
    <sheetView view="pageBreakPreview" topLeftCell="A11" zoomScale="98" zoomScaleNormal="100" zoomScaleSheetLayoutView="98" workbookViewId="0">
      <selection activeCell="J16" sqref="J16"/>
    </sheetView>
  </sheetViews>
  <sheetFormatPr defaultColWidth="12" defaultRowHeight="15.75"/>
  <cols>
    <col min="1" max="1" width="7" style="545" customWidth="1"/>
    <col min="2" max="2" width="2.33203125" style="545" customWidth="1"/>
    <col min="3" max="3" width="40.33203125" style="545" bestFit="1" customWidth="1"/>
    <col min="4" max="4" width="13.83203125" style="545" bestFit="1" customWidth="1"/>
    <col min="5" max="5" width="16.83203125" style="545" bestFit="1" customWidth="1"/>
    <col min="6" max="6" width="13.6640625" style="545" bestFit="1" customWidth="1"/>
    <col min="7" max="7" width="15.1640625" style="545" bestFit="1" customWidth="1"/>
    <col min="8" max="8" width="16.33203125" style="545" bestFit="1" customWidth="1"/>
    <col min="9" max="9" width="17.1640625" style="545" customWidth="1"/>
    <col min="10" max="10" width="12.83203125" style="545" bestFit="1" customWidth="1"/>
    <col min="11" max="11" width="17" style="545" bestFit="1" customWidth="1"/>
    <col min="12" max="12" width="17.1640625" style="545" customWidth="1"/>
    <col min="13" max="13" width="4.1640625" style="545" customWidth="1"/>
    <col min="14" max="255" width="12" style="545"/>
    <col min="256" max="256" width="7" style="545" customWidth="1"/>
    <col min="257" max="257" width="2.33203125" style="545" customWidth="1"/>
    <col min="258" max="259" width="12" style="545"/>
    <col min="260" max="260" width="6.5" style="545" customWidth="1"/>
    <col min="261" max="261" width="5.1640625" style="545" customWidth="1"/>
    <col min="262" max="262" width="12" style="545"/>
    <col min="263" max="263" width="5.1640625" style="545" customWidth="1"/>
    <col min="264" max="264" width="17.1640625" style="545" customWidth="1"/>
    <col min="265" max="265" width="4.5" style="545" customWidth="1"/>
    <col min="266" max="266" width="16.1640625" style="545" customWidth="1"/>
    <col min="267" max="267" width="4.83203125" style="545" customWidth="1"/>
    <col min="268" max="268" width="17.1640625" style="545" customWidth="1"/>
    <col min="269" max="269" width="4.1640625" style="545" customWidth="1"/>
    <col min="270" max="511" width="12" style="545"/>
    <col min="512" max="512" width="7" style="545" customWidth="1"/>
    <col min="513" max="513" width="2.33203125" style="545" customWidth="1"/>
    <col min="514" max="515" width="12" style="545"/>
    <col min="516" max="516" width="6.5" style="545" customWidth="1"/>
    <col min="517" max="517" width="5.1640625" style="545" customWidth="1"/>
    <col min="518" max="518" width="12" style="545"/>
    <col min="519" max="519" width="5.1640625" style="545" customWidth="1"/>
    <col min="520" max="520" width="17.1640625" style="545" customWidth="1"/>
    <col min="521" max="521" width="4.5" style="545" customWidth="1"/>
    <col min="522" max="522" width="16.1640625" style="545" customWidth="1"/>
    <col min="523" max="523" width="4.83203125" style="545" customWidth="1"/>
    <col min="524" max="524" width="17.1640625" style="545" customWidth="1"/>
    <col min="525" max="525" width="4.1640625" style="545" customWidth="1"/>
    <col min="526" max="767" width="12" style="545"/>
    <col min="768" max="768" width="7" style="545" customWidth="1"/>
    <col min="769" max="769" width="2.33203125" style="545" customWidth="1"/>
    <col min="770" max="771" width="12" style="545"/>
    <col min="772" max="772" width="6.5" style="545" customWidth="1"/>
    <col min="773" max="773" width="5.1640625" style="545" customWidth="1"/>
    <col min="774" max="774" width="12" style="545"/>
    <col min="775" max="775" width="5.1640625" style="545" customWidth="1"/>
    <col min="776" max="776" width="17.1640625" style="545" customWidth="1"/>
    <col min="777" max="777" width="4.5" style="545" customWidth="1"/>
    <col min="778" max="778" width="16.1640625" style="545" customWidth="1"/>
    <col min="779" max="779" width="4.83203125" style="545" customWidth="1"/>
    <col min="780" max="780" width="17.1640625" style="545" customWidth="1"/>
    <col min="781" max="781" width="4.1640625" style="545" customWidth="1"/>
    <col min="782" max="1023" width="12" style="545"/>
    <col min="1024" max="1024" width="7" style="545" customWidth="1"/>
    <col min="1025" max="1025" width="2.33203125" style="545" customWidth="1"/>
    <col min="1026" max="1027" width="12" style="545"/>
    <col min="1028" max="1028" width="6.5" style="545" customWidth="1"/>
    <col min="1029" max="1029" width="5.1640625" style="545" customWidth="1"/>
    <col min="1030" max="1030" width="12" style="545"/>
    <col min="1031" max="1031" width="5.1640625" style="545" customWidth="1"/>
    <col min="1032" max="1032" width="17.1640625" style="545" customWidth="1"/>
    <col min="1033" max="1033" width="4.5" style="545" customWidth="1"/>
    <col min="1034" max="1034" width="16.1640625" style="545" customWidth="1"/>
    <col min="1035" max="1035" width="4.83203125" style="545" customWidth="1"/>
    <col min="1036" max="1036" width="17.1640625" style="545" customWidth="1"/>
    <col min="1037" max="1037" width="4.1640625" style="545" customWidth="1"/>
    <col min="1038" max="1279" width="12" style="545"/>
    <col min="1280" max="1280" width="7" style="545" customWidth="1"/>
    <col min="1281" max="1281" width="2.33203125" style="545" customWidth="1"/>
    <col min="1282" max="1283" width="12" style="545"/>
    <col min="1284" max="1284" width="6.5" style="545" customWidth="1"/>
    <col min="1285" max="1285" width="5.1640625" style="545" customWidth="1"/>
    <col min="1286" max="1286" width="12" style="545"/>
    <col min="1287" max="1287" width="5.1640625" style="545" customWidth="1"/>
    <col min="1288" max="1288" width="17.1640625" style="545" customWidth="1"/>
    <col min="1289" max="1289" width="4.5" style="545" customWidth="1"/>
    <col min="1290" max="1290" width="16.1640625" style="545" customWidth="1"/>
    <col min="1291" max="1291" width="4.83203125" style="545" customWidth="1"/>
    <col min="1292" max="1292" width="17.1640625" style="545" customWidth="1"/>
    <col min="1293" max="1293" width="4.1640625" style="545" customWidth="1"/>
    <col min="1294" max="1535" width="12" style="545"/>
    <col min="1536" max="1536" width="7" style="545" customWidth="1"/>
    <col min="1537" max="1537" width="2.33203125" style="545" customWidth="1"/>
    <col min="1538" max="1539" width="12" style="545"/>
    <col min="1540" max="1540" width="6.5" style="545" customWidth="1"/>
    <col min="1541" max="1541" width="5.1640625" style="545" customWidth="1"/>
    <col min="1542" max="1542" width="12" style="545"/>
    <col min="1543" max="1543" width="5.1640625" style="545" customWidth="1"/>
    <col min="1544" max="1544" width="17.1640625" style="545" customWidth="1"/>
    <col min="1545" max="1545" width="4.5" style="545" customWidth="1"/>
    <col min="1546" max="1546" width="16.1640625" style="545" customWidth="1"/>
    <col min="1547" max="1547" width="4.83203125" style="545" customWidth="1"/>
    <col min="1548" max="1548" width="17.1640625" style="545" customWidth="1"/>
    <col min="1549" max="1549" width="4.1640625" style="545" customWidth="1"/>
    <col min="1550" max="1791" width="12" style="545"/>
    <col min="1792" max="1792" width="7" style="545" customWidth="1"/>
    <col min="1793" max="1793" width="2.33203125" style="545" customWidth="1"/>
    <col min="1794" max="1795" width="12" style="545"/>
    <col min="1796" max="1796" width="6.5" style="545" customWidth="1"/>
    <col min="1797" max="1797" width="5.1640625" style="545" customWidth="1"/>
    <col min="1798" max="1798" width="12" style="545"/>
    <col min="1799" max="1799" width="5.1640625" style="545" customWidth="1"/>
    <col min="1800" max="1800" width="17.1640625" style="545" customWidth="1"/>
    <col min="1801" max="1801" width="4.5" style="545" customWidth="1"/>
    <col min="1802" max="1802" width="16.1640625" style="545" customWidth="1"/>
    <col min="1803" max="1803" width="4.83203125" style="545" customWidth="1"/>
    <col min="1804" max="1804" width="17.1640625" style="545" customWidth="1"/>
    <col min="1805" max="1805" width="4.1640625" style="545" customWidth="1"/>
    <col min="1806" max="2047" width="12" style="545"/>
    <col min="2048" max="2048" width="7" style="545" customWidth="1"/>
    <col min="2049" max="2049" width="2.33203125" style="545" customWidth="1"/>
    <col min="2050" max="2051" width="12" style="545"/>
    <col min="2052" max="2052" width="6.5" style="545" customWidth="1"/>
    <col min="2053" max="2053" width="5.1640625" style="545" customWidth="1"/>
    <col min="2054" max="2054" width="12" style="545"/>
    <col min="2055" max="2055" width="5.1640625" style="545" customWidth="1"/>
    <col min="2056" max="2056" width="17.1640625" style="545" customWidth="1"/>
    <col min="2057" max="2057" width="4.5" style="545" customWidth="1"/>
    <col min="2058" max="2058" width="16.1640625" style="545" customWidth="1"/>
    <col min="2059" max="2059" width="4.83203125" style="545" customWidth="1"/>
    <col min="2060" max="2060" width="17.1640625" style="545" customWidth="1"/>
    <col min="2061" max="2061" width="4.1640625" style="545" customWidth="1"/>
    <col min="2062" max="2303" width="12" style="545"/>
    <col min="2304" max="2304" width="7" style="545" customWidth="1"/>
    <col min="2305" max="2305" width="2.33203125" style="545" customWidth="1"/>
    <col min="2306" max="2307" width="12" style="545"/>
    <col min="2308" max="2308" width="6.5" style="545" customWidth="1"/>
    <col min="2309" max="2309" width="5.1640625" style="545" customWidth="1"/>
    <col min="2310" max="2310" width="12" style="545"/>
    <col min="2311" max="2311" width="5.1640625" style="545" customWidth="1"/>
    <col min="2312" max="2312" width="17.1640625" style="545" customWidth="1"/>
    <col min="2313" max="2313" width="4.5" style="545" customWidth="1"/>
    <col min="2314" max="2314" width="16.1640625" style="545" customWidth="1"/>
    <col min="2315" max="2315" width="4.83203125" style="545" customWidth="1"/>
    <col min="2316" max="2316" width="17.1640625" style="545" customWidth="1"/>
    <col min="2317" max="2317" width="4.1640625" style="545" customWidth="1"/>
    <col min="2318" max="2559" width="12" style="545"/>
    <col min="2560" max="2560" width="7" style="545" customWidth="1"/>
    <col min="2561" max="2561" width="2.33203125" style="545" customWidth="1"/>
    <col min="2562" max="2563" width="12" style="545"/>
    <col min="2564" max="2564" width="6.5" style="545" customWidth="1"/>
    <col min="2565" max="2565" width="5.1640625" style="545" customWidth="1"/>
    <col min="2566" max="2566" width="12" style="545"/>
    <col min="2567" max="2567" width="5.1640625" style="545" customWidth="1"/>
    <col min="2568" max="2568" width="17.1640625" style="545" customWidth="1"/>
    <col min="2569" max="2569" width="4.5" style="545" customWidth="1"/>
    <col min="2570" max="2570" width="16.1640625" style="545" customWidth="1"/>
    <col min="2571" max="2571" width="4.83203125" style="545" customWidth="1"/>
    <col min="2572" max="2572" width="17.1640625" style="545" customWidth="1"/>
    <col min="2573" max="2573" width="4.1640625" style="545" customWidth="1"/>
    <col min="2574" max="2815" width="12" style="545"/>
    <col min="2816" max="2816" width="7" style="545" customWidth="1"/>
    <col min="2817" max="2817" width="2.33203125" style="545" customWidth="1"/>
    <col min="2818" max="2819" width="12" style="545"/>
    <col min="2820" max="2820" width="6.5" style="545" customWidth="1"/>
    <col min="2821" max="2821" width="5.1640625" style="545" customWidth="1"/>
    <col min="2822" max="2822" width="12" style="545"/>
    <col min="2823" max="2823" width="5.1640625" style="545" customWidth="1"/>
    <col min="2824" max="2824" width="17.1640625" style="545" customWidth="1"/>
    <col min="2825" max="2825" width="4.5" style="545" customWidth="1"/>
    <col min="2826" max="2826" width="16.1640625" style="545" customWidth="1"/>
    <col min="2827" max="2827" width="4.83203125" style="545" customWidth="1"/>
    <col min="2828" max="2828" width="17.1640625" style="545" customWidth="1"/>
    <col min="2829" max="2829" width="4.1640625" style="545" customWidth="1"/>
    <col min="2830" max="3071" width="12" style="545"/>
    <col min="3072" max="3072" width="7" style="545" customWidth="1"/>
    <col min="3073" max="3073" width="2.33203125" style="545" customWidth="1"/>
    <col min="3074" max="3075" width="12" style="545"/>
    <col min="3076" max="3076" width="6.5" style="545" customWidth="1"/>
    <col min="3077" max="3077" width="5.1640625" style="545" customWidth="1"/>
    <col min="3078" max="3078" width="12" style="545"/>
    <col min="3079" max="3079" width="5.1640625" style="545" customWidth="1"/>
    <col min="3080" max="3080" width="17.1640625" style="545" customWidth="1"/>
    <col min="3081" max="3081" width="4.5" style="545" customWidth="1"/>
    <col min="3082" max="3082" width="16.1640625" style="545" customWidth="1"/>
    <col min="3083" max="3083" width="4.83203125" style="545" customWidth="1"/>
    <col min="3084" max="3084" width="17.1640625" style="545" customWidth="1"/>
    <col min="3085" max="3085" width="4.1640625" style="545" customWidth="1"/>
    <col min="3086" max="3327" width="12" style="545"/>
    <col min="3328" max="3328" width="7" style="545" customWidth="1"/>
    <col min="3329" max="3329" width="2.33203125" style="545" customWidth="1"/>
    <col min="3330" max="3331" width="12" style="545"/>
    <col min="3332" max="3332" width="6.5" style="545" customWidth="1"/>
    <col min="3333" max="3333" width="5.1640625" style="545" customWidth="1"/>
    <col min="3334" max="3334" width="12" style="545"/>
    <col min="3335" max="3335" width="5.1640625" style="545" customWidth="1"/>
    <col min="3336" max="3336" width="17.1640625" style="545" customWidth="1"/>
    <col min="3337" max="3337" width="4.5" style="545" customWidth="1"/>
    <col min="3338" max="3338" width="16.1640625" style="545" customWidth="1"/>
    <col min="3339" max="3339" width="4.83203125" style="545" customWidth="1"/>
    <col min="3340" max="3340" width="17.1640625" style="545" customWidth="1"/>
    <col min="3341" max="3341" width="4.1640625" style="545" customWidth="1"/>
    <col min="3342" max="3583" width="12" style="545"/>
    <col min="3584" max="3584" width="7" style="545" customWidth="1"/>
    <col min="3585" max="3585" width="2.33203125" style="545" customWidth="1"/>
    <col min="3586" max="3587" width="12" style="545"/>
    <col min="3588" max="3588" width="6.5" style="545" customWidth="1"/>
    <col min="3589" max="3589" width="5.1640625" style="545" customWidth="1"/>
    <col min="3590" max="3590" width="12" style="545"/>
    <col min="3591" max="3591" width="5.1640625" style="545" customWidth="1"/>
    <col min="3592" max="3592" width="17.1640625" style="545" customWidth="1"/>
    <col min="3593" max="3593" width="4.5" style="545" customWidth="1"/>
    <col min="3594" max="3594" width="16.1640625" style="545" customWidth="1"/>
    <col min="3595" max="3595" width="4.83203125" style="545" customWidth="1"/>
    <col min="3596" max="3596" width="17.1640625" style="545" customWidth="1"/>
    <col min="3597" max="3597" width="4.1640625" style="545" customWidth="1"/>
    <col min="3598" max="3839" width="12" style="545"/>
    <col min="3840" max="3840" width="7" style="545" customWidth="1"/>
    <col min="3841" max="3841" width="2.33203125" style="545" customWidth="1"/>
    <col min="3842" max="3843" width="12" style="545"/>
    <col min="3844" max="3844" width="6.5" style="545" customWidth="1"/>
    <col min="3845" max="3845" width="5.1640625" style="545" customWidth="1"/>
    <col min="3846" max="3846" width="12" style="545"/>
    <col min="3847" max="3847" width="5.1640625" style="545" customWidth="1"/>
    <col min="3848" max="3848" width="17.1640625" style="545" customWidth="1"/>
    <col min="3849" max="3849" width="4.5" style="545" customWidth="1"/>
    <col min="3850" max="3850" width="16.1640625" style="545" customWidth="1"/>
    <col min="3851" max="3851" width="4.83203125" style="545" customWidth="1"/>
    <col min="3852" max="3852" width="17.1640625" style="545" customWidth="1"/>
    <col min="3853" max="3853" width="4.1640625" style="545" customWidth="1"/>
    <col min="3854" max="4095" width="12" style="545"/>
    <col min="4096" max="4096" width="7" style="545" customWidth="1"/>
    <col min="4097" max="4097" width="2.33203125" style="545" customWidth="1"/>
    <col min="4098" max="4099" width="12" style="545"/>
    <col min="4100" max="4100" width="6.5" style="545" customWidth="1"/>
    <col min="4101" max="4101" width="5.1640625" style="545" customWidth="1"/>
    <col min="4102" max="4102" width="12" style="545"/>
    <col min="4103" max="4103" width="5.1640625" style="545" customWidth="1"/>
    <col min="4104" max="4104" width="17.1640625" style="545" customWidth="1"/>
    <col min="4105" max="4105" width="4.5" style="545" customWidth="1"/>
    <col min="4106" max="4106" width="16.1640625" style="545" customWidth="1"/>
    <col min="4107" max="4107" width="4.83203125" style="545" customWidth="1"/>
    <col min="4108" max="4108" width="17.1640625" style="545" customWidth="1"/>
    <col min="4109" max="4109" width="4.1640625" style="545" customWidth="1"/>
    <col min="4110" max="4351" width="12" style="545"/>
    <col min="4352" max="4352" width="7" style="545" customWidth="1"/>
    <col min="4353" max="4353" width="2.33203125" style="545" customWidth="1"/>
    <col min="4354" max="4355" width="12" style="545"/>
    <col min="4356" max="4356" width="6.5" style="545" customWidth="1"/>
    <col min="4357" max="4357" width="5.1640625" style="545" customWidth="1"/>
    <col min="4358" max="4358" width="12" style="545"/>
    <col min="4359" max="4359" width="5.1640625" style="545" customWidth="1"/>
    <col min="4360" max="4360" width="17.1640625" style="545" customWidth="1"/>
    <col min="4361" max="4361" width="4.5" style="545" customWidth="1"/>
    <col min="4362" max="4362" width="16.1640625" style="545" customWidth="1"/>
    <col min="4363" max="4363" width="4.83203125" style="545" customWidth="1"/>
    <col min="4364" max="4364" width="17.1640625" style="545" customWidth="1"/>
    <col min="4365" max="4365" width="4.1640625" style="545" customWidth="1"/>
    <col min="4366" max="4607" width="12" style="545"/>
    <col min="4608" max="4608" width="7" style="545" customWidth="1"/>
    <col min="4609" max="4609" width="2.33203125" style="545" customWidth="1"/>
    <col min="4610" max="4611" width="12" style="545"/>
    <col min="4612" max="4612" width="6.5" style="545" customWidth="1"/>
    <col min="4613" max="4613" width="5.1640625" style="545" customWidth="1"/>
    <col min="4614" max="4614" width="12" style="545"/>
    <col min="4615" max="4615" width="5.1640625" style="545" customWidth="1"/>
    <col min="4616" max="4616" width="17.1640625" style="545" customWidth="1"/>
    <col min="4617" max="4617" width="4.5" style="545" customWidth="1"/>
    <col min="4618" max="4618" width="16.1640625" style="545" customWidth="1"/>
    <col min="4619" max="4619" width="4.83203125" style="545" customWidth="1"/>
    <col min="4620" max="4620" width="17.1640625" style="545" customWidth="1"/>
    <col min="4621" max="4621" width="4.1640625" style="545" customWidth="1"/>
    <col min="4622" max="4863" width="12" style="545"/>
    <col min="4864" max="4864" width="7" style="545" customWidth="1"/>
    <col min="4865" max="4865" width="2.33203125" style="545" customWidth="1"/>
    <col min="4866" max="4867" width="12" style="545"/>
    <col min="4868" max="4868" width="6.5" style="545" customWidth="1"/>
    <col min="4869" max="4869" width="5.1640625" style="545" customWidth="1"/>
    <col min="4870" max="4870" width="12" style="545"/>
    <col min="4871" max="4871" width="5.1640625" style="545" customWidth="1"/>
    <col min="4872" max="4872" width="17.1640625" style="545" customWidth="1"/>
    <col min="4873" max="4873" width="4.5" style="545" customWidth="1"/>
    <col min="4874" max="4874" width="16.1640625" style="545" customWidth="1"/>
    <col min="4875" max="4875" width="4.83203125" style="545" customWidth="1"/>
    <col min="4876" max="4876" width="17.1640625" style="545" customWidth="1"/>
    <col min="4877" max="4877" width="4.1640625" style="545" customWidth="1"/>
    <col min="4878" max="5119" width="12" style="545"/>
    <col min="5120" max="5120" width="7" style="545" customWidth="1"/>
    <col min="5121" max="5121" width="2.33203125" style="545" customWidth="1"/>
    <col min="5122" max="5123" width="12" style="545"/>
    <col min="5124" max="5124" width="6.5" style="545" customWidth="1"/>
    <col min="5125" max="5125" width="5.1640625" style="545" customWidth="1"/>
    <col min="5126" max="5126" width="12" style="545"/>
    <col min="5127" max="5127" width="5.1640625" style="545" customWidth="1"/>
    <col min="5128" max="5128" width="17.1640625" style="545" customWidth="1"/>
    <col min="5129" max="5129" width="4.5" style="545" customWidth="1"/>
    <col min="5130" max="5130" width="16.1640625" style="545" customWidth="1"/>
    <col min="5131" max="5131" width="4.83203125" style="545" customWidth="1"/>
    <col min="5132" max="5132" width="17.1640625" style="545" customWidth="1"/>
    <col min="5133" max="5133" width="4.1640625" style="545" customWidth="1"/>
    <col min="5134" max="5375" width="12" style="545"/>
    <col min="5376" max="5376" width="7" style="545" customWidth="1"/>
    <col min="5377" max="5377" width="2.33203125" style="545" customWidth="1"/>
    <col min="5378" max="5379" width="12" style="545"/>
    <col min="5380" max="5380" width="6.5" style="545" customWidth="1"/>
    <col min="5381" max="5381" width="5.1640625" style="545" customWidth="1"/>
    <col min="5382" max="5382" width="12" style="545"/>
    <col min="5383" max="5383" width="5.1640625" style="545" customWidth="1"/>
    <col min="5384" max="5384" width="17.1640625" style="545" customWidth="1"/>
    <col min="5385" max="5385" width="4.5" style="545" customWidth="1"/>
    <col min="5386" max="5386" width="16.1640625" style="545" customWidth="1"/>
    <col min="5387" max="5387" width="4.83203125" style="545" customWidth="1"/>
    <col min="5388" max="5388" width="17.1640625" style="545" customWidth="1"/>
    <col min="5389" max="5389" width="4.1640625" style="545" customWidth="1"/>
    <col min="5390" max="5631" width="12" style="545"/>
    <col min="5632" max="5632" width="7" style="545" customWidth="1"/>
    <col min="5633" max="5633" width="2.33203125" style="545" customWidth="1"/>
    <col min="5634" max="5635" width="12" style="545"/>
    <col min="5636" max="5636" width="6.5" style="545" customWidth="1"/>
    <col min="5637" max="5637" width="5.1640625" style="545" customWidth="1"/>
    <col min="5638" max="5638" width="12" style="545"/>
    <col min="5639" max="5639" width="5.1640625" style="545" customWidth="1"/>
    <col min="5640" max="5640" width="17.1640625" style="545" customWidth="1"/>
    <col min="5641" max="5641" width="4.5" style="545" customWidth="1"/>
    <col min="5642" max="5642" width="16.1640625" style="545" customWidth="1"/>
    <col min="5643" max="5643" width="4.83203125" style="545" customWidth="1"/>
    <col min="5644" max="5644" width="17.1640625" style="545" customWidth="1"/>
    <col min="5645" max="5645" width="4.1640625" style="545" customWidth="1"/>
    <col min="5646" max="5887" width="12" style="545"/>
    <col min="5888" max="5888" width="7" style="545" customWidth="1"/>
    <col min="5889" max="5889" width="2.33203125" style="545" customWidth="1"/>
    <col min="5890" max="5891" width="12" style="545"/>
    <col min="5892" max="5892" width="6.5" style="545" customWidth="1"/>
    <col min="5893" max="5893" width="5.1640625" style="545" customWidth="1"/>
    <col min="5894" max="5894" width="12" style="545"/>
    <col min="5895" max="5895" width="5.1640625" style="545" customWidth="1"/>
    <col min="5896" max="5896" width="17.1640625" style="545" customWidth="1"/>
    <col min="5897" max="5897" width="4.5" style="545" customWidth="1"/>
    <col min="5898" max="5898" width="16.1640625" style="545" customWidth="1"/>
    <col min="5899" max="5899" width="4.83203125" style="545" customWidth="1"/>
    <col min="5900" max="5900" width="17.1640625" style="545" customWidth="1"/>
    <col min="5901" max="5901" width="4.1640625" style="545" customWidth="1"/>
    <col min="5902" max="6143" width="12" style="545"/>
    <col min="6144" max="6144" width="7" style="545" customWidth="1"/>
    <col min="6145" max="6145" width="2.33203125" style="545" customWidth="1"/>
    <col min="6146" max="6147" width="12" style="545"/>
    <col min="6148" max="6148" width="6.5" style="545" customWidth="1"/>
    <col min="6149" max="6149" width="5.1640625" style="545" customWidth="1"/>
    <col min="6150" max="6150" width="12" style="545"/>
    <col min="6151" max="6151" width="5.1640625" style="545" customWidth="1"/>
    <col min="6152" max="6152" width="17.1640625" style="545" customWidth="1"/>
    <col min="6153" max="6153" width="4.5" style="545" customWidth="1"/>
    <col min="6154" max="6154" width="16.1640625" style="545" customWidth="1"/>
    <col min="6155" max="6155" width="4.83203125" style="545" customWidth="1"/>
    <col min="6156" max="6156" width="17.1640625" style="545" customWidth="1"/>
    <col min="6157" max="6157" width="4.1640625" style="545" customWidth="1"/>
    <col min="6158" max="6399" width="12" style="545"/>
    <col min="6400" max="6400" width="7" style="545" customWidth="1"/>
    <col min="6401" max="6401" width="2.33203125" style="545" customWidth="1"/>
    <col min="6402" max="6403" width="12" style="545"/>
    <col min="6404" max="6404" width="6.5" style="545" customWidth="1"/>
    <col min="6405" max="6405" width="5.1640625" style="545" customWidth="1"/>
    <col min="6406" max="6406" width="12" style="545"/>
    <col min="6407" max="6407" width="5.1640625" style="545" customWidth="1"/>
    <col min="6408" max="6408" width="17.1640625" style="545" customWidth="1"/>
    <col min="6409" max="6409" width="4.5" style="545" customWidth="1"/>
    <col min="6410" max="6410" width="16.1640625" style="545" customWidth="1"/>
    <col min="6411" max="6411" width="4.83203125" style="545" customWidth="1"/>
    <col min="6412" max="6412" width="17.1640625" style="545" customWidth="1"/>
    <col min="6413" max="6413" width="4.1640625" style="545" customWidth="1"/>
    <col min="6414" max="6655" width="12" style="545"/>
    <col min="6656" max="6656" width="7" style="545" customWidth="1"/>
    <col min="6657" max="6657" width="2.33203125" style="545" customWidth="1"/>
    <col min="6658" max="6659" width="12" style="545"/>
    <col min="6660" max="6660" width="6.5" style="545" customWidth="1"/>
    <col min="6661" max="6661" width="5.1640625" style="545" customWidth="1"/>
    <col min="6662" max="6662" width="12" style="545"/>
    <col min="6663" max="6663" width="5.1640625" style="545" customWidth="1"/>
    <col min="6664" max="6664" width="17.1640625" style="545" customWidth="1"/>
    <col min="6665" max="6665" width="4.5" style="545" customWidth="1"/>
    <col min="6666" max="6666" width="16.1640625" style="545" customWidth="1"/>
    <col min="6667" max="6667" width="4.83203125" style="545" customWidth="1"/>
    <col min="6668" max="6668" width="17.1640625" style="545" customWidth="1"/>
    <col min="6669" max="6669" width="4.1640625" style="545" customWidth="1"/>
    <col min="6670" max="6911" width="12" style="545"/>
    <col min="6912" max="6912" width="7" style="545" customWidth="1"/>
    <col min="6913" max="6913" width="2.33203125" style="545" customWidth="1"/>
    <col min="6914" max="6915" width="12" style="545"/>
    <col min="6916" max="6916" width="6.5" style="545" customWidth="1"/>
    <col min="6917" max="6917" width="5.1640625" style="545" customWidth="1"/>
    <col min="6918" max="6918" width="12" style="545"/>
    <col min="6919" max="6919" width="5.1640625" style="545" customWidth="1"/>
    <col min="6920" max="6920" width="17.1640625" style="545" customWidth="1"/>
    <col min="6921" max="6921" width="4.5" style="545" customWidth="1"/>
    <col min="6922" max="6922" width="16.1640625" style="545" customWidth="1"/>
    <col min="6923" max="6923" width="4.83203125" style="545" customWidth="1"/>
    <col min="6924" max="6924" width="17.1640625" style="545" customWidth="1"/>
    <col min="6925" max="6925" width="4.1640625" style="545" customWidth="1"/>
    <col min="6926" max="7167" width="12" style="545"/>
    <col min="7168" max="7168" width="7" style="545" customWidth="1"/>
    <col min="7169" max="7169" width="2.33203125" style="545" customWidth="1"/>
    <col min="7170" max="7171" width="12" style="545"/>
    <col min="7172" max="7172" width="6.5" style="545" customWidth="1"/>
    <col min="7173" max="7173" width="5.1640625" style="545" customWidth="1"/>
    <col min="7174" max="7174" width="12" style="545"/>
    <col min="7175" max="7175" width="5.1640625" style="545" customWidth="1"/>
    <col min="7176" max="7176" width="17.1640625" style="545" customWidth="1"/>
    <col min="7177" max="7177" width="4.5" style="545" customWidth="1"/>
    <col min="7178" max="7178" width="16.1640625" style="545" customWidth="1"/>
    <col min="7179" max="7179" width="4.83203125" style="545" customWidth="1"/>
    <col min="7180" max="7180" width="17.1640625" style="545" customWidth="1"/>
    <col min="7181" max="7181" width="4.1640625" style="545" customWidth="1"/>
    <col min="7182" max="7423" width="12" style="545"/>
    <col min="7424" max="7424" width="7" style="545" customWidth="1"/>
    <col min="7425" max="7425" width="2.33203125" style="545" customWidth="1"/>
    <col min="7426" max="7427" width="12" style="545"/>
    <col min="7428" max="7428" width="6.5" style="545" customWidth="1"/>
    <col min="7429" max="7429" width="5.1640625" style="545" customWidth="1"/>
    <col min="7430" max="7430" width="12" style="545"/>
    <col min="7431" max="7431" width="5.1640625" style="545" customWidth="1"/>
    <col min="7432" max="7432" width="17.1640625" style="545" customWidth="1"/>
    <col min="7433" max="7433" width="4.5" style="545" customWidth="1"/>
    <col min="7434" max="7434" width="16.1640625" style="545" customWidth="1"/>
    <col min="7435" max="7435" width="4.83203125" style="545" customWidth="1"/>
    <col min="7436" max="7436" width="17.1640625" style="545" customWidth="1"/>
    <col min="7437" max="7437" width="4.1640625" style="545" customWidth="1"/>
    <col min="7438" max="7679" width="12" style="545"/>
    <col min="7680" max="7680" width="7" style="545" customWidth="1"/>
    <col min="7681" max="7681" width="2.33203125" style="545" customWidth="1"/>
    <col min="7682" max="7683" width="12" style="545"/>
    <col min="7684" max="7684" width="6.5" style="545" customWidth="1"/>
    <col min="7685" max="7685" width="5.1640625" style="545" customWidth="1"/>
    <col min="7686" max="7686" width="12" style="545"/>
    <col min="7687" max="7687" width="5.1640625" style="545" customWidth="1"/>
    <col min="7688" max="7688" width="17.1640625" style="545" customWidth="1"/>
    <col min="7689" max="7689" width="4.5" style="545" customWidth="1"/>
    <col min="7690" max="7690" width="16.1640625" style="545" customWidth="1"/>
    <col min="7691" max="7691" width="4.83203125" style="545" customWidth="1"/>
    <col min="7692" max="7692" width="17.1640625" style="545" customWidth="1"/>
    <col min="7693" max="7693" width="4.1640625" style="545" customWidth="1"/>
    <col min="7694" max="7935" width="12" style="545"/>
    <col min="7936" max="7936" width="7" style="545" customWidth="1"/>
    <col min="7937" max="7937" width="2.33203125" style="545" customWidth="1"/>
    <col min="7938" max="7939" width="12" style="545"/>
    <col min="7940" max="7940" width="6.5" style="545" customWidth="1"/>
    <col min="7941" max="7941" width="5.1640625" style="545" customWidth="1"/>
    <col min="7942" max="7942" width="12" style="545"/>
    <col min="7943" max="7943" width="5.1640625" style="545" customWidth="1"/>
    <col min="7944" max="7944" width="17.1640625" style="545" customWidth="1"/>
    <col min="7945" max="7945" width="4.5" style="545" customWidth="1"/>
    <col min="7946" max="7946" width="16.1640625" style="545" customWidth="1"/>
    <col min="7947" max="7947" width="4.83203125" style="545" customWidth="1"/>
    <col min="7948" max="7948" width="17.1640625" style="545" customWidth="1"/>
    <col min="7949" max="7949" width="4.1640625" style="545" customWidth="1"/>
    <col min="7950" max="8191" width="12" style="545"/>
    <col min="8192" max="8192" width="7" style="545" customWidth="1"/>
    <col min="8193" max="8193" width="2.33203125" style="545" customWidth="1"/>
    <col min="8194" max="8195" width="12" style="545"/>
    <col min="8196" max="8196" width="6.5" style="545" customWidth="1"/>
    <col min="8197" max="8197" width="5.1640625" style="545" customWidth="1"/>
    <col min="8198" max="8198" width="12" style="545"/>
    <col min="8199" max="8199" width="5.1640625" style="545" customWidth="1"/>
    <col min="8200" max="8200" width="17.1640625" style="545" customWidth="1"/>
    <col min="8201" max="8201" width="4.5" style="545" customWidth="1"/>
    <col min="8202" max="8202" width="16.1640625" style="545" customWidth="1"/>
    <col min="8203" max="8203" width="4.83203125" style="545" customWidth="1"/>
    <col min="8204" max="8204" width="17.1640625" style="545" customWidth="1"/>
    <col min="8205" max="8205" width="4.1640625" style="545" customWidth="1"/>
    <col min="8206" max="8447" width="12" style="545"/>
    <col min="8448" max="8448" width="7" style="545" customWidth="1"/>
    <col min="8449" max="8449" width="2.33203125" style="545" customWidth="1"/>
    <col min="8450" max="8451" width="12" style="545"/>
    <col min="8452" max="8452" width="6.5" style="545" customWidth="1"/>
    <col min="8453" max="8453" width="5.1640625" style="545" customWidth="1"/>
    <col min="8454" max="8454" width="12" style="545"/>
    <col min="8455" max="8455" width="5.1640625" style="545" customWidth="1"/>
    <col min="8456" max="8456" width="17.1640625" style="545" customWidth="1"/>
    <col min="8457" max="8457" width="4.5" style="545" customWidth="1"/>
    <col min="8458" max="8458" width="16.1640625" style="545" customWidth="1"/>
    <col min="8459" max="8459" width="4.83203125" style="545" customWidth="1"/>
    <col min="8460" max="8460" width="17.1640625" style="545" customWidth="1"/>
    <col min="8461" max="8461" width="4.1640625" style="545" customWidth="1"/>
    <col min="8462" max="8703" width="12" style="545"/>
    <col min="8704" max="8704" width="7" style="545" customWidth="1"/>
    <col min="8705" max="8705" width="2.33203125" style="545" customWidth="1"/>
    <col min="8706" max="8707" width="12" style="545"/>
    <col min="8708" max="8708" width="6.5" style="545" customWidth="1"/>
    <col min="8709" max="8709" width="5.1640625" style="545" customWidth="1"/>
    <col min="8710" max="8710" width="12" style="545"/>
    <col min="8711" max="8711" width="5.1640625" style="545" customWidth="1"/>
    <col min="8712" max="8712" width="17.1640625" style="545" customWidth="1"/>
    <col min="8713" max="8713" width="4.5" style="545" customWidth="1"/>
    <col min="8714" max="8714" width="16.1640625" style="545" customWidth="1"/>
    <col min="8715" max="8715" width="4.83203125" style="545" customWidth="1"/>
    <col min="8716" max="8716" width="17.1640625" style="545" customWidth="1"/>
    <col min="8717" max="8717" width="4.1640625" style="545" customWidth="1"/>
    <col min="8718" max="8959" width="12" style="545"/>
    <col min="8960" max="8960" width="7" style="545" customWidth="1"/>
    <col min="8961" max="8961" width="2.33203125" style="545" customWidth="1"/>
    <col min="8962" max="8963" width="12" style="545"/>
    <col min="8964" max="8964" width="6.5" style="545" customWidth="1"/>
    <col min="8965" max="8965" width="5.1640625" style="545" customWidth="1"/>
    <col min="8966" max="8966" width="12" style="545"/>
    <col min="8967" max="8967" width="5.1640625" style="545" customWidth="1"/>
    <col min="8968" max="8968" width="17.1640625" style="545" customWidth="1"/>
    <col min="8969" max="8969" width="4.5" style="545" customWidth="1"/>
    <col min="8970" max="8970" width="16.1640625" style="545" customWidth="1"/>
    <col min="8971" max="8971" width="4.83203125" style="545" customWidth="1"/>
    <col min="8972" max="8972" width="17.1640625" style="545" customWidth="1"/>
    <col min="8973" max="8973" width="4.1640625" style="545" customWidth="1"/>
    <col min="8974" max="9215" width="12" style="545"/>
    <col min="9216" max="9216" width="7" style="545" customWidth="1"/>
    <col min="9217" max="9217" width="2.33203125" style="545" customWidth="1"/>
    <col min="9218" max="9219" width="12" style="545"/>
    <col min="9220" max="9220" width="6.5" style="545" customWidth="1"/>
    <col min="9221" max="9221" width="5.1640625" style="545" customWidth="1"/>
    <col min="9222" max="9222" width="12" style="545"/>
    <col min="9223" max="9223" width="5.1640625" style="545" customWidth="1"/>
    <col min="9224" max="9224" width="17.1640625" style="545" customWidth="1"/>
    <col min="9225" max="9225" width="4.5" style="545" customWidth="1"/>
    <col min="9226" max="9226" width="16.1640625" style="545" customWidth="1"/>
    <col min="9227" max="9227" width="4.83203125" style="545" customWidth="1"/>
    <col min="9228" max="9228" width="17.1640625" style="545" customWidth="1"/>
    <col min="9229" max="9229" width="4.1640625" style="545" customWidth="1"/>
    <col min="9230" max="9471" width="12" style="545"/>
    <col min="9472" max="9472" width="7" style="545" customWidth="1"/>
    <col min="9473" max="9473" width="2.33203125" style="545" customWidth="1"/>
    <col min="9474" max="9475" width="12" style="545"/>
    <col min="9476" max="9476" width="6.5" style="545" customWidth="1"/>
    <col min="9477" max="9477" width="5.1640625" style="545" customWidth="1"/>
    <col min="9478" max="9478" width="12" style="545"/>
    <col min="9479" max="9479" width="5.1640625" style="545" customWidth="1"/>
    <col min="9480" max="9480" width="17.1640625" style="545" customWidth="1"/>
    <col min="9481" max="9481" width="4.5" style="545" customWidth="1"/>
    <col min="9482" max="9482" width="16.1640625" style="545" customWidth="1"/>
    <col min="9483" max="9483" width="4.83203125" style="545" customWidth="1"/>
    <col min="9484" max="9484" width="17.1640625" style="545" customWidth="1"/>
    <col min="9485" max="9485" width="4.1640625" style="545" customWidth="1"/>
    <col min="9486" max="9727" width="12" style="545"/>
    <col min="9728" max="9728" width="7" style="545" customWidth="1"/>
    <col min="9729" max="9729" width="2.33203125" style="545" customWidth="1"/>
    <col min="9730" max="9731" width="12" style="545"/>
    <col min="9732" max="9732" width="6.5" style="545" customWidth="1"/>
    <col min="9733" max="9733" width="5.1640625" style="545" customWidth="1"/>
    <col min="9734" max="9734" width="12" style="545"/>
    <col min="9735" max="9735" width="5.1640625" style="545" customWidth="1"/>
    <col min="9736" max="9736" width="17.1640625" style="545" customWidth="1"/>
    <col min="9737" max="9737" width="4.5" style="545" customWidth="1"/>
    <col min="9738" max="9738" width="16.1640625" style="545" customWidth="1"/>
    <col min="9739" max="9739" width="4.83203125" style="545" customWidth="1"/>
    <col min="9740" max="9740" width="17.1640625" style="545" customWidth="1"/>
    <col min="9741" max="9741" width="4.1640625" style="545" customWidth="1"/>
    <col min="9742" max="9983" width="12" style="545"/>
    <col min="9984" max="9984" width="7" style="545" customWidth="1"/>
    <col min="9985" max="9985" width="2.33203125" style="545" customWidth="1"/>
    <col min="9986" max="9987" width="12" style="545"/>
    <col min="9988" max="9988" width="6.5" style="545" customWidth="1"/>
    <col min="9989" max="9989" width="5.1640625" style="545" customWidth="1"/>
    <col min="9990" max="9990" width="12" style="545"/>
    <col min="9991" max="9991" width="5.1640625" style="545" customWidth="1"/>
    <col min="9992" max="9992" width="17.1640625" style="545" customWidth="1"/>
    <col min="9993" max="9993" width="4.5" style="545" customWidth="1"/>
    <col min="9994" max="9994" width="16.1640625" style="545" customWidth="1"/>
    <col min="9995" max="9995" width="4.83203125" style="545" customWidth="1"/>
    <col min="9996" max="9996" width="17.1640625" style="545" customWidth="1"/>
    <col min="9997" max="9997" width="4.1640625" style="545" customWidth="1"/>
    <col min="9998" max="10239" width="12" style="545"/>
    <col min="10240" max="10240" width="7" style="545" customWidth="1"/>
    <col min="10241" max="10241" width="2.33203125" style="545" customWidth="1"/>
    <col min="10242" max="10243" width="12" style="545"/>
    <col min="10244" max="10244" width="6.5" style="545" customWidth="1"/>
    <col min="10245" max="10245" width="5.1640625" style="545" customWidth="1"/>
    <col min="10246" max="10246" width="12" style="545"/>
    <col min="10247" max="10247" width="5.1640625" style="545" customWidth="1"/>
    <col min="10248" max="10248" width="17.1640625" style="545" customWidth="1"/>
    <col min="10249" max="10249" width="4.5" style="545" customWidth="1"/>
    <col min="10250" max="10250" width="16.1640625" style="545" customWidth="1"/>
    <col min="10251" max="10251" width="4.83203125" style="545" customWidth="1"/>
    <col min="10252" max="10252" width="17.1640625" style="545" customWidth="1"/>
    <col min="10253" max="10253" width="4.1640625" style="545" customWidth="1"/>
    <col min="10254" max="10495" width="12" style="545"/>
    <col min="10496" max="10496" width="7" style="545" customWidth="1"/>
    <col min="10497" max="10497" width="2.33203125" style="545" customWidth="1"/>
    <col min="10498" max="10499" width="12" style="545"/>
    <col min="10500" max="10500" width="6.5" style="545" customWidth="1"/>
    <col min="10501" max="10501" width="5.1640625" style="545" customWidth="1"/>
    <col min="10502" max="10502" width="12" style="545"/>
    <col min="10503" max="10503" width="5.1640625" style="545" customWidth="1"/>
    <col min="10504" max="10504" width="17.1640625" style="545" customWidth="1"/>
    <col min="10505" max="10505" width="4.5" style="545" customWidth="1"/>
    <col min="10506" max="10506" width="16.1640625" style="545" customWidth="1"/>
    <col min="10507" max="10507" width="4.83203125" style="545" customWidth="1"/>
    <col min="10508" max="10508" width="17.1640625" style="545" customWidth="1"/>
    <col min="10509" max="10509" width="4.1640625" style="545" customWidth="1"/>
    <col min="10510" max="10751" width="12" style="545"/>
    <col min="10752" max="10752" width="7" style="545" customWidth="1"/>
    <col min="10753" max="10753" width="2.33203125" style="545" customWidth="1"/>
    <col min="10754" max="10755" width="12" style="545"/>
    <col min="10756" max="10756" width="6.5" style="545" customWidth="1"/>
    <col min="10757" max="10757" width="5.1640625" style="545" customWidth="1"/>
    <col min="10758" max="10758" width="12" style="545"/>
    <col min="10759" max="10759" width="5.1640625" style="545" customWidth="1"/>
    <col min="10760" max="10760" width="17.1640625" style="545" customWidth="1"/>
    <col min="10761" max="10761" width="4.5" style="545" customWidth="1"/>
    <col min="10762" max="10762" width="16.1640625" style="545" customWidth="1"/>
    <col min="10763" max="10763" width="4.83203125" style="545" customWidth="1"/>
    <col min="10764" max="10764" width="17.1640625" style="545" customWidth="1"/>
    <col min="10765" max="10765" width="4.1640625" style="545" customWidth="1"/>
    <col min="10766" max="11007" width="12" style="545"/>
    <col min="11008" max="11008" width="7" style="545" customWidth="1"/>
    <col min="11009" max="11009" width="2.33203125" style="545" customWidth="1"/>
    <col min="11010" max="11011" width="12" style="545"/>
    <col min="11012" max="11012" width="6.5" style="545" customWidth="1"/>
    <col min="11013" max="11013" width="5.1640625" style="545" customWidth="1"/>
    <col min="11014" max="11014" width="12" style="545"/>
    <col min="11015" max="11015" width="5.1640625" style="545" customWidth="1"/>
    <col min="11016" max="11016" width="17.1640625" style="545" customWidth="1"/>
    <col min="11017" max="11017" width="4.5" style="545" customWidth="1"/>
    <col min="11018" max="11018" width="16.1640625" style="545" customWidth="1"/>
    <col min="11019" max="11019" width="4.83203125" style="545" customWidth="1"/>
    <col min="11020" max="11020" width="17.1640625" style="545" customWidth="1"/>
    <col min="11021" max="11021" width="4.1640625" style="545" customWidth="1"/>
    <col min="11022" max="11263" width="12" style="545"/>
    <col min="11264" max="11264" width="7" style="545" customWidth="1"/>
    <col min="11265" max="11265" width="2.33203125" style="545" customWidth="1"/>
    <col min="11266" max="11267" width="12" style="545"/>
    <col min="11268" max="11268" width="6.5" style="545" customWidth="1"/>
    <col min="11269" max="11269" width="5.1640625" style="545" customWidth="1"/>
    <col min="11270" max="11270" width="12" style="545"/>
    <col min="11271" max="11271" width="5.1640625" style="545" customWidth="1"/>
    <col min="11272" max="11272" width="17.1640625" style="545" customWidth="1"/>
    <col min="11273" max="11273" width="4.5" style="545" customWidth="1"/>
    <col min="11274" max="11274" width="16.1640625" style="545" customWidth="1"/>
    <col min="11275" max="11275" width="4.83203125" style="545" customWidth="1"/>
    <col min="11276" max="11276" width="17.1640625" style="545" customWidth="1"/>
    <col min="11277" max="11277" width="4.1640625" style="545" customWidth="1"/>
    <col min="11278" max="11519" width="12" style="545"/>
    <col min="11520" max="11520" width="7" style="545" customWidth="1"/>
    <col min="11521" max="11521" width="2.33203125" style="545" customWidth="1"/>
    <col min="11522" max="11523" width="12" style="545"/>
    <col min="11524" max="11524" width="6.5" style="545" customWidth="1"/>
    <col min="11525" max="11525" width="5.1640625" style="545" customWidth="1"/>
    <col min="11526" max="11526" width="12" style="545"/>
    <col min="11527" max="11527" width="5.1640625" style="545" customWidth="1"/>
    <col min="11528" max="11528" width="17.1640625" style="545" customWidth="1"/>
    <col min="11529" max="11529" width="4.5" style="545" customWidth="1"/>
    <col min="11530" max="11530" width="16.1640625" style="545" customWidth="1"/>
    <col min="11531" max="11531" width="4.83203125" style="545" customWidth="1"/>
    <col min="11532" max="11532" width="17.1640625" style="545" customWidth="1"/>
    <col min="11533" max="11533" width="4.1640625" style="545" customWidth="1"/>
    <col min="11534" max="11775" width="12" style="545"/>
    <col min="11776" max="11776" width="7" style="545" customWidth="1"/>
    <col min="11777" max="11777" width="2.33203125" style="545" customWidth="1"/>
    <col min="11778" max="11779" width="12" style="545"/>
    <col min="11780" max="11780" width="6.5" style="545" customWidth="1"/>
    <col min="11781" max="11781" width="5.1640625" style="545" customWidth="1"/>
    <col min="11782" max="11782" width="12" style="545"/>
    <col min="11783" max="11783" width="5.1640625" style="545" customWidth="1"/>
    <col min="11784" max="11784" width="17.1640625" style="545" customWidth="1"/>
    <col min="11785" max="11785" width="4.5" style="545" customWidth="1"/>
    <col min="11786" max="11786" width="16.1640625" style="545" customWidth="1"/>
    <col min="11787" max="11787" width="4.83203125" style="545" customWidth="1"/>
    <col min="11788" max="11788" width="17.1640625" style="545" customWidth="1"/>
    <col min="11789" max="11789" width="4.1640625" style="545" customWidth="1"/>
    <col min="11790" max="12031" width="12" style="545"/>
    <col min="12032" max="12032" width="7" style="545" customWidth="1"/>
    <col min="12033" max="12033" width="2.33203125" style="545" customWidth="1"/>
    <col min="12034" max="12035" width="12" style="545"/>
    <col min="12036" max="12036" width="6.5" style="545" customWidth="1"/>
    <col min="12037" max="12037" width="5.1640625" style="545" customWidth="1"/>
    <col min="12038" max="12038" width="12" style="545"/>
    <col min="12039" max="12039" width="5.1640625" style="545" customWidth="1"/>
    <col min="12040" max="12040" width="17.1640625" style="545" customWidth="1"/>
    <col min="12041" max="12041" width="4.5" style="545" customWidth="1"/>
    <col min="12042" max="12042" width="16.1640625" style="545" customWidth="1"/>
    <col min="12043" max="12043" width="4.83203125" style="545" customWidth="1"/>
    <col min="12044" max="12044" width="17.1640625" style="545" customWidth="1"/>
    <col min="12045" max="12045" width="4.1640625" style="545" customWidth="1"/>
    <col min="12046" max="12287" width="12" style="545"/>
    <col min="12288" max="12288" width="7" style="545" customWidth="1"/>
    <col min="12289" max="12289" width="2.33203125" style="545" customWidth="1"/>
    <col min="12290" max="12291" width="12" style="545"/>
    <col min="12292" max="12292" width="6.5" style="545" customWidth="1"/>
    <col min="12293" max="12293" width="5.1640625" style="545" customWidth="1"/>
    <col min="12294" max="12294" width="12" style="545"/>
    <col min="12295" max="12295" width="5.1640625" style="545" customWidth="1"/>
    <col min="12296" max="12296" width="17.1640625" style="545" customWidth="1"/>
    <col min="12297" max="12297" width="4.5" style="545" customWidth="1"/>
    <col min="12298" max="12298" width="16.1640625" style="545" customWidth="1"/>
    <col min="12299" max="12299" width="4.83203125" style="545" customWidth="1"/>
    <col min="12300" max="12300" width="17.1640625" style="545" customWidth="1"/>
    <col min="12301" max="12301" width="4.1640625" style="545" customWidth="1"/>
    <col min="12302" max="12543" width="12" style="545"/>
    <col min="12544" max="12544" width="7" style="545" customWidth="1"/>
    <col min="12545" max="12545" width="2.33203125" style="545" customWidth="1"/>
    <col min="12546" max="12547" width="12" style="545"/>
    <col min="12548" max="12548" width="6.5" style="545" customWidth="1"/>
    <col min="12549" max="12549" width="5.1640625" style="545" customWidth="1"/>
    <col min="12550" max="12550" width="12" style="545"/>
    <col min="12551" max="12551" width="5.1640625" style="545" customWidth="1"/>
    <col min="12552" max="12552" width="17.1640625" style="545" customWidth="1"/>
    <col min="12553" max="12553" width="4.5" style="545" customWidth="1"/>
    <col min="12554" max="12554" width="16.1640625" style="545" customWidth="1"/>
    <col min="12555" max="12555" width="4.83203125" style="545" customWidth="1"/>
    <col min="12556" max="12556" width="17.1640625" style="545" customWidth="1"/>
    <col min="12557" max="12557" width="4.1640625" style="545" customWidth="1"/>
    <col min="12558" max="12799" width="12" style="545"/>
    <col min="12800" max="12800" width="7" style="545" customWidth="1"/>
    <col min="12801" max="12801" width="2.33203125" style="545" customWidth="1"/>
    <col min="12802" max="12803" width="12" style="545"/>
    <col min="12804" max="12804" width="6.5" style="545" customWidth="1"/>
    <col min="12805" max="12805" width="5.1640625" style="545" customWidth="1"/>
    <col min="12806" max="12806" width="12" style="545"/>
    <col min="12807" max="12807" width="5.1640625" style="545" customWidth="1"/>
    <col min="12808" max="12808" width="17.1640625" style="545" customWidth="1"/>
    <col min="12809" max="12809" width="4.5" style="545" customWidth="1"/>
    <col min="12810" max="12810" width="16.1640625" style="545" customWidth="1"/>
    <col min="12811" max="12811" width="4.83203125" style="545" customWidth="1"/>
    <col min="12812" max="12812" width="17.1640625" style="545" customWidth="1"/>
    <col min="12813" max="12813" width="4.1640625" style="545" customWidth="1"/>
    <col min="12814" max="13055" width="12" style="545"/>
    <col min="13056" max="13056" width="7" style="545" customWidth="1"/>
    <col min="13057" max="13057" width="2.33203125" style="545" customWidth="1"/>
    <col min="13058" max="13059" width="12" style="545"/>
    <col min="13060" max="13060" width="6.5" style="545" customWidth="1"/>
    <col min="13061" max="13061" width="5.1640625" style="545" customWidth="1"/>
    <col min="13062" max="13062" width="12" style="545"/>
    <col min="13063" max="13063" width="5.1640625" style="545" customWidth="1"/>
    <col min="13064" max="13064" width="17.1640625" style="545" customWidth="1"/>
    <col min="13065" max="13065" width="4.5" style="545" customWidth="1"/>
    <col min="13066" max="13066" width="16.1640625" style="545" customWidth="1"/>
    <col min="13067" max="13067" width="4.83203125" style="545" customWidth="1"/>
    <col min="13068" max="13068" width="17.1640625" style="545" customWidth="1"/>
    <col min="13069" max="13069" width="4.1640625" style="545" customWidth="1"/>
    <col min="13070" max="13311" width="12" style="545"/>
    <col min="13312" max="13312" width="7" style="545" customWidth="1"/>
    <col min="13313" max="13313" width="2.33203125" style="545" customWidth="1"/>
    <col min="13314" max="13315" width="12" style="545"/>
    <col min="13316" max="13316" width="6.5" style="545" customWidth="1"/>
    <col min="13317" max="13317" width="5.1640625" style="545" customWidth="1"/>
    <col min="13318" max="13318" width="12" style="545"/>
    <col min="13319" max="13319" width="5.1640625" style="545" customWidth="1"/>
    <col min="13320" max="13320" width="17.1640625" style="545" customWidth="1"/>
    <col min="13321" max="13321" width="4.5" style="545" customWidth="1"/>
    <col min="13322" max="13322" width="16.1640625" style="545" customWidth="1"/>
    <col min="13323" max="13323" width="4.83203125" style="545" customWidth="1"/>
    <col min="13324" max="13324" width="17.1640625" style="545" customWidth="1"/>
    <col min="13325" max="13325" width="4.1640625" style="545" customWidth="1"/>
    <col min="13326" max="13567" width="12" style="545"/>
    <col min="13568" max="13568" width="7" style="545" customWidth="1"/>
    <col min="13569" max="13569" width="2.33203125" style="545" customWidth="1"/>
    <col min="13570" max="13571" width="12" style="545"/>
    <col min="13572" max="13572" width="6.5" style="545" customWidth="1"/>
    <col min="13573" max="13573" width="5.1640625" style="545" customWidth="1"/>
    <col min="13574" max="13574" width="12" style="545"/>
    <col min="13575" max="13575" width="5.1640625" style="545" customWidth="1"/>
    <col min="13576" max="13576" width="17.1640625" style="545" customWidth="1"/>
    <col min="13577" max="13577" width="4.5" style="545" customWidth="1"/>
    <col min="13578" max="13578" width="16.1640625" style="545" customWidth="1"/>
    <col min="13579" max="13579" width="4.83203125" style="545" customWidth="1"/>
    <col min="13580" max="13580" width="17.1640625" style="545" customWidth="1"/>
    <col min="13581" max="13581" width="4.1640625" style="545" customWidth="1"/>
    <col min="13582" max="13823" width="12" style="545"/>
    <col min="13824" max="13824" width="7" style="545" customWidth="1"/>
    <col min="13825" max="13825" width="2.33203125" style="545" customWidth="1"/>
    <col min="13826" max="13827" width="12" style="545"/>
    <col min="13828" max="13828" width="6.5" style="545" customWidth="1"/>
    <col min="13829" max="13829" width="5.1640625" style="545" customWidth="1"/>
    <col min="13830" max="13830" width="12" style="545"/>
    <col min="13831" max="13831" width="5.1640625" style="545" customWidth="1"/>
    <col min="13832" max="13832" width="17.1640625" style="545" customWidth="1"/>
    <col min="13833" max="13833" width="4.5" style="545" customWidth="1"/>
    <col min="13834" max="13834" width="16.1640625" style="545" customWidth="1"/>
    <col min="13835" max="13835" width="4.83203125" style="545" customWidth="1"/>
    <col min="13836" max="13836" width="17.1640625" style="545" customWidth="1"/>
    <col min="13837" max="13837" width="4.1640625" style="545" customWidth="1"/>
    <col min="13838" max="14079" width="12" style="545"/>
    <col min="14080" max="14080" width="7" style="545" customWidth="1"/>
    <col min="14081" max="14081" width="2.33203125" style="545" customWidth="1"/>
    <col min="14082" max="14083" width="12" style="545"/>
    <col min="14084" max="14084" width="6.5" style="545" customWidth="1"/>
    <col min="14085" max="14085" width="5.1640625" style="545" customWidth="1"/>
    <col min="14086" max="14086" width="12" style="545"/>
    <col min="14087" max="14087" width="5.1640625" style="545" customWidth="1"/>
    <col min="14088" max="14088" width="17.1640625" style="545" customWidth="1"/>
    <col min="14089" max="14089" width="4.5" style="545" customWidth="1"/>
    <col min="14090" max="14090" width="16.1640625" style="545" customWidth="1"/>
    <col min="14091" max="14091" width="4.83203125" style="545" customWidth="1"/>
    <col min="14092" max="14092" width="17.1640625" style="545" customWidth="1"/>
    <col min="14093" max="14093" width="4.1640625" style="545" customWidth="1"/>
    <col min="14094" max="14335" width="12" style="545"/>
    <col min="14336" max="14336" width="7" style="545" customWidth="1"/>
    <col min="14337" max="14337" width="2.33203125" style="545" customWidth="1"/>
    <col min="14338" max="14339" width="12" style="545"/>
    <col min="14340" max="14340" width="6.5" style="545" customWidth="1"/>
    <col min="14341" max="14341" width="5.1640625" style="545" customWidth="1"/>
    <col min="14342" max="14342" width="12" style="545"/>
    <col min="14343" max="14343" width="5.1640625" style="545" customWidth="1"/>
    <col min="14344" max="14344" width="17.1640625" style="545" customWidth="1"/>
    <col min="14345" max="14345" width="4.5" style="545" customWidth="1"/>
    <col min="14346" max="14346" width="16.1640625" style="545" customWidth="1"/>
    <col min="14347" max="14347" width="4.83203125" style="545" customWidth="1"/>
    <col min="14348" max="14348" width="17.1640625" style="545" customWidth="1"/>
    <col min="14349" max="14349" width="4.1640625" style="545" customWidth="1"/>
    <col min="14350" max="14591" width="12" style="545"/>
    <col min="14592" max="14592" width="7" style="545" customWidth="1"/>
    <col min="14593" max="14593" width="2.33203125" style="545" customWidth="1"/>
    <col min="14594" max="14595" width="12" style="545"/>
    <col min="14596" max="14596" width="6.5" style="545" customWidth="1"/>
    <col min="14597" max="14597" width="5.1640625" style="545" customWidth="1"/>
    <col min="14598" max="14598" width="12" style="545"/>
    <col min="14599" max="14599" width="5.1640625" style="545" customWidth="1"/>
    <col min="14600" max="14600" width="17.1640625" style="545" customWidth="1"/>
    <col min="14601" max="14601" width="4.5" style="545" customWidth="1"/>
    <col min="14602" max="14602" width="16.1640625" style="545" customWidth="1"/>
    <col min="14603" max="14603" width="4.83203125" style="545" customWidth="1"/>
    <col min="14604" max="14604" width="17.1640625" style="545" customWidth="1"/>
    <col min="14605" max="14605" width="4.1640625" style="545" customWidth="1"/>
    <col min="14606" max="14847" width="12" style="545"/>
    <col min="14848" max="14848" width="7" style="545" customWidth="1"/>
    <col min="14849" max="14849" width="2.33203125" style="545" customWidth="1"/>
    <col min="14850" max="14851" width="12" style="545"/>
    <col min="14852" max="14852" width="6.5" style="545" customWidth="1"/>
    <col min="14853" max="14853" width="5.1640625" style="545" customWidth="1"/>
    <col min="14854" max="14854" width="12" style="545"/>
    <col min="14855" max="14855" width="5.1640625" style="545" customWidth="1"/>
    <col min="14856" max="14856" width="17.1640625" style="545" customWidth="1"/>
    <col min="14857" max="14857" width="4.5" style="545" customWidth="1"/>
    <col min="14858" max="14858" width="16.1640625" style="545" customWidth="1"/>
    <col min="14859" max="14859" width="4.83203125" style="545" customWidth="1"/>
    <col min="14860" max="14860" width="17.1640625" style="545" customWidth="1"/>
    <col min="14861" max="14861" width="4.1640625" style="545" customWidth="1"/>
    <col min="14862" max="15103" width="12" style="545"/>
    <col min="15104" max="15104" width="7" style="545" customWidth="1"/>
    <col min="15105" max="15105" width="2.33203125" style="545" customWidth="1"/>
    <col min="15106" max="15107" width="12" style="545"/>
    <col min="15108" max="15108" width="6.5" style="545" customWidth="1"/>
    <col min="15109" max="15109" width="5.1640625" style="545" customWidth="1"/>
    <col min="15110" max="15110" width="12" style="545"/>
    <col min="15111" max="15111" width="5.1640625" style="545" customWidth="1"/>
    <col min="15112" max="15112" width="17.1640625" style="545" customWidth="1"/>
    <col min="15113" max="15113" width="4.5" style="545" customWidth="1"/>
    <col min="15114" max="15114" width="16.1640625" style="545" customWidth="1"/>
    <col min="15115" max="15115" width="4.83203125" style="545" customWidth="1"/>
    <col min="15116" max="15116" width="17.1640625" style="545" customWidth="1"/>
    <col min="15117" max="15117" width="4.1640625" style="545" customWidth="1"/>
    <col min="15118" max="15359" width="12" style="545"/>
    <col min="15360" max="15360" width="7" style="545" customWidth="1"/>
    <col min="15361" max="15361" width="2.33203125" style="545" customWidth="1"/>
    <col min="15362" max="15363" width="12" style="545"/>
    <col min="15364" max="15364" width="6.5" style="545" customWidth="1"/>
    <col min="15365" max="15365" width="5.1640625" style="545" customWidth="1"/>
    <col min="15366" max="15366" width="12" style="545"/>
    <col min="15367" max="15367" width="5.1640625" style="545" customWidth="1"/>
    <col min="15368" max="15368" width="17.1640625" style="545" customWidth="1"/>
    <col min="15369" max="15369" width="4.5" style="545" customWidth="1"/>
    <col min="15370" max="15370" width="16.1640625" style="545" customWidth="1"/>
    <col min="15371" max="15371" width="4.83203125" style="545" customWidth="1"/>
    <col min="15372" max="15372" width="17.1640625" style="545" customWidth="1"/>
    <col min="15373" max="15373" width="4.1640625" style="545" customWidth="1"/>
    <col min="15374" max="15615" width="12" style="545"/>
    <col min="15616" max="15616" width="7" style="545" customWidth="1"/>
    <col min="15617" max="15617" width="2.33203125" style="545" customWidth="1"/>
    <col min="15618" max="15619" width="12" style="545"/>
    <col min="15620" max="15620" width="6.5" style="545" customWidth="1"/>
    <col min="15621" max="15621" width="5.1640625" style="545" customWidth="1"/>
    <col min="15622" max="15622" width="12" style="545"/>
    <col min="15623" max="15623" width="5.1640625" style="545" customWidth="1"/>
    <col min="15624" max="15624" width="17.1640625" style="545" customWidth="1"/>
    <col min="15625" max="15625" width="4.5" style="545" customWidth="1"/>
    <col min="15626" max="15626" width="16.1640625" style="545" customWidth="1"/>
    <col min="15627" max="15627" width="4.83203125" style="545" customWidth="1"/>
    <col min="15628" max="15628" width="17.1640625" style="545" customWidth="1"/>
    <col min="15629" max="15629" width="4.1640625" style="545" customWidth="1"/>
    <col min="15630" max="15871" width="12" style="545"/>
    <col min="15872" max="15872" width="7" style="545" customWidth="1"/>
    <col min="15873" max="15873" width="2.33203125" style="545" customWidth="1"/>
    <col min="15874" max="15875" width="12" style="545"/>
    <col min="15876" max="15876" width="6.5" style="545" customWidth="1"/>
    <col min="15877" max="15877" width="5.1640625" style="545" customWidth="1"/>
    <col min="15878" max="15878" width="12" style="545"/>
    <col min="15879" max="15879" width="5.1640625" style="545" customWidth="1"/>
    <col min="15880" max="15880" width="17.1640625" style="545" customWidth="1"/>
    <col min="15881" max="15881" width="4.5" style="545" customWidth="1"/>
    <col min="15882" max="15882" width="16.1640625" style="545" customWidth="1"/>
    <col min="15883" max="15883" width="4.83203125" style="545" customWidth="1"/>
    <col min="15884" max="15884" width="17.1640625" style="545" customWidth="1"/>
    <col min="15885" max="15885" width="4.1640625" style="545" customWidth="1"/>
    <col min="15886" max="16127" width="12" style="545"/>
    <col min="16128" max="16128" width="7" style="545" customWidth="1"/>
    <col min="16129" max="16129" width="2.33203125" style="545" customWidth="1"/>
    <col min="16130" max="16131" width="12" style="545"/>
    <col min="16132" max="16132" width="6.5" style="545" customWidth="1"/>
    <col min="16133" max="16133" width="5.1640625" style="545" customWidth="1"/>
    <col min="16134" max="16134" width="12" style="545"/>
    <col min="16135" max="16135" width="5.1640625" style="545" customWidth="1"/>
    <col min="16136" max="16136" width="17.1640625" style="545" customWidth="1"/>
    <col min="16137" max="16137" width="4.5" style="545" customWidth="1"/>
    <col min="16138" max="16138" width="16.1640625" style="545" customWidth="1"/>
    <col min="16139" max="16139" width="4.83203125" style="545" customWidth="1"/>
    <col min="16140" max="16140" width="17.1640625" style="545" customWidth="1"/>
    <col min="16141" max="16141" width="4.1640625" style="545" customWidth="1"/>
    <col min="16142" max="16384" width="12" style="545"/>
  </cols>
  <sheetData>
    <row r="1" spans="1:14">
      <c r="J1" s="386" t="str">
        <f>+'DMA Summary of Def. Accts.'!N1</f>
        <v>CNGC Advice W22-09-03</v>
      </c>
    </row>
    <row r="2" spans="1:14">
      <c r="J2" s="387" t="s">
        <v>191</v>
      </c>
    </row>
    <row r="3" spans="1:14">
      <c r="J3" s="387" t="s">
        <v>365</v>
      </c>
    </row>
    <row r="4" spans="1:14">
      <c r="M4" s="546"/>
    </row>
    <row r="5" spans="1:14">
      <c r="C5" s="621" t="s">
        <v>33</v>
      </c>
      <c r="D5" s="621"/>
      <c r="E5" s="621"/>
      <c r="F5" s="621"/>
      <c r="G5" s="621"/>
      <c r="H5" s="621"/>
      <c r="I5" s="621"/>
      <c r="J5" s="621"/>
      <c r="K5" s="621"/>
      <c r="L5" s="548"/>
      <c r="M5" s="546"/>
    </row>
    <row r="6" spans="1:14">
      <c r="C6" s="620" t="s">
        <v>192</v>
      </c>
      <c r="D6" s="620"/>
      <c r="E6" s="620"/>
      <c r="F6" s="620"/>
      <c r="G6" s="620"/>
      <c r="H6" s="620"/>
      <c r="I6" s="620"/>
      <c r="J6" s="620"/>
      <c r="K6" s="620"/>
      <c r="L6" s="564"/>
      <c r="M6" s="549"/>
    </row>
    <row r="7" spans="1:14" hidden="1">
      <c r="C7" s="547" t="s">
        <v>310</v>
      </c>
      <c r="D7" s="547"/>
      <c r="E7" s="548"/>
      <c r="F7" s="548"/>
      <c r="G7" s="548"/>
      <c r="H7" s="548"/>
      <c r="I7" s="548"/>
      <c r="J7" s="548"/>
      <c r="K7" s="548"/>
      <c r="L7" s="548"/>
      <c r="M7" s="546"/>
    </row>
    <row r="8" spans="1:14">
      <c r="C8" s="621" t="s">
        <v>35</v>
      </c>
      <c r="D8" s="621"/>
      <c r="E8" s="621"/>
      <c r="F8" s="621"/>
      <c r="G8" s="621"/>
      <c r="H8" s="621"/>
      <c r="I8" s="621"/>
      <c r="J8" s="621"/>
      <c r="K8" s="621"/>
      <c r="L8" s="548"/>
    </row>
    <row r="9" spans="1:14">
      <c r="D9" s="545" t="s">
        <v>359</v>
      </c>
      <c r="H9" s="582"/>
      <c r="I9" s="583" t="s">
        <v>2</v>
      </c>
      <c r="J9" s="582"/>
      <c r="K9" s="584" t="s">
        <v>2</v>
      </c>
    </row>
    <row r="10" spans="1:14">
      <c r="D10" s="550" t="s">
        <v>77</v>
      </c>
      <c r="F10" s="550" t="s">
        <v>311</v>
      </c>
      <c r="G10" s="550" t="s">
        <v>311</v>
      </c>
      <c r="H10" s="583" t="s">
        <v>2</v>
      </c>
      <c r="I10" s="585">
        <v>44866</v>
      </c>
      <c r="J10" s="582"/>
      <c r="K10" s="586">
        <v>44866</v>
      </c>
    </row>
    <row r="11" spans="1:14">
      <c r="A11" s="551" t="s">
        <v>3</v>
      </c>
      <c r="D11" s="550" t="s">
        <v>79</v>
      </c>
      <c r="E11" s="550" t="s">
        <v>312</v>
      </c>
      <c r="F11" s="585">
        <v>44835</v>
      </c>
      <c r="G11" s="585">
        <v>44835</v>
      </c>
      <c r="H11" s="585">
        <v>44866</v>
      </c>
      <c r="I11" s="583" t="s">
        <v>336</v>
      </c>
      <c r="J11" s="583" t="s">
        <v>313</v>
      </c>
      <c r="K11" s="587" t="s">
        <v>337</v>
      </c>
      <c r="L11" s="550"/>
      <c r="N11" s="548"/>
    </row>
    <row r="12" spans="1:14">
      <c r="A12" s="551" t="s">
        <v>6</v>
      </c>
      <c r="C12" s="552" t="s">
        <v>314</v>
      </c>
      <c r="D12" s="552" t="s">
        <v>315</v>
      </c>
      <c r="E12" s="552" t="s">
        <v>316</v>
      </c>
      <c r="F12" s="552" t="s">
        <v>317</v>
      </c>
      <c r="G12" s="552" t="s">
        <v>318</v>
      </c>
      <c r="H12" s="588" t="s">
        <v>337</v>
      </c>
      <c r="I12" s="588" t="s">
        <v>318</v>
      </c>
      <c r="J12" s="588" t="s">
        <v>319</v>
      </c>
      <c r="K12" s="589" t="s">
        <v>320</v>
      </c>
      <c r="L12" s="550"/>
      <c r="N12" s="548"/>
    </row>
    <row r="13" spans="1:14">
      <c r="A13" s="551"/>
      <c r="C13" s="550"/>
      <c r="D13" s="550"/>
      <c r="E13" s="550"/>
      <c r="F13" s="550"/>
      <c r="G13" s="550" t="s">
        <v>321</v>
      </c>
      <c r="H13" s="550"/>
      <c r="I13" s="550" t="s">
        <v>322</v>
      </c>
      <c r="K13" s="553"/>
      <c r="L13" s="550"/>
      <c r="N13" s="548"/>
    </row>
    <row r="14" spans="1:14">
      <c r="C14" s="550" t="s">
        <v>9</v>
      </c>
      <c r="D14" s="550" t="s">
        <v>10</v>
      </c>
      <c r="E14" s="550" t="s">
        <v>11</v>
      </c>
      <c r="F14" s="550" t="s">
        <v>12</v>
      </c>
      <c r="G14" s="550" t="s">
        <v>13</v>
      </c>
      <c r="H14" s="550" t="s">
        <v>87</v>
      </c>
      <c r="I14" s="550" t="s">
        <v>49</v>
      </c>
      <c r="K14" s="554"/>
    </row>
    <row r="15" spans="1:14">
      <c r="K15" s="554"/>
    </row>
    <row r="16" spans="1:14">
      <c r="A16" s="545">
        <v>1</v>
      </c>
      <c r="C16" s="545" t="s">
        <v>323</v>
      </c>
      <c r="D16" s="555">
        <v>54</v>
      </c>
      <c r="E16" s="556">
        <v>5</v>
      </c>
      <c r="F16" s="557">
        <v>1.03712</v>
      </c>
      <c r="G16" s="558">
        <f>+E16+(D16*F16)</f>
        <v>61.004480000000001</v>
      </c>
      <c r="H16" s="557">
        <f>+F16+'DMA Amount of Change'!J12</f>
        <v>1.045415</v>
      </c>
      <c r="I16" s="559">
        <f>E16+(D16*H16)</f>
        <v>61.45241</v>
      </c>
      <c r="J16" s="560">
        <f>+I16-G16</f>
        <v>0.4479299999999995</v>
      </c>
      <c r="K16" s="565">
        <f>+J16/G16</f>
        <v>7.3425754960947049E-3</v>
      </c>
      <c r="L16" s="558"/>
      <c r="N16" s="561"/>
    </row>
    <row r="17" spans="1:14">
      <c r="D17" s="555"/>
      <c r="E17" s="556"/>
      <c r="F17" s="557"/>
      <c r="G17" s="558"/>
      <c r="H17" s="557"/>
      <c r="I17" s="559"/>
      <c r="J17" s="560"/>
      <c r="K17" s="565"/>
    </row>
    <row r="18" spans="1:14">
      <c r="A18" s="545">
        <v>2</v>
      </c>
      <c r="C18" s="545" t="s">
        <v>324</v>
      </c>
      <c r="D18" s="555">
        <v>271</v>
      </c>
      <c r="E18" s="556">
        <v>13</v>
      </c>
      <c r="F18" s="557">
        <v>0.97065999999999997</v>
      </c>
      <c r="G18" s="558">
        <f>+E18+(D18*F18)</f>
        <v>276.04885999999999</v>
      </c>
      <c r="H18" s="557">
        <f>+F18+'DMA Amount of Change'!J13</f>
        <v>1.003973</v>
      </c>
      <c r="I18" s="559">
        <f>E18+(D18*H18)</f>
        <v>285.076683</v>
      </c>
      <c r="J18" s="560">
        <f t="shared" ref="J18:J30" si="0">+I18-G18</f>
        <v>9.0278230000000121</v>
      </c>
      <c r="K18" s="565">
        <f t="shared" ref="K18:K35" si="1">+J18/G18</f>
        <v>3.2703714117855845E-2</v>
      </c>
      <c r="L18" s="558"/>
      <c r="N18" s="561"/>
    </row>
    <row r="19" spans="1:14">
      <c r="D19" s="555"/>
      <c r="E19" s="556"/>
      <c r="F19" s="557"/>
      <c r="G19" s="558"/>
      <c r="H19" s="557"/>
      <c r="J19" s="560"/>
      <c r="K19" s="565"/>
    </row>
    <row r="20" spans="1:14">
      <c r="A20" s="545">
        <v>3</v>
      </c>
      <c r="C20" s="545" t="s">
        <v>325</v>
      </c>
      <c r="D20" s="555"/>
      <c r="E20" s="556">
        <v>60</v>
      </c>
      <c r="F20" s="557"/>
      <c r="G20" s="558"/>
      <c r="H20" s="557"/>
      <c r="J20" s="560"/>
      <c r="K20" s="565"/>
      <c r="L20" s="562"/>
      <c r="N20" s="561"/>
    </row>
    <row r="21" spans="1:14">
      <c r="A21" s="545">
        <v>4</v>
      </c>
      <c r="C21" s="545" t="s">
        <v>326</v>
      </c>
      <c r="D21" s="555"/>
      <c r="E21" s="556"/>
      <c r="F21" s="557">
        <v>0.89552000000000009</v>
      </c>
      <c r="G21" s="558">
        <f>+E20+(500*F21)</f>
        <v>507.76000000000005</v>
      </c>
      <c r="H21" s="557">
        <f>+F21+'DMA Amount of Change'!J14</f>
        <v>0.90381100000000014</v>
      </c>
      <c r="I21" s="558">
        <f>+E20+(500*H21)</f>
        <v>511.90550000000007</v>
      </c>
      <c r="J21" s="560"/>
      <c r="K21" s="565"/>
      <c r="L21" s="562"/>
      <c r="N21" s="561"/>
    </row>
    <row r="22" spans="1:14">
      <c r="A22" s="545">
        <v>5</v>
      </c>
      <c r="C22" s="545" t="s">
        <v>327</v>
      </c>
      <c r="D22" s="555"/>
      <c r="E22" s="556"/>
      <c r="F22" s="557">
        <v>0.85544000000000009</v>
      </c>
      <c r="G22" s="558">
        <f>+(D24-500)*F22</f>
        <v>1276.3164800000002</v>
      </c>
      <c r="H22" s="557">
        <f>+F22+'DMA Amount of Change'!J14</f>
        <v>0.86373100000000014</v>
      </c>
      <c r="I22" s="558">
        <f>+(D24-500)*H22</f>
        <v>1288.6866520000001</v>
      </c>
      <c r="J22" s="560"/>
      <c r="K22" s="565"/>
      <c r="L22" s="562"/>
      <c r="N22" s="561"/>
    </row>
    <row r="23" spans="1:14">
      <c r="A23" s="545">
        <v>6</v>
      </c>
      <c r="C23" s="545" t="s">
        <v>328</v>
      </c>
      <c r="D23" s="555"/>
      <c r="E23" s="556"/>
      <c r="F23" s="557">
        <v>0.84938000000000002</v>
      </c>
      <c r="G23" s="558"/>
      <c r="H23" s="557">
        <f>+F23+'DMA Amount of Change'!J14</f>
        <v>0.85767100000000007</v>
      </c>
      <c r="J23" s="560"/>
      <c r="K23" s="565"/>
      <c r="L23" s="562"/>
    </row>
    <row r="24" spans="1:14">
      <c r="A24" s="545">
        <v>7</v>
      </c>
      <c r="C24" s="551" t="s">
        <v>329</v>
      </c>
      <c r="D24" s="563">
        <v>1992</v>
      </c>
      <c r="E24" s="556"/>
      <c r="F24" s="557"/>
      <c r="G24" s="558">
        <f>+SUM((G21:G23))</f>
        <v>1784.0764800000002</v>
      </c>
      <c r="H24" s="558"/>
      <c r="I24" s="558">
        <f>+SUM(I21:I23)</f>
        <v>1800.5921520000002</v>
      </c>
      <c r="J24" s="560">
        <f t="shared" si="0"/>
        <v>16.515671999999995</v>
      </c>
      <c r="K24" s="565">
        <f t="shared" si="1"/>
        <v>9.2572668185166556E-3</v>
      </c>
      <c r="L24" s="562"/>
      <c r="N24" s="561"/>
    </row>
    <row r="25" spans="1:14">
      <c r="C25" s="546"/>
      <c r="D25" s="555"/>
      <c r="E25" s="556"/>
      <c r="F25" s="557"/>
      <c r="G25" s="558"/>
      <c r="H25" s="557"/>
      <c r="J25" s="560"/>
      <c r="K25" s="565"/>
      <c r="L25" s="562"/>
      <c r="N25" s="561"/>
    </row>
    <row r="26" spans="1:14">
      <c r="A26" s="545">
        <v>8</v>
      </c>
      <c r="C26" s="545" t="s">
        <v>330</v>
      </c>
      <c r="D26" s="555"/>
      <c r="E26" s="556">
        <v>125</v>
      </c>
      <c r="F26" s="557"/>
      <c r="G26" s="558"/>
      <c r="H26" s="557"/>
      <c r="J26" s="560"/>
      <c r="K26" s="565"/>
      <c r="L26" s="562"/>
      <c r="N26" s="561"/>
    </row>
    <row r="27" spans="1:14">
      <c r="A27" s="545">
        <v>9</v>
      </c>
      <c r="C27" s="545" t="s">
        <v>326</v>
      </c>
      <c r="D27" s="555"/>
      <c r="E27" s="556"/>
      <c r="F27" s="557">
        <v>0.78754000000000002</v>
      </c>
      <c r="G27" s="558">
        <f>+E26+(+F27*500)</f>
        <v>518.77</v>
      </c>
      <c r="H27" s="557">
        <f>+F27+'DMA Amount of Change'!J15</f>
        <v>0.8125</v>
      </c>
      <c r="I27" s="558">
        <f>+E26+(+H27*500)</f>
        <v>531.25</v>
      </c>
      <c r="J27" s="560"/>
      <c r="K27" s="565"/>
    </row>
    <row r="28" spans="1:14">
      <c r="A28" s="545">
        <v>11</v>
      </c>
      <c r="B28" s="546"/>
      <c r="C28" s="545" t="s">
        <v>327</v>
      </c>
      <c r="D28" s="555"/>
      <c r="E28" s="556"/>
      <c r="F28" s="557">
        <v>0.74803999999999993</v>
      </c>
      <c r="G28" s="558">
        <f>+F28*3500</f>
        <v>2618.14</v>
      </c>
      <c r="H28" s="557">
        <f>+F28+'DMA Amount of Change'!J15</f>
        <v>0.77299999999999991</v>
      </c>
      <c r="I28" s="558">
        <f>+H28*3500</f>
        <v>2705.4999999999995</v>
      </c>
      <c r="J28" s="560"/>
      <c r="K28" s="565"/>
    </row>
    <row r="29" spans="1:14">
      <c r="A29" s="545">
        <v>12</v>
      </c>
      <c r="B29" s="546"/>
      <c r="C29" s="545" t="s">
        <v>328</v>
      </c>
      <c r="D29" s="555"/>
      <c r="E29" s="556"/>
      <c r="F29" s="557">
        <v>0.65034000000000003</v>
      </c>
      <c r="G29" s="558">
        <f>+(+D30-(4000))*F29</f>
        <v>8219.6472599999997</v>
      </c>
      <c r="H29" s="557">
        <f>+F29+'DMA Amount of Change'!J15</f>
        <v>0.67530000000000001</v>
      </c>
      <c r="I29" s="558">
        <f>+(+D30-(4000))*H29</f>
        <v>8535.1167000000005</v>
      </c>
      <c r="J29" s="560"/>
      <c r="K29" s="565"/>
    </row>
    <row r="30" spans="1:14">
      <c r="A30" s="545">
        <v>13</v>
      </c>
      <c r="B30" s="546"/>
      <c r="C30" s="551" t="s">
        <v>331</v>
      </c>
      <c r="D30" s="563">
        <v>16639</v>
      </c>
      <c r="E30" s="556"/>
      <c r="F30" s="557"/>
      <c r="G30" s="558">
        <f>+SUM(G27:G29)</f>
        <v>11356.55726</v>
      </c>
      <c r="H30" s="558"/>
      <c r="I30" s="558">
        <f>+SUM(I27:I29)</f>
        <v>11771.8667</v>
      </c>
      <c r="J30" s="560">
        <f t="shared" si="0"/>
        <v>415.3094400000009</v>
      </c>
      <c r="K30" s="565">
        <f t="shared" si="1"/>
        <v>3.6570012415893097E-2</v>
      </c>
    </row>
    <row r="31" spans="1:14">
      <c r="D31" s="563"/>
      <c r="E31" s="556"/>
      <c r="F31" s="557"/>
      <c r="G31" s="558"/>
      <c r="H31" s="557"/>
      <c r="J31" s="560"/>
      <c r="K31" s="565"/>
    </row>
    <row r="32" spans="1:14">
      <c r="A32" s="545">
        <v>14</v>
      </c>
      <c r="C32" s="545" t="s">
        <v>332</v>
      </c>
      <c r="D32" s="563"/>
      <c r="E32" s="556">
        <v>163</v>
      </c>
      <c r="F32" s="557"/>
      <c r="G32" s="558"/>
      <c r="H32" s="557"/>
      <c r="J32" s="560"/>
      <c r="K32" s="565"/>
    </row>
    <row r="33" spans="1:14">
      <c r="A33" s="545">
        <v>15</v>
      </c>
      <c r="C33" s="545" t="s">
        <v>333</v>
      </c>
      <c r="D33" s="563"/>
      <c r="F33" s="557">
        <v>0.75481999999999994</v>
      </c>
      <c r="G33" s="558">
        <f>+E32+(D35*F33)</f>
        <v>17699.733059999999</v>
      </c>
      <c r="H33" s="557">
        <f>+F33+'DMA Amount of Change'!J16</f>
        <v>0.74599599999999988</v>
      </c>
      <c r="I33" s="558">
        <f>+E32+(D35*H33)</f>
        <v>17494.725067999996</v>
      </c>
      <c r="J33" s="560"/>
      <c r="K33" s="565"/>
    </row>
    <row r="34" spans="1:14">
      <c r="A34" s="545">
        <v>16</v>
      </c>
      <c r="C34" s="545" t="s">
        <v>334</v>
      </c>
      <c r="D34" s="563"/>
      <c r="F34" s="557">
        <v>0.68815000000000004</v>
      </c>
      <c r="G34" s="558"/>
      <c r="H34" s="557">
        <f>+F34+'DMA Amount of Change'!J16</f>
        <v>0.67932599999999999</v>
      </c>
      <c r="J34" s="560"/>
      <c r="K34" s="565"/>
    </row>
    <row r="35" spans="1:14">
      <c r="A35" s="545">
        <v>17</v>
      </c>
      <c r="C35" s="551" t="s">
        <v>335</v>
      </c>
      <c r="D35" s="563">
        <v>23233</v>
      </c>
      <c r="F35" s="557"/>
      <c r="G35" s="596">
        <f>+G33+G34</f>
        <v>17699.733059999999</v>
      </c>
      <c r="H35" s="558"/>
      <c r="I35" s="558">
        <f>+I33+I34</f>
        <v>17494.725067999996</v>
      </c>
      <c r="J35" s="560">
        <f>+I35-G35</f>
        <v>-205.00799200000256</v>
      </c>
      <c r="K35" s="566">
        <f t="shared" si="1"/>
        <v>-1.1582547109894242E-2</v>
      </c>
    </row>
    <row r="36" spans="1:14">
      <c r="F36" s="557"/>
    </row>
    <row r="37" spans="1:14">
      <c r="F37" s="557"/>
      <c r="N37" s="561"/>
    </row>
    <row r="38" spans="1:14">
      <c r="F38" s="557"/>
      <c r="G38" s="558"/>
    </row>
    <row r="39" spans="1:14">
      <c r="F39" s="557"/>
      <c r="G39" s="558"/>
    </row>
    <row r="40" spans="1:14">
      <c r="F40" s="557"/>
    </row>
    <row r="41" spans="1:14">
      <c r="F41" s="557"/>
    </row>
    <row r="42" spans="1:14">
      <c r="G42" s="597"/>
    </row>
  </sheetData>
  <mergeCells count="3">
    <mergeCell ref="C6:K6"/>
    <mergeCell ref="C5:K5"/>
    <mergeCell ref="C8:K8"/>
  </mergeCells>
  <pageMargins left="0.7" right="0.7" top="0.75" bottom="0.75" header="0.3" footer="0.3"/>
  <pageSetup scale="65" orientation="portrait" r:id="rId1"/>
  <headerFooter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184" customWidth="1"/>
    <col min="2" max="2" width="26" style="184" customWidth="1"/>
    <col min="3" max="3" width="14.1640625" style="184" customWidth="1"/>
    <col min="4" max="4" width="16.1640625" style="184" customWidth="1"/>
    <col min="5" max="5" width="16" style="184" customWidth="1"/>
    <col min="6" max="6" width="16.5" style="184" customWidth="1"/>
    <col min="7" max="7" width="21.83203125" style="184" customWidth="1"/>
    <col min="8" max="8" width="16.1640625" style="184" customWidth="1"/>
    <col min="9" max="9" width="18" style="184" customWidth="1"/>
    <col min="10" max="10" width="16.1640625" style="184" customWidth="1"/>
    <col min="11" max="12" width="13.83203125" style="184" customWidth="1"/>
    <col min="13" max="13" width="14.83203125" style="184" customWidth="1"/>
    <col min="14" max="14" width="13.33203125" style="184" customWidth="1"/>
    <col min="15" max="15" width="19.6640625" style="184" customWidth="1"/>
    <col min="16" max="17" width="13.33203125" style="184" customWidth="1"/>
    <col min="18" max="18" width="16" style="184" customWidth="1"/>
    <col min="19" max="19" width="14.1640625" style="184" customWidth="1"/>
    <col min="20" max="20" width="17" style="184" customWidth="1"/>
    <col min="21" max="21" width="14.1640625" style="184" customWidth="1"/>
    <col min="22" max="16384" width="10.6640625" style="184"/>
  </cols>
  <sheetData>
    <row r="1" spans="2:15">
      <c r="C1" s="622" t="s">
        <v>33</v>
      </c>
      <c r="D1" s="622"/>
      <c r="E1" s="622"/>
      <c r="F1" s="622"/>
      <c r="G1" s="261" t="s">
        <v>145</v>
      </c>
    </row>
    <row r="2" spans="2:15">
      <c r="C2" s="622" t="s">
        <v>86</v>
      </c>
      <c r="D2" s="622"/>
      <c r="E2" s="622"/>
      <c r="F2" s="622"/>
      <c r="G2" s="261" t="s">
        <v>34</v>
      </c>
    </row>
    <row r="3" spans="2:15">
      <c r="C3" s="622" t="s">
        <v>168</v>
      </c>
      <c r="D3" s="622"/>
      <c r="E3" s="622"/>
      <c r="F3" s="622"/>
      <c r="G3" s="262" t="s">
        <v>141</v>
      </c>
    </row>
    <row r="4" spans="2:15" s="185" customFormat="1">
      <c r="C4" s="622" t="s">
        <v>35</v>
      </c>
      <c r="D4" s="622"/>
      <c r="E4" s="622"/>
      <c r="F4" s="622"/>
      <c r="G4" s="186"/>
      <c r="H4" s="186"/>
      <c r="I4" s="186"/>
      <c r="J4" s="186"/>
      <c r="K4" s="186"/>
      <c r="L4" s="186"/>
      <c r="M4" s="186"/>
      <c r="N4" s="186"/>
      <c r="O4" s="186"/>
    </row>
    <row r="5" spans="2:15">
      <c r="B5" s="187"/>
      <c r="C5" s="187"/>
      <c r="D5" s="187"/>
      <c r="E5" s="187"/>
      <c r="F5" s="188"/>
    </row>
    <row r="6" spans="2:15" s="191" customFormat="1" ht="60">
      <c r="B6" s="168" t="s">
        <v>0</v>
      </c>
      <c r="C6" s="189" t="s">
        <v>135</v>
      </c>
      <c r="D6" s="168" t="s">
        <v>146</v>
      </c>
      <c r="E6" s="167" t="s">
        <v>147</v>
      </c>
      <c r="F6" s="168" t="s">
        <v>148</v>
      </c>
      <c r="G6" s="168" t="s">
        <v>149</v>
      </c>
      <c r="H6" s="190"/>
      <c r="I6" s="190"/>
      <c r="J6" s="190"/>
      <c r="K6" s="190"/>
    </row>
    <row r="7" spans="2:15">
      <c r="B7" s="192" t="s">
        <v>9</v>
      </c>
      <c r="C7" s="193" t="s">
        <v>10</v>
      </c>
      <c r="D7" s="194" t="s">
        <v>11</v>
      </c>
      <c r="E7" s="169" t="s">
        <v>12</v>
      </c>
      <c r="F7" s="170" t="s">
        <v>87</v>
      </c>
      <c r="G7" s="170" t="s">
        <v>49</v>
      </c>
      <c r="H7" s="188"/>
      <c r="I7" s="188"/>
      <c r="J7" s="188"/>
      <c r="K7" s="188"/>
    </row>
    <row r="8" spans="2:15">
      <c r="B8" s="195" t="s">
        <v>88</v>
      </c>
      <c r="C8" s="102"/>
      <c r="D8" s="102"/>
      <c r="E8" s="102"/>
      <c r="F8" s="171"/>
      <c r="G8" s="102"/>
    </row>
    <row r="9" spans="2:15">
      <c r="B9" s="196" t="s">
        <v>90</v>
      </c>
      <c r="C9" s="197">
        <v>502</v>
      </c>
      <c r="D9" s="6">
        <v>-3.8400000000000001E-3</v>
      </c>
      <c r="E9" s="6">
        <v>7.9900000000000006E-3</v>
      </c>
      <c r="F9" s="82">
        <f t="shared" ref="F9:F17" si="0">SUM(D9:E9)</f>
        <v>4.1500000000000009E-3</v>
      </c>
      <c r="G9" s="172">
        <f t="shared" ref="G9:G17" si="1">+E9</f>
        <v>7.9900000000000006E-3</v>
      </c>
      <c r="H9" s="3"/>
      <c r="I9" s="187"/>
    </row>
    <row r="10" spans="2:15">
      <c r="B10" s="198" t="s">
        <v>53</v>
      </c>
      <c r="C10" s="199">
        <v>503</v>
      </c>
      <c r="D10" s="6">
        <f>+D9</f>
        <v>-3.8400000000000001E-3</v>
      </c>
      <c r="E10" s="6">
        <v>7.9900000000000006E-3</v>
      </c>
      <c r="F10" s="82">
        <f t="shared" si="0"/>
        <v>4.1500000000000009E-3</v>
      </c>
      <c r="G10" s="83">
        <f t="shared" si="1"/>
        <v>7.9900000000000006E-3</v>
      </c>
      <c r="H10" s="3"/>
      <c r="I10" s="84"/>
      <c r="J10" s="35"/>
      <c r="K10" s="35"/>
    </row>
    <row r="11" spans="2:15">
      <c r="B11" s="198" t="s">
        <v>61</v>
      </c>
      <c r="C11" s="199">
        <v>504</v>
      </c>
      <c r="D11" s="6">
        <v>-3.7200000000000002E-3</v>
      </c>
      <c r="E11" s="6">
        <v>8.1300000000000001E-3</v>
      </c>
      <c r="F11" s="82">
        <f t="shared" si="0"/>
        <v>4.4099999999999999E-3</v>
      </c>
      <c r="G11" s="83">
        <f t="shared" si="1"/>
        <v>8.1300000000000001E-3</v>
      </c>
      <c r="H11" s="3"/>
      <c r="I11" s="84"/>
      <c r="J11" s="35"/>
      <c r="K11" s="35"/>
    </row>
    <row r="12" spans="2:15">
      <c r="B12" s="198" t="s">
        <v>92</v>
      </c>
      <c r="C12" s="199">
        <v>512</v>
      </c>
      <c r="D12" s="6">
        <v>-2.7299999999999998E-3</v>
      </c>
      <c r="E12" s="6">
        <v>5.0899999999999999E-3</v>
      </c>
      <c r="F12" s="82">
        <f t="shared" si="0"/>
        <v>2.3600000000000001E-3</v>
      </c>
      <c r="G12" s="83">
        <f t="shared" si="1"/>
        <v>5.0899999999999999E-3</v>
      </c>
      <c r="H12" s="3"/>
      <c r="I12" s="84"/>
      <c r="J12" s="35"/>
      <c r="K12" s="35"/>
    </row>
    <row r="13" spans="2:15">
      <c r="B13" s="198" t="s">
        <v>93</v>
      </c>
      <c r="C13" s="199">
        <v>541</v>
      </c>
      <c r="D13" s="6">
        <v>-3.7200000000000002E-3</v>
      </c>
      <c r="E13" s="6">
        <v>8.1300000000000001E-3</v>
      </c>
      <c r="F13" s="82">
        <f t="shared" si="0"/>
        <v>4.4099999999999999E-3</v>
      </c>
      <c r="G13" s="83">
        <f t="shared" si="1"/>
        <v>8.1300000000000001E-3</v>
      </c>
      <c r="H13" s="3"/>
      <c r="I13" s="84"/>
      <c r="J13" s="35"/>
      <c r="K13" s="35"/>
    </row>
    <row r="14" spans="2:15">
      <c r="B14" s="198" t="s">
        <v>137</v>
      </c>
      <c r="C14" s="200">
        <v>511</v>
      </c>
      <c r="D14" s="6">
        <v>-2.16E-3</v>
      </c>
      <c r="E14" s="6">
        <v>4.79E-3</v>
      </c>
      <c r="F14" s="82">
        <f t="shared" si="0"/>
        <v>2.63E-3</v>
      </c>
      <c r="G14" s="83">
        <f t="shared" si="1"/>
        <v>4.79E-3</v>
      </c>
      <c r="H14" s="3"/>
      <c r="I14" s="84"/>
      <c r="J14" s="35"/>
      <c r="K14" s="35"/>
    </row>
    <row r="15" spans="2:15">
      <c r="B15" s="198" t="s">
        <v>65</v>
      </c>
      <c r="C15" s="200">
        <v>505</v>
      </c>
      <c r="D15" s="6">
        <v>-5.2199999999999998E-3</v>
      </c>
      <c r="E15" s="6">
        <v>6.1000000000000004E-3</v>
      </c>
      <c r="F15" s="82">
        <f t="shared" si="0"/>
        <v>8.8000000000000057E-4</v>
      </c>
      <c r="G15" s="83">
        <f t="shared" si="1"/>
        <v>6.1000000000000004E-3</v>
      </c>
      <c r="H15" s="3"/>
      <c r="I15" s="84"/>
      <c r="J15" s="35"/>
      <c r="K15" s="35"/>
    </row>
    <row r="16" spans="2:15">
      <c r="B16" s="198" t="s">
        <v>89</v>
      </c>
      <c r="C16" s="200">
        <v>570</v>
      </c>
      <c r="D16" s="6">
        <v>-5.5000000000000003E-4</v>
      </c>
      <c r="E16" s="6">
        <v>1.16E-3</v>
      </c>
      <c r="F16" s="82">
        <f t="shared" si="0"/>
        <v>6.0999999999999997E-4</v>
      </c>
      <c r="G16" s="83">
        <f t="shared" si="1"/>
        <v>1.16E-3</v>
      </c>
      <c r="H16" s="3"/>
      <c r="I16" s="84"/>
      <c r="J16" s="35"/>
      <c r="K16" s="35"/>
    </row>
    <row r="17" spans="2:22">
      <c r="B17" s="198" t="s">
        <v>91</v>
      </c>
      <c r="C17" s="200">
        <v>577</v>
      </c>
      <c r="D17" s="6">
        <v>-1E-3</v>
      </c>
      <c r="E17" s="6">
        <v>2.31E-3</v>
      </c>
      <c r="F17" s="82">
        <f t="shared" si="0"/>
        <v>1.31E-3</v>
      </c>
      <c r="G17" s="83">
        <f t="shared" si="1"/>
        <v>2.31E-3</v>
      </c>
      <c r="H17" s="3"/>
      <c r="I17" s="84"/>
      <c r="J17" s="35"/>
      <c r="K17" s="35"/>
    </row>
    <row r="18" spans="2:22">
      <c r="B18" s="201"/>
      <c r="C18" s="101"/>
      <c r="D18" s="101"/>
      <c r="E18" s="101"/>
      <c r="F18" s="173"/>
      <c r="G18" s="101"/>
      <c r="H18" s="84"/>
      <c r="I18" s="84"/>
      <c r="J18" s="35"/>
      <c r="K18" s="35"/>
    </row>
    <row r="19" spans="2:22">
      <c r="B19" s="195" t="s">
        <v>150</v>
      </c>
      <c r="C19" s="102"/>
      <c r="D19" s="102"/>
      <c r="E19" s="102"/>
      <c r="F19" s="102"/>
      <c r="G19" s="213"/>
      <c r="H19" s="35"/>
      <c r="I19" s="35"/>
      <c r="J19" s="35"/>
      <c r="K19" s="35"/>
    </row>
    <row r="20" spans="2:22">
      <c r="B20" s="214" t="s">
        <v>151</v>
      </c>
      <c r="C20" s="204">
        <v>663</v>
      </c>
      <c r="D20" s="215">
        <v>-2.9E-4</v>
      </c>
      <c r="E20" s="6">
        <v>6.6E-4</v>
      </c>
      <c r="F20" s="216">
        <f>SUM(D20:E20)</f>
        <v>3.6999999999999999E-4</v>
      </c>
      <c r="G20" s="83">
        <f>+E20</f>
        <v>6.6E-4</v>
      </c>
      <c r="H20" s="35"/>
      <c r="I20" s="35"/>
      <c r="J20" s="35"/>
      <c r="K20" s="35"/>
    </row>
    <row r="21" spans="2:22">
      <c r="B21" s="214" t="s">
        <v>152</v>
      </c>
      <c r="C21" s="204" t="s">
        <v>30</v>
      </c>
      <c r="D21" s="6">
        <v>0</v>
      </c>
      <c r="E21" s="6">
        <v>0</v>
      </c>
      <c r="F21" s="82">
        <f>SUM(D21:E21)</f>
        <v>0</v>
      </c>
      <c r="G21" s="83">
        <f>+E21</f>
        <v>0</v>
      </c>
      <c r="H21" s="35"/>
      <c r="I21" s="35"/>
      <c r="J21" s="35"/>
      <c r="K21" s="35"/>
    </row>
    <row r="22" spans="2:22">
      <c r="B22" s="217" t="s">
        <v>153</v>
      </c>
      <c r="C22" s="218" t="s">
        <v>154</v>
      </c>
      <c r="D22" s="219">
        <v>0</v>
      </c>
      <c r="E22" s="220">
        <v>0</v>
      </c>
      <c r="F22" s="221">
        <f>SUM(E22:E22)</f>
        <v>0</v>
      </c>
      <c r="G22" s="222">
        <f>+E22</f>
        <v>0</v>
      </c>
      <c r="H22" s="35"/>
      <c r="I22" s="35"/>
      <c r="J22" s="35"/>
      <c r="K22" s="35"/>
    </row>
    <row r="23" spans="2:22" s="187" customFormat="1">
      <c r="B23" s="202"/>
      <c r="G23" s="84"/>
      <c r="H23" s="84"/>
      <c r="I23" s="84"/>
      <c r="J23" s="84"/>
      <c r="K23" s="84"/>
    </row>
    <row r="24" spans="2:22">
      <c r="B24" s="203" t="s">
        <v>155</v>
      </c>
      <c r="G24" s="4"/>
      <c r="Q24" s="35"/>
      <c r="R24" s="35"/>
      <c r="S24" s="35"/>
      <c r="T24" s="35"/>
      <c r="U24" s="35"/>
      <c r="V24" s="35"/>
    </row>
    <row r="25" spans="2:22">
      <c r="B25" s="203" t="s">
        <v>138</v>
      </c>
      <c r="F25" s="204"/>
      <c r="G25" s="4"/>
      <c r="Q25" s="35"/>
      <c r="R25" s="35"/>
      <c r="S25" s="35"/>
      <c r="T25" s="35"/>
      <c r="U25" s="35"/>
    </row>
    <row r="26" spans="2:22">
      <c r="B26" s="203" t="s">
        <v>139</v>
      </c>
      <c r="F26" s="204"/>
      <c r="G26" s="4"/>
      <c r="Q26" s="35"/>
      <c r="R26" s="35"/>
      <c r="S26" s="35"/>
      <c r="T26" s="35"/>
      <c r="U26" s="35"/>
    </row>
    <row r="27" spans="2:22">
      <c r="B27" s="205"/>
      <c r="F27" s="204"/>
      <c r="G27" s="4"/>
    </row>
    <row r="28" spans="2:22">
      <c r="B28" s="205"/>
      <c r="F28" s="204"/>
      <c r="G28" s="86"/>
      <c r="H28" s="86"/>
      <c r="I28" s="86"/>
    </row>
    <row r="29" spans="2:22">
      <c r="F29" s="206"/>
      <c r="K29" s="86"/>
    </row>
    <row r="30" spans="2:22">
      <c r="F30" s="207"/>
      <c r="K30" s="86"/>
    </row>
    <row r="31" spans="2:22">
      <c r="K31" s="86"/>
    </row>
    <row r="32" spans="2:22">
      <c r="K32" s="86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63" bestFit="1" customWidth="1"/>
    <col min="2" max="2" width="9.33203125" style="176"/>
    <col min="3" max="3" width="19.5" style="176" customWidth="1"/>
    <col min="4" max="4" width="13.5" style="176" customWidth="1"/>
    <col min="5" max="5" width="11" style="176" customWidth="1"/>
    <col min="6" max="6" width="17.1640625" style="176" customWidth="1"/>
    <col min="7" max="7" width="1.33203125" style="15" customWidth="1"/>
    <col min="8" max="8" width="15.33203125" style="176" customWidth="1"/>
    <col min="9" max="10" width="1.33203125" style="15" customWidth="1"/>
    <col min="11" max="11" width="15.33203125" style="8" customWidth="1"/>
    <col min="12" max="12" width="16.1640625" style="176" customWidth="1"/>
    <col min="13" max="13" width="11.33203125" style="176" hidden="1" customWidth="1" outlineLevel="1"/>
    <col min="14" max="14" width="9.33203125" style="176" collapsed="1"/>
    <col min="15" max="251" width="9.33203125" style="176"/>
    <col min="252" max="252" width="5" style="176" customWidth="1"/>
    <col min="253" max="253" width="9.33203125" style="176"/>
    <col min="254" max="254" width="21.6640625" style="176" customWidth="1"/>
    <col min="255" max="255" width="13.5" style="176" customWidth="1"/>
    <col min="256" max="256" width="10.5" style="176" customWidth="1"/>
    <col min="257" max="257" width="15.1640625" style="176" customWidth="1"/>
    <col min="258" max="258" width="3.6640625" style="176" customWidth="1"/>
    <col min="259" max="259" width="13.1640625" style="176" customWidth="1"/>
    <col min="260" max="260" width="3.83203125" style="176" customWidth="1"/>
    <col min="261" max="261" width="15" style="176" customWidth="1"/>
    <col min="262" max="262" width="3.6640625" style="176" customWidth="1"/>
    <col min="263" max="264" width="13" style="176" customWidth="1"/>
    <col min="265" max="265" width="0" style="176" hidden="1" customWidth="1"/>
    <col min="266" max="267" width="9.33203125" style="176"/>
    <col min="268" max="268" width="15.83203125" style="176" customWidth="1"/>
    <col min="269" max="507" width="9.33203125" style="176"/>
    <col min="508" max="508" width="5" style="176" customWidth="1"/>
    <col min="509" max="509" width="9.33203125" style="176"/>
    <col min="510" max="510" width="21.6640625" style="176" customWidth="1"/>
    <col min="511" max="511" width="13.5" style="176" customWidth="1"/>
    <col min="512" max="512" width="10.5" style="176" customWidth="1"/>
    <col min="513" max="513" width="15.1640625" style="176" customWidth="1"/>
    <col min="514" max="514" width="3.6640625" style="176" customWidth="1"/>
    <col min="515" max="515" width="13.1640625" style="176" customWidth="1"/>
    <col min="516" max="516" width="3.83203125" style="176" customWidth="1"/>
    <col min="517" max="517" width="15" style="176" customWidth="1"/>
    <col min="518" max="518" width="3.6640625" style="176" customWidth="1"/>
    <col min="519" max="520" width="13" style="176" customWidth="1"/>
    <col min="521" max="521" width="0" style="176" hidden="1" customWidth="1"/>
    <col min="522" max="523" width="9.33203125" style="176"/>
    <col min="524" max="524" width="15.83203125" style="176" customWidth="1"/>
    <col min="525" max="763" width="9.33203125" style="176"/>
    <col min="764" max="764" width="5" style="176" customWidth="1"/>
    <col min="765" max="765" width="9.33203125" style="176"/>
    <col min="766" max="766" width="21.6640625" style="176" customWidth="1"/>
    <col min="767" max="767" width="13.5" style="176" customWidth="1"/>
    <col min="768" max="768" width="10.5" style="176" customWidth="1"/>
    <col min="769" max="769" width="15.1640625" style="176" customWidth="1"/>
    <col min="770" max="770" width="3.6640625" style="176" customWidth="1"/>
    <col min="771" max="771" width="13.1640625" style="176" customWidth="1"/>
    <col min="772" max="772" width="3.83203125" style="176" customWidth="1"/>
    <col min="773" max="773" width="15" style="176" customWidth="1"/>
    <col min="774" max="774" width="3.6640625" style="176" customWidth="1"/>
    <col min="775" max="776" width="13" style="176" customWidth="1"/>
    <col min="777" max="777" width="0" style="176" hidden="1" customWidth="1"/>
    <col min="778" max="779" width="9.33203125" style="176"/>
    <col min="780" max="780" width="15.83203125" style="176" customWidth="1"/>
    <col min="781" max="1019" width="9.33203125" style="176"/>
    <col min="1020" max="1020" width="5" style="176" customWidth="1"/>
    <col min="1021" max="1021" width="9.33203125" style="176"/>
    <col min="1022" max="1022" width="21.6640625" style="176" customWidth="1"/>
    <col min="1023" max="1023" width="13.5" style="176" customWidth="1"/>
    <col min="1024" max="1024" width="10.5" style="176" customWidth="1"/>
    <col min="1025" max="1025" width="15.1640625" style="176" customWidth="1"/>
    <col min="1026" max="1026" width="3.6640625" style="176" customWidth="1"/>
    <col min="1027" max="1027" width="13.1640625" style="176" customWidth="1"/>
    <col min="1028" max="1028" width="3.83203125" style="176" customWidth="1"/>
    <col min="1029" max="1029" width="15" style="176" customWidth="1"/>
    <col min="1030" max="1030" width="3.6640625" style="176" customWidth="1"/>
    <col min="1031" max="1032" width="13" style="176" customWidth="1"/>
    <col min="1033" max="1033" width="0" style="176" hidden="1" customWidth="1"/>
    <col min="1034" max="1035" width="9.33203125" style="176"/>
    <col min="1036" max="1036" width="15.83203125" style="176" customWidth="1"/>
    <col min="1037" max="1275" width="9.33203125" style="176"/>
    <col min="1276" max="1276" width="5" style="176" customWidth="1"/>
    <col min="1277" max="1277" width="9.33203125" style="176"/>
    <col min="1278" max="1278" width="21.6640625" style="176" customWidth="1"/>
    <col min="1279" max="1279" width="13.5" style="176" customWidth="1"/>
    <col min="1280" max="1280" width="10.5" style="176" customWidth="1"/>
    <col min="1281" max="1281" width="15.1640625" style="176" customWidth="1"/>
    <col min="1282" max="1282" width="3.6640625" style="176" customWidth="1"/>
    <col min="1283" max="1283" width="13.1640625" style="176" customWidth="1"/>
    <col min="1284" max="1284" width="3.83203125" style="176" customWidth="1"/>
    <col min="1285" max="1285" width="15" style="176" customWidth="1"/>
    <col min="1286" max="1286" width="3.6640625" style="176" customWidth="1"/>
    <col min="1287" max="1288" width="13" style="176" customWidth="1"/>
    <col min="1289" max="1289" width="0" style="176" hidden="1" customWidth="1"/>
    <col min="1290" max="1291" width="9.33203125" style="176"/>
    <col min="1292" max="1292" width="15.83203125" style="176" customWidth="1"/>
    <col min="1293" max="1531" width="9.33203125" style="176"/>
    <col min="1532" max="1532" width="5" style="176" customWidth="1"/>
    <col min="1533" max="1533" width="9.33203125" style="176"/>
    <col min="1534" max="1534" width="21.6640625" style="176" customWidth="1"/>
    <col min="1535" max="1535" width="13.5" style="176" customWidth="1"/>
    <col min="1536" max="1536" width="10.5" style="176" customWidth="1"/>
    <col min="1537" max="1537" width="15.1640625" style="176" customWidth="1"/>
    <col min="1538" max="1538" width="3.6640625" style="176" customWidth="1"/>
    <col min="1539" max="1539" width="13.1640625" style="176" customWidth="1"/>
    <col min="1540" max="1540" width="3.83203125" style="176" customWidth="1"/>
    <col min="1541" max="1541" width="15" style="176" customWidth="1"/>
    <col min="1542" max="1542" width="3.6640625" style="176" customWidth="1"/>
    <col min="1543" max="1544" width="13" style="176" customWidth="1"/>
    <col min="1545" max="1545" width="0" style="176" hidden="1" customWidth="1"/>
    <col min="1546" max="1547" width="9.33203125" style="176"/>
    <col min="1548" max="1548" width="15.83203125" style="176" customWidth="1"/>
    <col min="1549" max="1787" width="9.33203125" style="176"/>
    <col min="1788" max="1788" width="5" style="176" customWidth="1"/>
    <col min="1789" max="1789" width="9.33203125" style="176"/>
    <col min="1790" max="1790" width="21.6640625" style="176" customWidth="1"/>
    <col min="1791" max="1791" width="13.5" style="176" customWidth="1"/>
    <col min="1792" max="1792" width="10.5" style="176" customWidth="1"/>
    <col min="1793" max="1793" width="15.1640625" style="176" customWidth="1"/>
    <col min="1794" max="1794" width="3.6640625" style="176" customWidth="1"/>
    <col min="1795" max="1795" width="13.1640625" style="176" customWidth="1"/>
    <col min="1796" max="1796" width="3.83203125" style="176" customWidth="1"/>
    <col min="1797" max="1797" width="15" style="176" customWidth="1"/>
    <col min="1798" max="1798" width="3.6640625" style="176" customWidth="1"/>
    <col min="1799" max="1800" width="13" style="176" customWidth="1"/>
    <col min="1801" max="1801" width="0" style="176" hidden="1" customWidth="1"/>
    <col min="1802" max="1803" width="9.33203125" style="176"/>
    <col min="1804" max="1804" width="15.83203125" style="176" customWidth="1"/>
    <col min="1805" max="2043" width="9.33203125" style="176"/>
    <col min="2044" max="2044" width="5" style="176" customWidth="1"/>
    <col min="2045" max="2045" width="9.33203125" style="176"/>
    <col min="2046" max="2046" width="21.6640625" style="176" customWidth="1"/>
    <col min="2047" max="2047" width="13.5" style="176" customWidth="1"/>
    <col min="2048" max="2048" width="10.5" style="176" customWidth="1"/>
    <col min="2049" max="2049" width="15.1640625" style="176" customWidth="1"/>
    <col min="2050" max="2050" width="3.6640625" style="176" customWidth="1"/>
    <col min="2051" max="2051" width="13.1640625" style="176" customWidth="1"/>
    <col min="2052" max="2052" width="3.83203125" style="176" customWidth="1"/>
    <col min="2053" max="2053" width="15" style="176" customWidth="1"/>
    <col min="2054" max="2054" width="3.6640625" style="176" customWidth="1"/>
    <col min="2055" max="2056" width="13" style="176" customWidth="1"/>
    <col min="2057" max="2057" width="0" style="176" hidden="1" customWidth="1"/>
    <col min="2058" max="2059" width="9.33203125" style="176"/>
    <col min="2060" max="2060" width="15.83203125" style="176" customWidth="1"/>
    <col min="2061" max="2299" width="9.33203125" style="176"/>
    <col min="2300" max="2300" width="5" style="176" customWidth="1"/>
    <col min="2301" max="2301" width="9.33203125" style="176"/>
    <col min="2302" max="2302" width="21.6640625" style="176" customWidth="1"/>
    <col min="2303" max="2303" width="13.5" style="176" customWidth="1"/>
    <col min="2304" max="2304" width="10.5" style="176" customWidth="1"/>
    <col min="2305" max="2305" width="15.1640625" style="176" customWidth="1"/>
    <col min="2306" max="2306" width="3.6640625" style="176" customWidth="1"/>
    <col min="2307" max="2307" width="13.1640625" style="176" customWidth="1"/>
    <col min="2308" max="2308" width="3.83203125" style="176" customWidth="1"/>
    <col min="2309" max="2309" width="15" style="176" customWidth="1"/>
    <col min="2310" max="2310" width="3.6640625" style="176" customWidth="1"/>
    <col min="2311" max="2312" width="13" style="176" customWidth="1"/>
    <col min="2313" max="2313" width="0" style="176" hidden="1" customWidth="1"/>
    <col min="2314" max="2315" width="9.33203125" style="176"/>
    <col min="2316" max="2316" width="15.83203125" style="176" customWidth="1"/>
    <col min="2317" max="2555" width="9.33203125" style="176"/>
    <col min="2556" max="2556" width="5" style="176" customWidth="1"/>
    <col min="2557" max="2557" width="9.33203125" style="176"/>
    <col min="2558" max="2558" width="21.6640625" style="176" customWidth="1"/>
    <col min="2559" max="2559" width="13.5" style="176" customWidth="1"/>
    <col min="2560" max="2560" width="10.5" style="176" customWidth="1"/>
    <col min="2561" max="2561" width="15.1640625" style="176" customWidth="1"/>
    <col min="2562" max="2562" width="3.6640625" style="176" customWidth="1"/>
    <col min="2563" max="2563" width="13.1640625" style="176" customWidth="1"/>
    <col min="2564" max="2564" width="3.83203125" style="176" customWidth="1"/>
    <col min="2565" max="2565" width="15" style="176" customWidth="1"/>
    <col min="2566" max="2566" width="3.6640625" style="176" customWidth="1"/>
    <col min="2567" max="2568" width="13" style="176" customWidth="1"/>
    <col min="2569" max="2569" width="0" style="176" hidden="1" customWidth="1"/>
    <col min="2570" max="2571" width="9.33203125" style="176"/>
    <col min="2572" max="2572" width="15.83203125" style="176" customWidth="1"/>
    <col min="2573" max="2811" width="9.33203125" style="176"/>
    <col min="2812" max="2812" width="5" style="176" customWidth="1"/>
    <col min="2813" max="2813" width="9.33203125" style="176"/>
    <col min="2814" max="2814" width="21.6640625" style="176" customWidth="1"/>
    <col min="2815" max="2815" width="13.5" style="176" customWidth="1"/>
    <col min="2816" max="2816" width="10.5" style="176" customWidth="1"/>
    <col min="2817" max="2817" width="15.1640625" style="176" customWidth="1"/>
    <col min="2818" max="2818" width="3.6640625" style="176" customWidth="1"/>
    <col min="2819" max="2819" width="13.1640625" style="176" customWidth="1"/>
    <col min="2820" max="2820" width="3.83203125" style="176" customWidth="1"/>
    <col min="2821" max="2821" width="15" style="176" customWidth="1"/>
    <col min="2822" max="2822" width="3.6640625" style="176" customWidth="1"/>
    <col min="2823" max="2824" width="13" style="176" customWidth="1"/>
    <col min="2825" max="2825" width="0" style="176" hidden="1" customWidth="1"/>
    <col min="2826" max="2827" width="9.33203125" style="176"/>
    <col min="2828" max="2828" width="15.83203125" style="176" customWidth="1"/>
    <col min="2829" max="3067" width="9.33203125" style="176"/>
    <col min="3068" max="3068" width="5" style="176" customWidth="1"/>
    <col min="3069" max="3069" width="9.33203125" style="176"/>
    <col min="3070" max="3070" width="21.6640625" style="176" customWidth="1"/>
    <col min="3071" max="3071" width="13.5" style="176" customWidth="1"/>
    <col min="3072" max="3072" width="10.5" style="176" customWidth="1"/>
    <col min="3073" max="3073" width="15.1640625" style="176" customWidth="1"/>
    <col min="3074" max="3074" width="3.6640625" style="176" customWidth="1"/>
    <col min="3075" max="3075" width="13.1640625" style="176" customWidth="1"/>
    <col min="3076" max="3076" width="3.83203125" style="176" customWidth="1"/>
    <col min="3077" max="3077" width="15" style="176" customWidth="1"/>
    <col min="3078" max="3078" width="3.6640625" style="176" customWidth="1"/>
    <col min="3079" max="3080" width="13" style="176" customWidth="1"/>
    <col min="3081" max="3081" width="0" style="176" hidden="1" customWidth="1"/>
    <col min="3082" max="3083" width="9.33203125" style="176"/>
    <col min="3084" max="3084" width="15.83203125" style="176" customWidth="1"/>
    <col min="3085" max="3323" width="9.33203125" style="176"/>
    <col min="3324" max="3324" width="5" style="176" customWidth="1"/>
    <col min="3325" max="3325" width="9.33203125" style="176"/>
    <col min="3326" max="3326" width="21.6640625" style="176" customWidth="1"/>
    <col min="3327" max="3327" width="13.5" style="176" customWidth="1"/>
    <col min="3328" max="3328" width="10.5" style="176" customWidth="1"/>
    <col min="3329" max="3329" width="15.1640625" style="176" customWidth="1"/>
    <col min="3330" max="3330" width="3.6640625" style="176" customWidth="1"/>
    <col min="3331" max="3331" width="13.1640625" style="176" customWidth="1"/>
    <col min="3332" max="3332" width="3.83203125" style="176" customWidth="1"/>
    <col min="3333" max="3333" width="15" style="176" customWidth="1"/>
    <col min="3334" max="3334" width="3.6640625" style="176" customWidth="1"/>
    <col min="3335" max="3336" width="13" style="176" customWidth="1"/>
    <col min="3337" max="3337" width="0" style="176" hidden="1" customWidth="1"/>
    <col min="3338" max="3339" width="9.33203125" style="176"/>
    <col min="3340" max="3340" width="15.83203125" style="176" customWidth="1"/>
    <col min="3341" max="3579" width="9.33203125" style="176"/>
    <col min="3580" max="3580" width="5" style="176" customWidth="1"/>
    <col min="3581" max="3581" width="9.33203125" style="176"/>
    <col min="3582" max="3582" width="21.6640625" style="176" customWidth="1"/>
    <col min="3583" max="3583" width="13.5" style="176" customWidth="1"/>
    <col min="3584" max="3584" width="10.5" style="176" customWidth="1"/>
    <col min="3585" max="3585" width="15.1640625" style="176" customWidth="1"/>
    <col min="3586" max="3586" width="3.6640625" style="176" customWidth="1"/>
    <col min="3587" max="3587" width="13.1640625" style="176" customWidth="1"/>
    <col min="3588" max="3588" width="3.83203125" style="176" customWidth="1"/>
    <col min="3589" max="3589" width="15" style="176" customWidth="1"/>
    <col min="3590" max="3590" width="3.6640625" style="176" customWidth="1"/>
    <col min="3591" max="3592" width="13" style="176" customWidth="1"/>
    <col min="3593" max="3593" width="0" style="176" hidden="1" customWidth="1"/>
    <col min="3594" max="3595" width="9.33203125" style="176"/>
    <col min="3596" max="3596" width="15.83203125" style="176" customWidth="1"/>
    <col min="3597" max="3835" width="9.33203125" style="176"/>
    <col min="3836" max="3836" width="5" style="176" customWidth="1"/>
    <col min="3837" max="3837" width="9.33203125" style="176"/>
    <col min="3838" max="3838" width="21.6640625" style="176" customWidth="1"/>
    <col min="3839" max="3839" width="13.5" style="176" customWidth="1"/>
    <col min="3840" max="3840" width="10.5" style="176" customWidth="1"/>
    <col min="3841" max="3841" width="15.1640625" style="176" customWidth="1"/>
    <col min="3842" max="3842" width="3.6640625" style="176" customWidth="1"/>
    <col min="3843" max="3843" width="13.1640625" style="176" customWidth="1"/>
    <col min="3844" max="3844" width="3.83203125" style="176" customWidth="1"/>
    <col min="3845" max="3845" width="15" style="176" customWidth="1"/>
    <col min="3846" max="3846" width="3.6640625" style="176" customWidth="1"/>
    <col min="3847" max="3848" width="13" style="176" customWidth="1"/>
    <col min="3849" max="3849" width="0" style="176" hidden="1" customWidth="1"/>
    <col min="3850" max="3851" width="9.33203125" style="176"/>
    <col min="3852" max="3852" width="15.83203125" style="176" customWidth="1"/>
    <col min="3853" max="4091" width="9.33203125" style="176"/>
    <col min="4092" max="4092" width="5" style="176" customWidth="1"/>
    <col min="4093" max="4093" width="9.33203125" style="176"/>
    <col min="4094" max="4094" width="21.6640625" style="176" customWidth="1"/>
    <col min="4095" max="4095" width="13.5" style="176" customWidth="1"/>
    <col min="4096" max="4096" width="10.5" style="176" customWidth="1"/>
    <col min="4097" max="4097" width="15.1640625" style="176" customWidth="1"/>
    <col min="4098" max="4098" width="3.6640625" style="176" customWidth="1"/>
    <col min="4099" max="4099" width="13.1640625" style="176" customWidth="1"/>
    <col min="4100" max="4100" width="3.83203125" style="176" customWidth="1"/>
    <col min="4101" max="4101" width="15" style="176" customWidth="1"/>
    <col min="4102" max="4102" width="3.6640625" style="176" customWidth="1"/>
    <col min="4103" max="4104" width="13" style="176" customWidth="1"/>
    <col min="4105" max="4105" width="0" style="176" hidden="1" customWidth="1"/>
    <col min="4106" max="4107" width="9.33203125" style="176"/>
    <col min="4108" max="4108" width="15.83203125" style="176" customWidth="1"/>
    <col min="4109" max="4347" width="9.33203125" style="176"/>
    <col min="4348" max="4348" width="5" style="176" customWidth="1"/>
    <col min="4349" max="4349" width="9.33203125" style="176"/>
    <col min="4350" max="4350" width="21.6640625" style="176" customWidth="1"/>
    <col min="4351" max="4351" width="13.5" style="176" customWidth="1"/>
    <col min="4352" max="4352" width="10.5" style="176" customWidth="1"/>
    <col min="4353" max="4353" width="15.1640625" style="176" customWidth="1"/>
    <col min="4354" max="4354" width="3.6640625" style="176" customWidth="1"/>
    <col min="4355" max="4355" width="13.1640625" style="176" customWidth="1"/>
    <col min="4356" max="4356" width="3.83203125" style="176" customWidth="1"/>
    <col min="4357" max="4357" width="15" style="176" customWidth="1"/>
    <col min="4358" max="4358" width="3.6640625" style="176" customWidth="1"/>
    <col min="4359" max="4360" width="13" style="176" customWidth="1"/>
    <col min="4361" max="4361" width="0" style="176" hidden="1" customWidth="1"/>
    <col min="4362" max="4363" width="9.33203125" style="176"/>
    <col min="4364" max="4364" width="15.83203125" style="176" customWidth="1"/>
    <col min="4365" max="4603" width="9.33203125" style="176"/>
    <col min="4604" max="4604" width="5" style="176" customWidth="1"/>
    <col min="4605" max="4605" width="9.33203125" style="176"/>
    <col min="4606" max="4606" width="21.6640625" style="176" customWidth="1"/>
    <col min="4607" max="4607" width="13.5" style="176" customWidth="1"/>
    <col min="4608" max="4608" width="10.5" style="176" customWidth="1"/>
    <col min="4609" max="4609" width="15.1640625" style="176" customWidth="1"/>
    <col min="4610" max="4610" width="3.6640625" style="176" customWidth="1"/>
    <col min="4611" max="4611" width="13.1640625" style="176" customWidth="1"/>
    <col min="4612" max="4612" width="3.83203125" style="176" customWidth="1"/>
    <col min="4613" max="4613" width="15" style="176" customWidth="1"/>
    <col min="4614" max="4614" width="3.6640625" style="176" customWidth="1"/>
    <col min="4615" max="4616" width="13" style="176" customWidth="1"/>
    <col min="4617" max="4617" width="0" style="176" hidden="1" customWidth="1"/>
    <col min="4618" max="4619" width="9.33203125" style="176"/>
    <col min="4620" max="4620" width="15.83203125" style="176" customWidth="1"/>
    <col min="4621" max="4859" width="9.33203125" style="176"/>
    <col min="4860" max="4860" width="5" style="176" customWidth="1"/>
    <col min="4861" max="4861" width="9.33203125" style="176"/>
    <col min="4862" max="4862" width="21.6640625" style="176" customWidth="1"/>
    <col min="4863" max="4863" width="13.5" style="176" customWidth="1"/>
    <col min="4864" max="4864" width="10.5" style="176" customWidth="1"/>
    <col min="4865" max="4865" width="15.1640625" style="176" customWidth="1"/>
    <col min="4866" max="4866" width="3.6640625" style="176" customWidth="1"/>
    <col min="4867" max="4867" width="13.1640625" style="176" customWidth="1"/>
    <col min="4868" max="4868" width="3.83203125" style="176" customWidth="1"/>
    <col min="4869" max="4869" width="15" style="176" customWidth="1"/>
    <col min="4870" max="4870" width="3.6640625" style="176" customWidth="1"/>
    <col min="4871" max="4872" width="13" style="176" customWidth="1"/>
    <col min="4873" max="4873" width="0" style="176" hidden="1" customWidth="1"/>
    <col min="4874" max="4875" width="9.33203125" style="176"/>
    <col min="4876" max="4876" width="15.83203125" style="176" customWidth="1"/>
    <col min="4877" max="5115" width="9.33203125" style="176"/>
    <col min="5116" max="5116" width="5" style="176" customWidth="1"/>
    <col min="5117" max="5117" width="9.33203125" style="176"/>
    <col min="5118" max="5118" width="21.6640625" style="176" customWidth="1"/>
    <col min="5119" max="5119" width="13.5" style="176" customWidth="1"/>
    <col min="5120" max="5120" width="10.5" style="176" customWidth="1"/>
    <col min="5121" max="5121" width="15.1640625" style="176" customWidth="1"/>
    <col min="5122" max="5122" width="3.6640625" style="176" customWidth="1"/>
    <col min="5123" max="5123" width="13.1640625" style="176" customWidth="1"/>
    <col min="5124" max="5124" width="3.83203125" style="176" customWidth="1"/>
    <col min="5125" max="5125" width="15" style="176" customWidth="1"/>
    <col min="5126" max="5126" width="3.6640625" style="176" customWidth="1"/>
    <col min="5127" max="5128" width="13" style="176" customWidth="1"/>
    <col min="5129" max="5129" width="0" style="176" hidden="1" customWidth="1"/>
    <col min="5130" max="5131" width="9.33203125" style="176"/>
    <col min="5132" max="5132" width="15.83203125" style="176" customWidth="1"/>
    <col min="5133" max="5371" width="9.33203125" style="176"/>
    <col min="5372" max="5372" width="5" style="176" customWidth="1"/>
    <col min="5373" max="5373" width="9.33203125" style="176"/>
    <col min="5374" max="5374" width="21.6640625" style="176" customWidth="1"/>
    <col min="5375" max="5375" width="13.5" style="176" customWidth="1"/>
    <col min="5376" max="5376" width="10.5" style="176" customWidth="1"/>
    <col min="5377" max="5377" width="15.1640625" style="176" customWidth="1"/>
    <col min="5378" max="5378" width="3.6640625" style="176" customWidth="1"/>
    <col min="5379" max="5379" width="13.1640625" style="176" customWidth="1"/>
    <col min="5380" max="5380" width="3.83203125" style="176" customWidth="1"/>
    <col min="5381" max="5381" width="15" style="176" customWidth="1"/>
    <col min="5382" max="5382" width="3.6640625" style="176" customWidth="1"/>
    <col min="5383" max="5384" width="13" style="176" customWidth="1"/>
    <col min="5385" max="5385" width="0" style="176" hidden="1" customWidth="1"/>
    <col min="5386" max="5387" width="9.33203125" style="176"/>
    <col min="5388" max="5388" width="15.83203125" style="176" customWidth="1"/>
    <col min="5389" max="5627" width="9.33203125" style="176"/>
    <col min="5628" max="5628" width="5" style="176" customWidth="1"/>
    <col min="5629" max="5629" width="9.33203125" style="176"/>
    <col min="5630" max="5630" width="21.6640625" style="176" customWidth="1"/>
    <col min="5631" max="5631" width="13.5" style="176" customWidth="1"/>
    <col min="5632" max="5632" width="10.5" style="176" customWidth="1"/>
    <col min="5633" max="5633" width="15.1640625" style="176" customWidth="1"/>
    <col min="5634" max="5634" width="3.6640625" style="176" customWidth="1"/>
    <col min="5635" max="5635" width="13.1640625" style="176" customWidth="1"/>
    <col min="5636" max="5636" width="3.83203125" style="176" customWidth="1"/>
    <col min="5637" max="5637" width="15" style="176" customWidth="1"/>
    <col min="5638" max="5638" width="3.6640625" style="176" customWidth="1"/>
    <col min="5639" max="5640" width="13" style="176" customWidth="1"/>
    <col min="5641" max="5641" width="0" style="176" hidden="1" customWidth="1"/>
    <col min="5642" max="5643" width="9.33203125" style="176"/>
    <col min="5644" max="5644" width="15.83203125" style="176" customWidth="1"/>
    <col min="5645" max="5883" width="9.33203125" style="176"/>
    <col min="5884" max="5884" width="5" style="176" customWidth="1"/>
    <col min="5885" max="5885" width="9.33203125" style="176"/>
    <col min="5886" max="5886" width="21.6640625" style="176" customWidth="1"/>
    <col min="5887" max="5887" width="13.5" style="176" customWidth="1"/>
    <col min="5888" max="5888" width="10.5" style="176" customWidth="1"/>
    <col min="5889" max="5889" width="15.1640625" style="176" customWidth="1"/>
    <col min="5890" max="5890" width="3.6640625" style="176" customWidth="1"/>
    <col min="5891" max="5891" width="13.1640625" style="176" customWidth="1"/>
    <col min="5892" max="5892" width="3.83203125" style="176" customWidth="1"/>
    <col min="5893" max="5893" width="15" style="176" customWidth="1"/>
    <col min="5894" max="5894" width="3.6640625" style="176" customWidth="1"/>
    <col min="5895" max="5896" width="13" style="176" customWidth="1"/>
    <col min="5897" max="5897" width="0" style="176" hidden="1" customWidth="1"/>
    <col min="5898" max="5899" width="9.33203125" style="176"/>
    <col min="5900" max="5900" width="15.83203125" style="176" customWidth="1"/>
    <col min="5901" max="6139" width="9.33203125" style="176"/>
    <col min="6140" max="6140" width="5" style="176" customWidth="1"/>
    <col min="6141" max="6141" width="9.33203125" style="176"/>
    <col min="6142" max="6142" width="21.6640625" style="176" customWidth="1"/>
    <col min="6143" max="6143" width="13.5" style="176" customWidth="1"/>
    <col min="6144" max="6144" width="10.5" style="176" customWidth="1"/>
    <col min="6145" max="6145" width="15.1640625" style="176" customWidth="1"/>
    <col min="6146" max="6146" width="3.6640625" style="176" customWidth="1"/>
    <col min="6147" max="6147" width="13.1640625" style="176" customWidth="1"/>
    <col min="6148" max="6148" width="3.83203125" style="176" customWidth="1"/>
    <col min="6149" max="6149" width="15" style="176" customWidth="1"/>
    <col min="6150" max="6150" width="3.6640625" style="176" customWidth="1"/>
    <col min="6151" max="6152" width="13" style="176" customWidth="1"/>
    <col min="6153" max="6153" width="0" style="176" hidden="1" customWidth="1"/>
    <col min="6154" max="6155" width="9.33203125" style="176"/>
    <col min="6156" max="6156" width="15.83203125" style="176" customWidth="1"/>
    <col min="6157" max="6395" width="9.33203125" style="176"/>
    <col min="6396" max="6396" width="5" style="176" customWidth="1"/>
    <col min="6397" max="6397" width="9.33203125" style="176"/>
    <col min="6398" max="6398" width="21.6640625" style="176" customWidth="1"/>
    <col min="6399" max="6399" width="13.5" style="176" customWidth="1"/>
    <col min="6400" max="6400" width="10.5" style="176" customWidth="1"/>
    <col min="6401" max="6401" width="15.1640625" style="176" customWidth="1"/>
    <col min="6402" max="6402" width="3.6640625" style="176" customWidth="1"/>
    <col min="6403" max="6403" width="13.1640625" style="176" customWidth="1"/>
    <col min="6404" max="6404" width="3.83203125" style="176" customWidth="1"/>
    <col min="6405" max="6405" width="15" style="176" customWidth="1"/>
    <col min="6406" max="6406" width="3.6640625" style="176" customWidth="1"/>
    <col min="6407" max="6408" width="13" style="176" customWidth="1"/>
    <col min="6409" max="6409" width="0" style="176" hidden="1" customWidth="1"/>
    <col min="6410" max="6411" width="9.33203125" style="176"/>
    <col min="6412" max="6412" width="15.83203125" style="176" customWidth="1"/>
    <col min="6413" max="6651" width="9.33203125" style="176"/>
    <col min="6652" max="6652" width="5" style="176" customWidth="1"/>
    <col min="6653" max="6653" width="9.33203125" style="176"/>
    <col min="6654" max="6654" width="21.6640625" style="176" customWidth="1"/>
    <col min="6655" max="6655" width="13.5" style="176" customWidth="1"/>
    <col min="6656" max="6656" width="10.5" style="176" customWidth="1"/>
    <col min="6657" max="6657" width="15.1640625" style="176" customWidth="1"/>
    <col min="6658" max="6658" width="3.6640625" style="176" customWidth="1"/>
    <col min="6659" max="6659" width="13.1640625" style="176" customWidth="1"/>
    <col min="6660" max="6660" width="3.83203125" style="176" customWidth="1"/>
    <col min="6661" max="6661" width="15" style="176" customWidth="1"/>
    <col min="6662" max="6662" width="3.6640625" style="176" customWidth="1"/>
    <col min="6663" max="6664" width="13" style="176" customWidth="1"/>
    <col min="6665" max="6665" width="0" style="176" hidden="1" customWidth="1"/>
    <col min="6666" max="6667" width="9.33203125" style="176"/>
    <col min="6668" max="6668" width="15.83203125" style="176" customWidth="1"/>
    <col min="6669" max="6907" width="9.33203125" style="176"/>
    <col min="6908" max="6908" width="5" style="176" customWidth="1"/>
    <col min="6909" max="6909" width="9.33203125" style="176"/>
    <col min="6910" max="6910" width="21.6640625" style="176" customWidth="1"/>
    <col min="6911" max="6911" width="13.5" style="176" customWidth="1"/>
    <col min="6912" max="6912" width="10.5" style="176" customWidth="1"/>
    <col min="6913" max="6913" width="15.1640625" style="176" customWidth="1"/>
    <col min="6914" max="6914" width="3.6640625" style="176" customWidth="1"/>
    <col min="6915" max="6915" width="13.1640625" style="176" customWidth="1"/>
    <col min="6916" max="6916" width="3.83203125" style="176" customWidth="1"/>
    <col min="6917" max="6917" width="15" style="176" customWidth="1"/>
    <col min="6918" max="6918" width="3.6640625" style="176" customWidth="1"/>
    <col min="6919" max="6920" width="13" style="176" customWidth="1"/>
    <col min="6921" max="6921" width="0" style="176" hidden="1" customWidth="1"/>
    <col min="6922" max="6923" width="9.33203125" style="176"/>
    <col min="6924" max="6924" width="15.83203125" style="176" customWidth="1"/>
    <col min="6925" max="7163" width="9.33203125" style="176"/>
    <col min="7164" max="7164" width="5" style="176" customWidth="1"/>
    <col min="7165" max="7165" width="9.33203125" style="176"/>
    <col min="7166" max="7166" width="21.6640625" style="176" customWidth="1"/>
    <col min="7167" max="7167" width="13.5" style="176" customWidth="1"/>
    <col min="7168" max="7168" width="10.5" style="176" customWidth="1"/>
    <col min="7169" max="7169" width="15.1640625" style="176" customWidth="1"/>
    <col min="7170" max="7170" width="3.6640625" style="176" customWidth="1"/>
    <col min="7171" max="7171" width="13.1640625" style="176" customWidth="1"/>
    <col min="7172" max="7172" width="3.83203125" style="176" customWidth="1"/>
    <col min="7173" max="7173" width="15" style="176" customWidth="1"/>
    <col min="7174" max="7174" width="3.6640625" style="176" customWidth="1"/>
    <col min="7175" max="7176" width="13" style="176" customWidth="1"/>
    <col min="7177" max="7177" width="0" style="176" hidden="1" customWidth="1"/>
    <col min="7178" max="7179" width="9.33203125" style="176"/>
    <col min="7180" max="7180" width="15.83203125" style="176" customWidth="1"/>
    <col min="7181" max="7419" width="9.33203125" style="176"/>
    <col min="7420" max="7420" width="5" style="176" customWidth="1"/>
    <col min="7421" max="7421" width="9.33203125" style="176"/>
    <col min="7422" max="7422" width="21.6640625" style="176" customWidth="1"/>
    <col min="7423" max="7423" width="13.5" style="176" customWidth="1"/>
    <col min="7424" max="7424" width="10.5" style="176" customWidth="1"/>
    <col min="7425" max="7425" width="15.1640625" style="176" customWidth="1"/>
    <col min="7426" max="7426" width="3.6640625" style="176" customWidth="1"/>
    <col min="7427" max="7427" width="13.1640625" style="176" customWidth="1"/>
    <col min="7428" max="7428" width="3.83203125" style="176" customWidth="1"/>
    <col min="7429" max="7429" width="15" style="176" customWidth="1"/>
    <col min="7430" max="7430" width="3.6640625" style="176" customWidth="1"/>
    <col min="7431" max="7432" width="13" style="176" customWidth="1"/>
    <col min="7433" max="7433" width="0" style="176" hidden="1" customWidth="1"/>
    <col min="7434" max="7435" width="9.33203125" style="176"/>
    <col min="7436" max="7436" width="15.83203125" style="176" customWidth="1"/>
    <col min="7437" max="7675" width="9.33203125" style="176"/>
    <col min="7676" max="7676" width="5" style="176" customWidth="1"/>
    <col min="7677" max="7677" width="9.33203125" style="176"/>
    <col min="7678" max="7678" width="21.6640625" style="176" customWidth="1"/>
    <col min="7679" max="7679" width="13.5" style="176" customWidth="1"/>
    <col min="7680" max="7680" width="10.5" style="176" customWidth="1"/>
    <col min="7681" max="7681" width="15.1640625" style="176" customWidth="1"/>
    <col min="7682" max="7682" width="3.6640625" style="176" customWidth="1"/>
    <col min="7683" max="7683" width="13.1640625" style="176" customWidth="1"/>
    <col min="7684" max="7684" width="3.83203125" style="176" customWidth="1"/>
    <col min="7685" max="7685" width="15" style="176" customWidth="1"/>
    <col min="7686" max="7686" width="3.6640625" style="176" customWidth="1"/>
    <col min="7687" max="7688" width="13" style="176" customWidth="1"/>
    <col min="7689" max="7689" width="0" style="176" hidden="1" customWidth="1"/>
    <col min="7690" max="7691" width="9.33203125" style="176"/>
    <col min="7692" max="7692" width="15.83203125" style="176" customWidth="1"/>
    <col min="7693" max="7931" width="9.33203125" style="176"/>
    <col min="7932" max="7932" width="5" style="176" customWidth="1"/>
    <col min="7933" max="7933" width="9.33203125" style="176"/>
    <col min="7934" max="7934" width="21.6640625" style="176" customWidth="1"/>
    <col min="7935" max="7935" width="13.5" style="176" customWidth="1"/>
    <col min="7936" max="7936" width="10.5" style="176" customWidth="1"/>
    <col min="7937" max="7937" width="15.1640625" style="176" customWidth="1"/>
    <col min="7938" max="7938" width="3.6640625" style="176" customWidth="1"/>
    <col min="7939" max="7939" width="13.1640625" style="176" customWidth="1"/>
    <col min="7940" max="7940" width="3.83203125" style="176" customWidth="1"/>
    <col min="7941" max="7941" width="15" style="176" customWidth="1"/>
    <col min="7942" max="7942" width="3.6640625" style="176" customWidth="1"/>
    <col min="7943" max="7944" width="13" style="176" customWidth="1"/>
    <col min="7945" max="7945" width="0" style="176" hidden="1" customWidth="1"/>
    <col min="7946" max="7947" width="9.33203125" style="176"/>
    <col min="7948" max="7948" width="15.83203125" style="176" customWidth="1"/>
    <col min="7949" max="8187" width="9.33203125" style="176"/>
    <col min="8188" max="8188" width="5" style="176" customWidth="1"/>
    <col min="8189" max="8189" width="9.33203125" style="176"/>
    <col min="8190" max="8190" width="21.6640625" style="176" customWidth="1"/>
    <col min="8191" max="8191" width="13.5" style="176" customWidth="1"/>
    <col min="8192" max="8192" width="10.5" style="176" customWidth="1"/>
    <col min="8193" max="8193" width="15.1640625" style="176" customWidth="1"/>
    <col min="8194" max="8194" width="3.6640625" style="176" customWidth="1"/>
    <col min="8195" max="8195" width="13.1640625" style="176" customWidth="1"/>
    <col min="8196" max="8196" width="3.83203125" style="176" customWidth="1"/>
    <col min="8197" max="8197" width="15" style="176" customWidth="1"/>
    <col min="8198" max="8198" width="3.6640625" style="176" customWidth="1"/>
    <col min="8199" max="8200" width="13" style="176" customWidth="1"/>
    <col min="8201" max="8201" width="0" style="176" hidden="1" customWidth="1"/>
    <col min="8202" max="8203" width="9.33203125" style="176"/>
    <col min="8204" max="8204" width="15.83203125" style="176" customWidth="1"/>
    <col min="8205" max="8443" width="9.33203125" style="176"/>
    <col min="8444" max="8444" width="5" style="176" customWidth="1"/>
    <col min="8445" max="8445" width="9.33203125" style="176"/>
    <col min="8446" max="8446" width="21.6640625" style="176" customWidth="1"/>
    <col min="8447" max="8447" width="13.5" style="176" customWidth="1"/>
    <col min="8448" max="8448" width="10.5" style="176" customWidth="1"/>
    <col min="8449" max="8449" width="15.1640625" style="176" customWidth="1"/>
    <col min="8450" max="8450" width="3.6640625" style="176" customWidth="1"/>
    <col min="8451" max="8451" width="13.1640625" style="176" customWidth="1"/>
    <col min="8452" max="8452" width="3.83203125" style="176" customWidth="1"/>
    <col min="8453" max="8453" width="15" style="176" customWidth="1"/>
    <col min="8454" max="8454" width="3.6640625" style="176" customWidth="1"/>
    <col min="8455" max="8456" width="13" style="176" customWidth="1"/>
    <col min="8457" max="8457" width="0" style="176" hidden="1" customWidth="1"/>
    <col min="8458" max="8459" width="9.33203125" style="176"/>
    <col min="8460" max="8460" width="15.83203125" style="176" customWidth="1"/>
    <col min="8461" max="8699" width="9.33203125" style="176"/>
    <col min="8700" max="8700" width="5" style="176" customWidth="1"/>
    <col min="8701" max="8701" width="9.33203125" style="176"/>
    <col min="8702" max="8702" width="21.6640625" style="176" customWidth="1"/>
    <col min="8703" max="8703" width="13.5" style="176" customWidth="1"/>
    <col min="8704" max="8704" width="10.5" style="176" customWidth="1"/>
    <col min="8705" max="8705" width="15.1640625" style="176" customWidth="1"/>
    <col min="8706" max="8706" width="3.6640625" style="176" customWidth="1"/>
    <col min="8707" max="8707" width="13.1640625" style="176" customWidth="1"/>
    <col min="8708" max="8708" width="3.83203125" style="176" customWidth="1"/>
    <col min="8709" max="8709" width="15" style="176" customWidth="1"/>
    <col min="8710" max="8710" width="3.6640625" style="176" customWidth="1"/>
    <col min="8711" max="8712" width="13" style="176" customWidth="1"/>
    <col min="8713" max="8713" width="0" style="176" hidden="1" customWidth="1"/>
    <col min="8714" max="8715" width="9.33203125" style="176"/>
    <col min="8716" max="8716" width="15.83203125" style="176" customWidth="1"/>
    <col min="8717" max="8955" width="9.33203125" style="176"/>
    <col min="8956" max="8956" width="5" style="176" customWidth="1"/>
    <col min="8957" max="8957" width="9.33203125" style="176"/>
    <col min="8958" max="8958" width="21.6640625" style="176" customWidth="1"/>
    <col min="8959" max="8959" width="13.5" style="176" customWidth="1"/>
    <col min="8960" max="8960" width="10.5" style="176" customWidth="1"/>
    <col min="8961" max="8961" width="15.1640625" style="176" customWidth="1"/>
    <col min="8962" max="8962" width="3.6640625" style="176" customWidth="1"/>
    <col min="8963" max="8963" width="13.1640625" style="176" customWidth="1"/>
    <col min="8964" max="8964" width="3.83203125" style="176" customWidth="1"/>
    <col min="8965" max="8965" width="15" style="176" customWidth="1"/>
    <col min="8966" max="8966" width="3.6640625" style="176" customWidth="1"/>
    <col min="8967" max="8968" width="13" style="176" customWidth="1"/>
    <col min="8969" max="8969" width="0" style="176" hidden="1" customWidth="1"/>
    <col min="8970" max="8971" width="9.33203125" style="176"/>
    <col min="8972" max="8972" width="15.83203125" style="176" customWidth="1"/>
    <col min="8973" max="9211" width="9.33203125" style="176"/>
    <col min="9212" max="9212" width="5" style="176" customWidth="1"/>
    <col min="9213" max="9213" width="9.33203125" style="176"/>
    <col min="9214" max="9214" width="21.6640625" style="176" customWidth="1"/>
    <col min="9215" max="9215" width="13.5" style="176" customWidth="1"/>
    <col min="9216" max="9216" width="10.5" style="176" customWidth="1"/>
    <col min="9217" max="9217" width="15.1640625" style="176" customWidth="1"/>
    <col min="9218" max="9218" width="3.6640625" style="176" customWidth="1"/>
    <col min="9219" max="9219" width="13.1640625" style="176" customWidth="1"/>
    <col min="9220" max="9220" width="3.83203125" style="176" customWidth="1"/>
    <col min="9221" max="9221" width="15" style="176" customWidth="1"/>
    <col min="9222" max="9222" width="3.6640625" style="176" customWidth="1"/>
    <col min="9223" max="9224" width="13" style="176" customWidth="1"/>
    <col min="9225" max="9225" width="0" style="176" hidden="1" customWidth="1"/>
    <col min="9226" max="9227" width="9.33203125" style="176"/>
    <col min="9228" max="9228" width="15.83203125" style="176" customWidth="1"/>
    <col min="9229" max="9467" width="9.33203125" style="176"/>
    <col min="9468" max="9468" width="5" style="176" customWidth="1"/>
    <col min="9469" max="9469" width="9.33203125" style="176"/>
    <col min="9470" max="9470" width="21.6640625" style="176" customWidth="1"/>
    <col min="9471" max="9471" width="13.5" style="176" customWidth="1"/>
    <col min="9472" max="9472" width="10.5" style="176" customWidth="1"/>
    <col min="9473" max="9473" width="15.1640625" style="176" customWidth="1"/>
    <col min="9474" max="9474" width="3.6640625" style="176" customWidth="1"/>
    <col min="9475" max="9475" width="13.1640625" style="176" customWidth="1"/>
    <col min="9476" max="9476" width="3.83203125" style="176" customWidth="1"/>
    <col min="9477" max="9477" width="15" style="176" customWidth="1"/>
    <col min="9478" max="9478" width="3.6640625" style="176" customWidth="1"/>
    <col min="9479" max="9480" width="13" style="176" customWidth="1"/>
    <col min="9481" max="9481" width="0" style="176" hidden="1" customWidth="1"/>
    <col min="9482" max="9483" width="9.33203125" style="176"/>
    <col min="9484" max="9484" width="15.83203125" style="176" customWidth="1"/>
    <col min="9485" max="9723" width="9.33203125" style="176"/>
    <col min="9724" max="9724" width="5" style="176" customWidth="1"/>
    <col min="9725" max="9725" width="9.33203125" style="176"/>
    <col min="9726" max="9726" width="21.6640625" style="176" customWidth="1"/>
    <col min="9727" max="9727" width="13.5" style="176" customWidth="1"/>
    <col min="9728" max="9728" width="10.5" style="176" customWidth="1"/>
    <col min="9729" max="9729" width="15.1640625" style="176" customWidth="1"/>
    <col min="9730" max="9730" width="3.6640625" style="176" customWidth="1"/>
    <col min="9731" max="9731" width="13.1640625" style="176" customWidth="1"/>
    <col min="9732" max="9732" width="3.83203125" style="176" customWidth="1"/>
    <col min="9733" max="9733" width="15" style="176" customWidth="1"/>
    <col min="9734" max="9734" width="3.6640625" style="176" customWidth="1"/>
    <col min="9735" max="9736" width="13" style="176" customWidth="1"/>
    <col min="9737" max="9737" width="0" style="176" hidden="1" customWidth="1"/>
    <col min="9738" max="9739" width="9.33203125" style="176"/>
    <col min="9740" max="9740" width="15.83203125" style="176" customWidth="1"/>
    <col min="9741" max="9979" width="9.33203125" style="176"/>
    <col min="9980" max="9980" width="5" style="176" customWidth="1"/>
    <col min="9981" max="9981" width="9.33203125" style="176"/>
    <col min="9982" max="9982" width="21.6640625" style="176" customWidth="1"/>
    <col min="9983" max="9983" width="13.5" style="176" customWidth="1"/>
    <col min="9984" max="9984" width="10.5" style="176" customWidth="1"/>
    <col min="9985" max="9985" width="15.1640625" style="176" customWidth="1"/>
    <col min="9986" max="9986" width="3.6640625" style="176" customWidth="1"/>
    <col min="9987" max="9987" width="13.1640625" style="176" customWidth="1"/>
    <col min="9988" max="9988" width="3.83203125" style="176" customWidth="1"/>
    <col min="9989" max="9989" width="15" style="176" customWidth="1"/>
    <col min="9990" max="9990" width="3.6640625" style="176" customWidth="1"/>
    <col min="9991" max="9992" width="13" style="176" customWidth="1"/>
    <col min="9993" max="9993" width="0" style="176" hidden="1" customWidth="1"/>
    <col min="9994" max="9995" width="9.33203125" style="176"/>
    <col min="9996" max="9996" width="15.83203125" style="176" customWidth="1"/>
    <col min="9997" max="10235" width="9.33203125" style="176"/>
    <col min="10236" max="10236" width="5" style="176" customWidth="1"/>
    <col min="10237" max="10237" width="9.33203125" style="176"/>
    <col min="10238" max="10238" width="21.6640625" style="176" customWidth="1"/>
    <col min="10239" max="10239" width="13.5" style="176" customWidth="1"/>
    <col min="10240" max="10240" width="10.5" style="176" customWidth="1"/>
    <col min="10241" max="10241" width="15.1640625" style="176" customWidth="1"/>
    <col min="10242" max="10242" width="3.6640625" style="176" customWidth="1"/>
    <col min="10243" max="10243" width="13.1640625" style="176" customWidth="1"/>
    <col min="10244" max="10244" width="3.83203125" style="176" customWidth="1"/>
    <col min="10245" max="10245" width="15" style="176" customWidth="1"/>
    <col min="10246" max="10246" width="3.6640625" style="176" customWidth="1"/>
    <col min="10247" max="10248" width="13" style="176" customWidth="1"/>
    <col min="10249" max="10249" width="0" style="176" hidden="1" customWidth="1"/>
    <col min="10250" max="10251" width="9.33203125" style="176"/>
    <col min="10252" max="10252" width="15.83203125" style="176" customWidth="1"/>
    <col min="10253" max="10491" width="9.33203125" style="176"/>
    <col min="10492" max="10492" width="5" style="176" customWidth="1"/>
    <col min="10493" max="10493" width="9.33203125" style="176"/>
    <col min="10494" max="10494" width="21.6640625" style="176" customWidth="1"/>
    <col min="10495" max="10495" width="13.5" style="176" customWidth="1"/>
    <col min="10496" max="10496" width="10.5" style="176" customWidth="1"/>
    <col min="10497" max="10497" width="15.1640625" style="176" customWidth="1"/>
    <col min="10498" max="10498" width="3.6640625" style="176" customWidth="1"/>
    <col min="10499" max="10499" width="13.1640625" style="176" customWidth="1"/>
    <col min="10500" max="10500" width="3.83203125" style="176" customWidth="1"/>
    <col min="10501" max="10501" width="15" style="176" customWidth="1"/>
    <col min="10502" max="10502" width="3.6640625" style="176" customWidth="1"/>
    <col min="10503" max="10504" width="13" style="176" customWidth="1"/>
    <col min="10505" max="10505" width="0" style="176" hidden="1" customWidth="1"/>
    <col min="10506" max="10507" width="9.33203125" style="176"/>
    <col min="10508" max="10508" width="15.83203125" style="176" customWidth="1"/>
    <col min="10509" max="10747" width="9.33203125" style="176"/>
    <col min="10748" max="10748" width="5" style="176" customWidth="1"/>
    <col min="10749" max="10749" width="9.33203125" style="176"/>
    <col min="10750" max="10750" width="21.6640625" style="176" customWidth="1"/>
    <col min="10751" max="10751" width="13.5" style="176" customWidth="1"/>
    <col min="10752" max="10752" width="10.5" style="176" customWidth="1"/>
    <col min="10753" max="10753" width="15.1640625" style="176" customWidth="1"/>
    <col min="10754" max="10754" width="3.6640625" style="176" customWidth="1"/>
    <col min="10755" max="10755" width="13.1640625" style="176" customWidth="1"/>
    <col min="10756" max="10756" width="3.83203125" style="176" customWidth="1"/>
    <col min="10757" max="10757" width="15" style="176" customWidth="1"/>
    <col min="10758" max="10758" width="3.6640625" style="176" customWidth="1"/>
    <col min="10759" max="10760" width="13" style="176" customWidth="1"/>
    <col min="10761" max="10761" width="0" style="176" hidden="1" customWidth="1"/>
    <col min="10762" max="10763" width="9.33203125" style="176"/>
    <col min="10764" max="10764" width="15.83203125" style="176" customWidth="1"/>
    <col min="10765" max="11003" width="9.33203125" style="176"/>
    <col min="11004" max="11004" width="5" style="176" customWidth="1"/>
    <col min="11005" max="11005" width="9.33203125" style="176"/>
    <col min="11006" max="11006" width="21.6640625" style="176" customWidth="1"/>
    <col min="11007" max="11007" width="13.5" style="176" customWidth="1"/>
    <col min="11008" max="11008" width="10.5" style="176" customWidth="1"/>
    <col min="11009" max="11009" width="15.1640625" style="176" customWidth="1"/>
    <col min="11010" max="11010" width="3.6640625" style="176" customWidth="1"/>
    <col min="11011" max="11011" width="13.1640625" style="176" customWidth="1"/>
    <col min="11012" max="11012" width="3.83203125" style="176" customWidth="1"/>
    <col min="11013" max="11013" width="15" style="176" customWidth="1"/>
    <col min="11014" max="11014" width="3.6640625" style="176" customWidth="1"/>
    <col min="11015" max="11016" width="13" style="176" customWidth="1"/>
    <col min="11017" max="11017" width="0" style="176" hidden="1" customWidth="1"/>
    <col min="11018" max="11019" width="9.33203125" style="176"/>
    <col min="11020" max="11020" width="15.83203125" style="176" customWidth="1"/>
    <col min="11021" max="11259" width="9.33203125" style="176"/>
    <col min="11260" max="11260" width="5" style="176" customWidth="1"/>
    <col min="11261" max="11261" width="9.33203125" style="176"/>
    <col min="11262" max="11262" width="21.6640625" style="176" customWidth="1"/>
    <col min="11263" max="11263" width="13.5" style="176" customWidth="1"/>
    <col min="11264" max="11264" width="10.5" style="176" customWidth="1"/>
    <col min="11265" max="11265" width="15.1640625" style="176" customWidth="1"/>
    <col min="11266" max="11266" width="3.6640625" style="176" customWidth="1"/>
    <col min="11267" max="11267" width="13.1640625" style="176" customWidth="1"/>
    <col min="11268" max="11268" width="3.83203125" style="176" customWidth="1"/>
    <col min="11269" max="11269" width="15" style="176" customWidth="1"/>
    <col min="11270" max="11270" width="3.6640625" style="176" customWidth="1"/>
    <col min="11271" max="11272" width="13" style="176" customWidth="1"/>
    <col min="11273" max="11273" width="0" style="176" hidden="1" customWidth="1"/>
    <col min="11274" max="11275" width="9.33203125" style="176"/>
    <col min="11276" max="11276" width="15.83203125" style="176" customWidth="1"/>
    <col min="11277" max="11515" width="9.33203125" style="176"/>
    <col min="11516" max="11516" width="5" style="176" customWidth="1"/>
    <col min="11517" max="11517" width="9.33203125" style="176"/>
    <col min="11518" max="11518" width="21.6640625" style="176" customWidth="1"/>
    <col min="11519" max="11519" width="13.5" style="176" customWidth="1"/>
    <col min="11520" max="11520" width="10.5" style="176" customWidth="1"/>
    <col min="11521" max="11521" width="15.1640625" style="176" customWidth="1"/>
    <col min="11522" max="11522" width="3.6640625" style="176" customWidth="1"/>
    <col min="11523" max="11523" width="13.1640625" style="176" customWidth="1"/>
    <col min="11524" max="11524" width="3.83203125" style="176" customWidth="1"/>
    <col min="11525" max="11525" width="15" style="176" customWidth="1"/>
    <col min="11526" max="11526" width="3.6640625" style="176" customWidth="1"/>
    <col min="11527" max="11528" width="13" style="176" customWidth="1"/>
    <col min="11529" max="11529" width="0" style="176" hidden="1" customWidth="1"/>
    <col min="11530" max="11531" width="9.33203125" style="176"/>
    <col min="11532" max="11532" width="15.83203125" style="176" customWidth="1"/>
    <col min="11533" max="11771" width="9.33203125" style="176"/>
    <col min="11772" max="11772" width="5" style="176" customWidth="1"/>
    <col min="11773" max="11773" width="9.33203125" style="176"/>
    <col min="11774" max="11774" width="21.6640625" style="176" customWidth="1"/>
    <col min="11775" max="11775" width="13.5" style="176" customWidth="1"/>
    <col min="11776" max="11776" width="10.5" style="176" customWidth="1"/>
    <col min="11777" max="11777" width="15.1640625" style="176" customWidth="1"/>
    <col min="11778" max="11778" width="3.6640625" style="176" customWidth="1"/>
    <col min="11779" max="11779" width="13.1640625" style="176" customWidth="1"/>
    <col min="11780" max="11780" width="3.83203125" style="176" customWidth="1"/>
    <col min="11781" max="11781" width="15" style="176" customWidth="1"/>
    <col min="11782" max="11782" width="3.6640625" style="176" customWidth="1"/>
    <col min="11783" max="11784" width="13" style="176" customWidth="1"/>
    <col min="11785" max="11785" width="0" style="176" hidden="1" customWidth="1"/>
    <col min="11786" max="11787" width="9.33203125" style="176"/>
    <col min="11788" max="11788" width="15.83203125" style="176" customWidth="1"/>
    <col min="11789" max="12027" width="9.33203125" style="176"/>
    <col min="12028" max="12028" width="5" style="176" customWidth="1"/>
    <col min="12029" max="12029" width="9.33203125" style="176"/>
    <col min="12030" max="12030" width="21.6640625" style="176" customWidth="1"/>
    <col min="12031" max="12031" width="13.5" style="176" customWidth="1"/>
    <col min="12032" max="12032" width="10.5" style="176" customWidth="1"/>
    <col min="12033" max="12033" width="15.1640625" style="176" customWidth="1"/>
    <col min="12034" max="12034" width="3.6640625" style="176" customWidth="1"/>
    <col min="12035" max="12035" width="13.1640625" style="176" customWidth="1"/>
    <col min="12036" max="12036" width="3.83203125" style="176" customWidth="1"/>
    <col min="12037" max="12037" width="15" style="176" customWidth="1"/>
    <col min="12038" max="12038" width="3.6640625" style="176" customWidth="1"/>
    <col min="12039" max="12040" width="13" style="176" customWidth="1"/>
    <col min="12041" max="12041" width="0" style="176" hidden="1" customWidth="1"/>
    <col min="12042" max="12043" width="9.33203125" style="176"/>
    <col min="12044" max="12044" width="15.83203125" style="176" customWidth="1"/>
    <col min="12045" max="12283" width="9.33203125" style="176"/>
    <col min="12284" max="12284" width="5" style="176" customWidth="1"/>
    <col min="12285" max="12285" width="9.33203125" style="176"/>
    <col min="12286" max="12286" width="21.6640625" style="176" customWidth="1"/>
    <col min="12287" max="12287" width="13.5" style="176" customWidth="1"/>
    <col min="12288" max="12288" width="10.5" style="176" customWidth="1"/>
    <col min="12289" max="12289" width="15.1640625" style="176" customWidth="1"/>
    <col min="12290" max="12290" width="3.6640625" style="176" customWidth="1"/>
    <col min="12291" max="12291" width="13.1640625" style="176" customWidth="1"/>
    <col min="12292" max="12292" width="3.83203125" style="176" customWidth="1"/>
    <col min="12293" max="12293" width="15" style="176" customWidth="1"/>
    <col min="12294" max="12294" width="3.6640625" style="176" customWidth="1"/>
    <col min="12295" max="12296" width="13" style="176" customWidth="1"/>
    <col min="12297" max="12297" width="0" style="176" hidden="1" customWidth="1"/>
    <col min="12298" max="12299" width="9.33203125" style="176"/>
    <col min="12300" max="12300" width="15.83203125" style="176" customWidth="1"/>
    <col min="12301" max="12539" width="9.33203125" style="176"/>
    <col min="12540" max="12540" width="5" style="176" customWidth="1"/>
    <col min="12541" max="12541" width="9.33203125" style="176"/>
    <col min="12542" max="12542" width="21.6640625" style="176" customWidth="1"/>
    <col min="12543" max="12543" width="13.5" style="176" customWidth="1"/>
    <col min="12544" max="12544" width="10.5" style="176" customWidth="1"/>
    <col min="12545" max="12545" width="15.1640625" style="176" customWidth="1"/>
    <col min="12546" max="12546" width="3.6640625" style="176" customWidth="1"/>
    <col min="12547" max="12547" width="13.1640625" style="176" customWidth="1"/>
    <col min="12548" max="12548" width="3.83203125" style="176" customWidth="1"/>
    <col min="12549" max="12549" width="15" style="176" customWidth="1"/>
    <col min="12550" max="12550" width="3.6640625" style="176" customWidth="1"/>
    <col min="12551" max="12552" width="13" style="176" customWidth="1"/>
    <col min="12553" max="12553" width="0" style="176" hidden="1" customWidth="1"/>
    <col min="12554" max="12555" width="9.33203125" style="176"/>
    <col min="12556" max="12556" width="15.83203125" style="176" customWidth="1"/>
    <col min="12557" max="12795" width="9.33203125" style="176"/>
    <col min="12796" max="12796" width="5" style="176" customWidth="1"/>
    <col min="12797" max="12797" width="9.33203125" style="176"/>
    <col min="12798" max="12798" width="21.6640625" style="176" customWidth="1"/>
    <col min="12799" max="12799" width="13.5" style="176" customWidth="1"/>
    <col min="12800" max="12800" width="10.5" style="176" customWidth="1"/>
    <col min="12801" max="12801" width="15.1640625" style="176" customWidth="1"/>
    <col min="12802" max="12802" width="3.6640625" style="176" customWidth="1"/>
    <col min="12803" max="12803" width="13.1640625" style="176" customWidth="1"/>
    <col min="12804" max="12804" width="3.83203125" style="176" customWidth="1"/>
    <col min="12805" max="12805" width="15" style="176" customWidth="1"/>
    <col min="12806" max="12806" width="3.6640625" style="176" customWidth="1"/>
    <col min="12807" max="12808" width="13" style="176" customWidth="1"/>
    <col min="12809" max="12809" width="0" style="176" hidden="1" customWidth="1"/>
    <col min="12810" max="12811" width="9.33203125" style="176"/>
    <col min="12812" max="12812" width="15.83203125" style="176" customWidth="1"/>
    <col min="12813" max="13051" width="9.33203125" style="176"/>
    <col min="13052" max="13052" width="5" style="176" customWidth="1"/>
    <col min="13053" max="13053" width="9.33203125" style="176"/>
    <col min="13054" max="13054" width="21.6640625" style="176" customWidth="1"/>
    <col min="13055" max="13055" width="13.5" style="176" customWidth="1"/>
    <col min="13056" max="13056" width="10.5" style="176" customWidth="1"/>
    <col min="13057" max="13057" width="15.1640625" style="176" customWidth="1"/>
    <col min="13058" max="13058" width="3.6640625" style="176" customWidth="1"/>
    <col min="13059" max="13059" width="13.1640625" style="176" customWidth="1"/>
    <col min="13060" max="13060" width="3.83203125" style="176" customWidth="1"/>
    <col min="13061" max="13061" width="15" style="176" customWidth="1"/>
    <col min="13062" max="13062" width="3.6640625" style="176" customWidth="1"/>
    <col min="13063" max="13064" width="13" style="176" customWidth="1"/>
    <col min="13065" max="13065" width="0" style="176" hidden="1" customWidth="1"/>
    <col min="13066" max="13067" width="9.33203125" style="176"/>
    <col min="13068" max="13068" width="15.83203125" style="176" customWidth="1"/>
    <col min="13069" max="13307" width="9.33203125" style="176"/>
    <col min="13308" max="13308" width="5" style="176" customWidth="1"/>
    <col min="13309" max="13309" width="9.33203125" style="176"/>
    <col min="13310" max="13310" width="21.6640625" style="176" customWidth="1"/>
    <col min="13311" max="13311" width="13.5" style="176" customWidth="1"/>
    <col min="13312" max="13312" width="10.5" style="176" customWidth="1"/>
    <col min="13313" max="13313" width="15.1640625" style="176" customWidth="1"/>
    <col min="13314" max="13314" width="3.6640625" style="176" customWidth="1"/>
    <col min="13315" max="13315" width="13.1640625" style="176" customWidth="1"/>
    <col min="13316" max="13316" width="3.83203125" style="176" customWidth="1"/>
    <col min="13317" max="13317" width="15" style="176" customWidth="1"/>
    <col min="13318" max="13318" width="3.6640625" style="176" customWidth="1"/>
    <col min="13319" max="13320" width="13" style="176" customWidth="1"/>
    <col min="13321" max="13321" width="0" style="176" hidden="1" customWidth="1"/>
    <col min="13322" max="13323" width="9.33203125" style="176"/>
    <col min="13324" max="13324" width="15.83203125" style="176" customWidth="1"/>
    <col min="13325" max="13563" width="9.33203125" style="176"/>
    <col min="13564" max="13564" width="5" style="176" customWidth="1"/>
    <col min="13565" max="13565" width="9.33203125" style="176"/>
    <col min="13566" max="13566" width="21.6640625" style="176" customWidth="1"/>
    <col min="13567" max="13567" width="13.5" style="176" customWidth="1"/>
    <col min="13568" max="13568" width="10.5" style="176" customWidth="1"/>
    <col min="13569" max="13569" width="15.1640625" style="176" customWidth="1"/>
    <col min="13570" max="13570" width="3.6640625" style="176" customWidth="1"/>
    <col min="13571" max="13571" width="13.1640625" style="176" customWidth="1"/>
    <col min="13572" max="13572" width="3.83203125" style="176" customWidth="1"/>
    <col min="13573" max="13573" width="15" style="176" customWidth="1"/>
    <col min="13574" max="13574" width="3.6640625" style="176" customWidth="1"/>
    <col min="13575" max="13576" width="13" style="176" customWidth="1"/>
    <col min="13577" max="13577" width="0" style="176" hidden="1" customWidth="1"/>
    <col min="13578" max="13579" width="9.33203125" style="176"/>
    <col min="13580" max="13580" width="15.83203125" style="176" customWidth="1"/>
    <col min="13581" max="13819" width="9.33203125" style="176"/>
    <col min="13820" max="13820" width="5" style="176" customWidth="1"/>
    <col min="13821" max="13821" width="9.33203125" style="176"/>
    <col min="13822" max="13822" width="21.6640625" style="176" customWidth="1"/>
    <col min="13823" max="13823" width="13.5" style="176" customWidth="1"/>
    <col min="13824" max="13824" width="10.5" style="176" customWidth="1"/>
    <col min="13825" max="13825" width="15.1640625" style="176" customWidth="1"/>
    <col min="13826" max="13826" width="3.6640625" style="176" customWidth="1"/>
    <col min="13827" max="13827" width="13.1640625" style="176" customWidth="1"/>
    <col min="13828" max="13828" width="3.83203125" style="176" customWidth="1"/>
    <col min="13829" max="13829" width="15" style="176" customWidth="1"/>
    <col min="13830" max="13830" width="3.6640625" style="176" customWidth="1"/>
    <col min="13831" max="13832" width="13" style="176" customWidth="1"/>
    <col min="13833" max="13833" width="0" style="176" hidden="1" customWidth="1"/>
    <col min="13834" max="13835" width="9.33203125" style="176"/>
    <col min="13836" max="13836" width="15.83203125" style="176" customWidth="1"/>
    <col min="13837" max="14075" width="9.33203125" style="176"/>
    <col min="14076" max="14076" width="5" style="176" customWidth="1"/>
    <col min="14077" max="14077" width="9.33203125" style="176"/>
    <col min="14078" max="14078" width="21.6640625" style="176" customWidth="1"/>
    <col min="14079" max="14079" width="13.5" style="176" customWidth="1"/>
    <col min="14080" max="14080" width="10.5" style="176" customWidth="1"/>
    <col min="14081" max="14081" width="15.1640625" style="176" customWidth="1"/>
    <col min="14082" max="14082" width="3.6640625" style="176" customWidth="1"/>
    <col min="14083" max="14083" width="13.1640625" style="176" customWidth="1"/>
    <col min="14084" max="14084" width="3.83203125" style="176" customWidth="1"/>
    <col min="14085" max="14085" width="15" style="176" customWidth="1"/>
    <col min="14086" max="14086" width="3.6640625" style="176" customWidth="1"/>
    <col min="14087" max="14088" width="13" style="176" customWidth="1"/>
    <col min="14089" max="14089" width="0" style="176" hidden="1" customWidth="1"/>
    <col min="14090" max="14091" width="9.33203125" style="176"/>
    <col min="14092" max="14092" width="15.83203125" style="176" customWidth="1"/>
    <col min="14093" max="14331" width="9.33203125" style="176"/>
    <col min="14332" max="14332" width="5" style="176" customWidth="1"/>
    <col min="14333" max="14333" width="9.33203125" style="176"/>
    <col min="14334" max="14334" width="21.6640625" style="176" customWidth="1"/>
    <col min="14335" max="14335" width="13.5" style="176" customWidth="1"/>
    <col min="14336" max="14336" width="10.5" style="176" customWidth="1"/>
    <col min="14337" max="14337" width="15.1640625" style="176" customWidth="1"/>
    <col min="14338" max="14338" width="3.6640625" style="176" customWidth="1"/>
    <col min="14339" max="14339" width="13.1640625" style="176" customWidth="1"/>
    <col min="14340" max="14340" width="3.83203125" style="176" customWidth="1"/>
    <col min="14341" max="14341" width="15" style="176" customWidth="1"/>
    <col min="14342" max="14342" width="3.6640625" style="176" customWidth="1"/>
    <col min="14343" max="14344" width="13" style="176" customWidth="1"/>
    <col min="14345" max="14345" width="0" style="176" hidden="1" customWidth="1"/>
    <col min="14346" max="14347" width="9.33203125" style="176"/>
    <col min="14348" max="14348" width="15.83203125" style="176" customWidth="1"/>
    <col min="14349" max="14587" width="9.33203125" style="176"/>
    <col min="14588" max="14588" width="5" style="176" customWidth="1"/>
    <col min="14589" max="14589" width="9.33203125" style="176"/>
    <col min="14590" max="14590" width="21.6640625" style="176" customWidth="1"/>
    <col min="14591" max="14591" width="13.5" style="176" customWidth="1"/>
    <col min="14592" max="14592" width="10.5" style="176" customWidth="1"/>
    <col min="14593" max="14593" width="15.1640625" style="176" customWidth="1"/>
    <col min="14594" max="14594" width="3.6640625" style="176" customWidth="1"/>
    <col min="14595" max="14595" width="13.1640625" style="176" customWidth="1"/>
    <col min="14596" max="14596" width="3.83203125" style="176" customWidth="1"/>
    <col min="14597" max="14597" width="15" style="176" customWidth="1"/>
    <col min="14598" max="14598" width="3.6640625" style="176" customWidth="1"/>
    <col min="14599" max="14600" width="13" style="176" customWidth="1"/>
    <col min="14601" max="14601" width="0" style="176" hidden="1" customWidth="1"/>
    <col min="14602" max="14603" width="9.33203125" style="176"/>
    <col min="14604" max="14604" width="15.83203125" style="176" customWidth="1"/>
    <col min="14605" max="14843" width="9.33203125" style="176"/>
    <col min="14844" max="14844" width="5" style="176" customWidth="1"/>
    <col min="14845" max="14845" width="9.33203125" style="176"/>
    <col min="14846" max="14846" width="21.6640625" style="176" customWidth="1"/>
    <col min="14847" max="14847" width="13.5" style="176" customWidth="1"/>
    <col min="14848" max="14848" width="10.5" style="176" customWidth="1"/>
    <col min="14849" max="14849" width="15.1640625" style="176" customWidth="1"/>
    <col min="14850" max="14850" width="3.6640625" style="176" customWidth="1"/>
    <col min="14851" max="14851" width="13.1640625" style="176" customWidth="1"/>
    <col min="14852" max="14852" width="3.83203125" style="176" customWidth="1"/>
    <col min="14853" max="14853" width="15" style="176" customWidth="1"/>
    <col min="14854" max="14854" width="3.6640625" style="176" customWidth="1"/>
    <col min="14855" max="14856" width="13" style="176" customWidth="1"/>
    <col min="14857" max="14857" width="0" style="176" hidden="1" customWidth="1"/>
    <col min="14858" max="14859" width="9.33203125" style="176"/>
    <col min="14860" max="14860" width="15.83203125" style="176" customWidth="1"/>
    <col min="14861" max="15099" width="9.33203125" style="176"/>
    <col min="15100" max="15100" width="5" style="176" customWidth="1"/>
    <col min="15101" max="15101" width="9.33203125" style="176"/>
    <col min="15102" max="15102" width="21.6640625" style="176" customWidth="1"/>
    <col min="15103" max="15103" width="13.5" style="176" customWidth="1"/>
    <col min="15104" max="15104" width="10.5" style="176" customWidth="1"/>
    <col min="15105" max="15105" width="15.1640625" style="176" customWidth="1"/>
    <col min="15106" max="15106" width="3.6640625" style="176" customWidth="1"/>
    <col min="15107" max="15107" width="13.1640625" style="176" customWidth="1"/>
    <col min="15108" max="15108" width="3.83203125" style="176" customWidth="1"/>
    <col min="15109" max="15109" width="15" style="176" customWidth="1"/>
    <col min="15110" max="15110" width="3.6640625" style="176" customWidth="1"/>
    <col min="15111" max="15112" width="13" style="176" customWidth="1"/>
    <col min="15113" max="15113" width="0" style="176" hidden="1" customWidth="1"/>
    <col min="15114" max="15115" width="9.33203125" style="176"/>
    <col min="15116" max="15116" width="15.83203125" style="176" customWidth="1"/>
    <col min="15117" max="15355" width="9.33203125" style="176"/>
    <col min="15356" max="15356" width="5" style="176" customWidth="1"/>
    <col min="15357" max="15357" width="9.33203125" style="176"/>
    <col min="15358" max="15358" width="21.6640625" style="176" customWidth="1"/>
    <col min="15359" max="15359" width="13.5" style="176" customWidth="1"/>
    <col min="15360" max="15360" width="10.5" style="176" customWidth="1"/>
    <col min="15361" max="15361" width="15.1640625" style="176" customWidth="1"/>
    <col min="15362" max="15362" width="3.6640625" style="176" customWidth="1"/>
    <col min="15363" max="15363" width="13.1640625" style="176" customWidth="1"/>
    <col min="15364" max="15364" width="3.83203125" style="176" customWidth="1"/>
    <col min="15365" max="15365" width="15" style="176" customWidth="1"/>
    <col min="15366" max="15366" width="3.6640625" style="176" customWidth="1"/>
    <col min="15367" max="15368" width="13" style="176" customWidth="1"/>
    <col min="15369" max="15369" width="0" style="176" hidden="1" customWidth="1"/>
    <col min="15370" max="15371" width="9.33203125" style="176"/>
    <col min="15372" max="15372" width="15.83203125" style="176" customWidth="1"/>
    <col min="15373" max="15611" width="9.33203125" style="176"/>
    <col min="15612" max="15612" width="5" style="176" customWidth="1"/>
    <col min="15613" max="15613" width="9.33203125" style="176"/>
    <col min="15614" max="15614" width="21.6640625" style="176" customWidth="1"/>
    <col min="15615" max="15615" width="13.5" style="176" customWidth="1"/>
    <col min="15616" max="15616" width="10.5" style="176" customWidth="1"/>
    <col min="15617" max="15617" width="15.1640625" style="176" customWidth="1"/>
    <col min="15618" max="15618" width="3.6640625" style="176" customWidth="1"/>
    <col min="15619" max="15619" width="13.1640625" style="176" customWidth="1"/>
    <col min="15620" max="15620" width="3.83203125" style="176" customWidth="1"/>
    <col min="15621" max="15621" width="15" style="176" customWidth="1"/>
    <col min="15622" max="15622" width="3.6640625" style="176" customWidth="1"/>
    <col min="15623" max="15624" width="13" style="176" customWidth="1"/>
    <col min="15625" max="15625" width="0" style="176" hidden="1" customWidth="1"/>
    <col min="15626" max="15627" width="9.33203125" style="176"/>
    <col min="15628" max="15628" width="15.83203125" style="176" customWidth="1"/>
    <col min="15629" max="15867" width="9.33203125" style="176"/>
    <col min="15868" max="15868" width="5" style="176" customWidth="1"/>
    <col min="15869" max="15869" width="9.33203125" style="176"/>
    <col min="15870" max="15870" width="21.6640625" style="176" customWidth="1"/>
    <col min="15871" max="15871" width="13.5" style="176" customWidth="1"/>
    <col min="15872" max="15872" width="10.5" style="176" customWidth="1"/>
    <col min="15873" max="15873" width="15.1640625" style="176" customWidth="1"/>
    <col min="15874" max="15874" width="3.6640625" style="176" customWidth="1"/>
    <col min="15875" max="15875" width="13.1640625" style="176" customWidth="1"/>
    <col min="15876" max="15876" width="3.83203125" style="176" customWidth="1"/>
    <col min="15877" max="15877" width="15" style="176" customWidth="1"/>
    <col min="15878" max="15878" width="3.6640625" style="176" customWidth="1"/>
    <col min="15879" max="15880" width="13" style="176" customWidth="1"/>
    <col min="15881" max="15881" width="0" style="176" hidden="1" customWidth="1"/>
    <col min="15882" max="15883" width="9.33203125" style="176"/>
    <col min="15884" max="15884" width="15.83203125" style="176" customWidth="1"/>
    <col min="15885" max="16123" width="9.33203125" style="176"/>
    <col min="16124" max="16124" width="5" style="176" customWidth="1"/>
    <col min="16125" max="16125" width="9.33203125" style="176"/>
    <col min="16126" max="16126" width="21.6640625" style="176" customWidth="1"/>
    <col min="16127" max="16127" width="13.5" style="176" customWidth="1"/>
    <col min="16128" max="16128" width="10.5" style="176" customWidth="1"/>
    <col min="16129" max="16129" width="15.1640625" style="176" customWidth="1"/>
    <col min="16130" max="16130" width="3.6640625" style="176" customWidth="1"/>
    <col min="16131" max="16131" width="13.1640625" style="176" customWidth="1"/>
    <col min="16132" max="16132" width="3.83203125" style="176" customWidth="1"/>
    <col min="16133" max="16133" width="15" style="176" customWidth="1"/>
    <col min="16134" max="16134" width="3.6640625" style="176" customWidth="1"/>
    <col min="16135" max="16136" width="13" style="176" customWidth="1"/>
    <col min="16137" max="16137" width="0" style="176" hidden="1" customWidth="1"/>
    <col min="16138" max="16139" width="9.33203125" style="176"/>
    <col min="16140" max="16140" width="15.83203125" style="176" customWidth="1"/>
    <col min="16141" max="16384" width="9.33203125" style="176"/>
  </cols>
  <sheetData>
    <row r="2" spans="1:18">
      <c r="A2" s="176"/>
      <c r="B2" s="9"/>
      <c r="C2" s="9"/>
      <c r="D2" s="623" t="s">
        <v>33</v>
      </c>
      <c r="E2" s="623"/>
      <c r="F2" s="623"/>
      <c r="G2" s="623"/>
      <c r="H2" s="623"/>
      <c r="I2" s="623"/>
      <c r="J2" s="623"/>
      <c r="K2" s="223"/>
      <c r="L2" s="68" t="s">
        <v>169</v>
      </c>
    </row>
    <row r="3" spans="1:18">
      <c r="A3" s="176"/>
      <c r="B3" s="9"/>
      <c r="C3" s="9"/>
      <c r="D3" s="624" t="s">
        <v>170</v>
      </c>
      <c r="E3" s="625"/>
      <c r="F3" s="625"/>
      <c r="G3" s="625"/>
      <c r="H3" s="625"/>
      <c r="I3" s="625"/>
      <c r="J3" s="625"/>
      <c r="K3" s="223"/>
      <c r="L3" s="68"/>
    </row>
    <row r="4" spans="1:18">
      <c r="A4" s="176"/>
      <c r="B4" s="9"/>
      <c r="C4" s="9"/>
      <c r="D4" s="624" t="s">
        <v>144</v>
      </c>
      <c r="E4" s="625"/>
      <c r="F4" s="625"/>
      <c r="G4" s="625"/>
      <c r="H4" s="625"/>
      <c r="I4" s="625"/>
      <c r="J4" s="625"/>
      <c r="K4" s="224"/>
      <c r="L4" s="69"/>
      <c r="M4" s="10" t="s">
        <v>36</v>
      </c>
    </row>
    <row r="5" spans="1:18">
      <c r="A5" s="176"/>
      <c r="B5" s="9"/>
      <c r="C5" s="9"/>
      <c r="D5" s="623" t="s">
        <v>35</v>
      </c>
      <c r="E5" s="623"/>
      <c r="F5" s="623"/>
      <c r="G5" s="623"/>
      <c r="H5" s="623"/>
      <c r="I5" s="623"/>
      <c r="J5" s="623"/>
      <c r="K5" s="223"/>
      <c r="L5" s="9" t="s">
        <v>126</v>
      </c>
      <c r="M5" s="10" t="s">
        <v>36</v>
      </c>
    </row>
    <row r="7" spans="1:18">
      <c r="A7" s="64"/>
      <c r="B7" s="11"/>
      <c r="C7" s="12"/>
      <c r="D7" s="12"/>
      <c r="E7" s="13"/>
      <c r="F7" s="60"/>
      <c r="G7" s="19"/>
      <c r="H7" s="60"/>
      <c r="I7" s="19"/>
      <c r="J7" s="19"/>
      <c r="K7" s="14" t="s">
        <v>37</v>
      </c>
      <c r="L7" s="12"/>
      <c r="M7" s="12"/>
    </row>
    <row r="8" spans="1:18">
      <c r="A8" s="61" t="s">
        <v>3</v>
      </c>
      <c r="B8" s="15"/>
      <c r="C8" s="16"/>
      <c r="D8" s="17" t="s">
        <v>32</v>
      </c>
      <c r="E8" s="18" t="s">
        <v>38</v>
      </c>
      <c r="F8" s="61" t="s">
        <v>39</v>
      </c>
      <c r="G8" s="19"/>
      <c r="H8" s="61" t="s">
        <v>40</v>
      </c>
      <c r="I8" s="19"/>
      <c r="J8" s="19"/>
      <c r="K8" s="20" t="s">
        <v>156</v>
      </c>
      <c r="L8" s="21" t="s">
        <v>41</v>
      </c>
      <c r="M8" s="17" t="s">
        <v>42</v>
      </c>
    </row>
    <row r="9" spans="1:18">
      <c r="A9" s="61" t="s">
        <v>6</v>
      </c>
      <c r="B9" s="22" t="s">
        <v>0</v>
      </c>
      <c r="C9" s="21"/>
      <c r="D9" s="17" t="s">
        <v>43</v>
      </c>
      <c r="E9" s="18" t="s">
        <v>44</v>
      </c>
      <c r="F9" s="61" t="s">
        <v>45</v>
      </c>
      <c r="G9" s="19"/>
      <c r="H9" s="61" t="s">
        <v>46</v>
      </c>
      <c r="I9" s="19"/>
      <c r="J9" s="19"/>
      <c r="K9" s="20" t="s">
        <v>47</v>
      </c>
      <c r="L9" s="21" t="s">
        <v>47</v>
      </c>
      <c r="M9" s="21" t="s">
        <v>47</v>
      </c>
    </row>
    <row r="10" spans="1:18" s="63" customFormat="1">
      <c r="A10" s="65"/>
      <c r="B10" s="626" t="s">
        <v>9</v>
      </c>
      <c r="C10" s="627"/>
      <c r="D10" s="17" t="s">
        <v>10</v>
      </c>
      <c r="E10" s="18" t="s">
        <v>11</v>
      </c>
      <c r="F10" s="62" t="s">
        <v>12</v>
      </c>
      <c r="G10" s="67"/>
      <c r="H10" s="62" t="s">
        <v>48</v>
      </c>
      <c r="I10" s="67"/>
      <c r="J10" s="67"/>
      <c r="K10" s="23" t="s">
        <v>49</v>
      </c>
      <c r="L10" s="17" t="s">
        <v>50</v>
      </c>
      <c r="M10" s="17" t="s">
        <v>51</v>
      </c>
    </row>
    <row r="11" spans="1:18">
      <c r="A11" s="66"/>
      <c r="B11" s="24" t="s">
        <v>52</v>
      </c>
      <c r="C11" s="25"/>
      <c r="D11" s="25"/>
      <c r="E11" s="25"/>
      <c r="F11" s="25"/>
      <c r="H11" s="26"/>
      <c r="K11" s="27"/>
      <c r="L11" s="25"/>
      <c r="M11" s="28"/>
    </row>
    <row r="12" spans="1:18">
      <c r="A12" s="61">
        <v>1</v>
      </c>
      <c r="B12" s="29" t="s">
        <v>54</v>
      </c>
      <c r="C12" s="19"/>
      <c r="D12" s="17" t="s">
        <v>55</v>
      </c>
      <c r="E12" s="58">
        <v>579</v>
      </c>
      <c r="F12" s="117">
        <v>411467</v>
      </c>
      <c r="G12" s="19"/>
      <c r="H12" s="118">
        <v>417001</v>
      </c>
      <c r="I12" s="19"/>
      <c r="J12" s="19"/>
      <c r="K12" s="89">
        <f>+'Ex-1'!F9</f>
        <v>4.1500000000000009E-3</v>
      </c>
      <c r="L12" s="31">
        <f>F12*K12</f>
        <v>1707.5880500000003</v>
      </c>
      <c r="M12" s="42" t="e">
        <f>L12/#REF!</f>
        <v>#REF!</v>
      </c>
      <c r="N12" s="209">
        <f>+L12/H12</f>
        <v>4.0949255517372871E-3</v>
      </c>
      <c r="R12" s="7"/>
    </row>
    <row r="13" spans="1:18">
      <c r="A13" s="61">
        <v>2</v>
      </c>
      <c r="B13" s="29" t="s">
        <v>109</v>
      </c>
      <c r="C13" s="30"/>
      <c r="D13" s="17" t="s">
        <v>56</v>
      </c>
      <c r="E13" s="58">
        <v>175146</v>
      </c>
      <c r="F13" s="117">
        <v>118476427</v>
      </c>
      <c r="G13" s="90"/>
      <c r="H13" s="117">
        <v>121197050</v>
      </c>
      <c r="I13" s="19"/>
      <c r="J13" s="90"/>
      <c r="K13" s="89">
        <f>+'Ex-1'!F10</f>
        <v>4.1500000000000009E-3</v>
      </c>
      <c r="L13" s="31">
        <f>F13*K13</f>
        <v>491677.17205000011</v>
      </c>
      <c r="M13" s="42" t="e">
        <f>L13/#REF!</f>
        <v>#REF!</v>
      </c>
      <c r="N13" s="209">
        <f t="shared" ref="N13:N24" si="0">+L13/H13</f>
        <v>4.0568410868911421E-3</v>
      </c>
      <c r="R13" s="7"/>
    </row>
    <row r="14" spans="1:18">
      <c r="A14" s="61">
        <v>3</v>
      </c>
      <c r="B14" s="29" t="s">
        <v>110</v>
      </c>
      <c r="C14" s="19"/>
      <c r="D14" s="17" t="s">
        <v>62</v>
      </c>
      <c r="E14" s="58">
        <v>24894</v>
      </c>
      <c r="F14" s="117">
        <v>80983340</v>
      </c>
      <c r="G14" s="19"/>
      <c r="H14" s="117">
        <v>77628809</v>
      </c>
      <c r="I14" s="19"/>
      <c r="J14" s="19"/>
      <c r="K14" s="89">
        <f>+'Ex-1'!F11</f>
        <v>4.4099999999999999E-3</v>
      </c>
      <c r="L14" s="31">
        <f>ROUND(F14*K14,0)</f>
        <v>357137</v>
      </c>
      <c r="M14" s="42" t="e">
        <f>ROUND(L14/#REF!,4)</f>
        <v>#REF!</v>
      </c>
      <c r="N14" s="209">
        <f t="shared" si="0"/>
        <v>4.6005729651217497E-3</v>
      </c>
      <c r="R14" s="7"/>
    </row>
    <row r="15" spans="1:18">
      <c r="A15" s="61">
        <v>4</v>
      </c>
      <c r="B15" s="29" t="s">
        <v>111</v>
      </c>
      <c r="C15" s="30"/>
      <c r="D15" s="17" t="s">
        <v>66</v>
      </c>
      <c r="E15" s="58">
        <v>387</v>
      </c>
      <c r="F15" s="117">
        <v>13450676</v>
      </c>
      <c r="G15" s="19"/>
      <c r="H15" s="117">
        <v>10594609</v>
      </c>
      <c r="I15" s="19"/>
      <c r="J15" s="19"/>
      <c r="K15" s="89">
        <f>+'Ex-1'!F15</f>
        <v>8.8000000000000057E-4</v>
      </c>
      <c r="L15" s="31">
        <f t="shared" ref="L15:L20" si="1">F15*K15</f>
        <v>11836.594880000008</v>
      </c>
      <c r="M15" s="42" t="e">
        <f>L15/#REF!</f>
        <v>#REF!</v>
      </c>
      <c r="N15" s="209">
        <f t="shared" si="0"/>
        <v>1.117228099687304E-3</v>
      </c>
      <c r="R15" s="7"/>
    </row>
    <row r="16" spans="1:18">
      <c r="A16" s="61">
        <v>5</v>
      </c>
      <c r="B16" s="29" t="s">
        <v>63</v>
      </c>
      <c r="C16" s="19"/>
      <c r="D16" s="17" t="s">
        <v>64</v>
      </c>
      <c r="E16" s="58">
        <v>81</v>
      </c>
      <c r="F16" s="117">
        <v>8608384</v>
      </c>
      <c r="G16" s="90"/>
      <c r="H16" s="117">
        <v>6795588</v>
      </c>
      <c r="I16" s="90"/>
      <c r="J16" s="90"/>
      <c r="K16" s="89">
        <f>+'Ex-1'!F14</f>
        <v>2.63E-3</v>
      </c>
      <c r="L16" s="31">
        <f t="shared" si="1"/>
        <v>22640.049920000001</v>
      </c>
      <c r="M16" s="42" t="e">
        <f>L16/#REF!</f>
        <v>#REF!</v>
      </c>
      <c r="N16" s="209">
        <f t="shared" si="0"/>
        <v>3.3315807138396265E-3</v>
      </c>
    </row>
    <row r="17" spans="1:18">
      <c r="A17" s="61">
        <v>6</v>
      </c>
      <c r="B17" s="29" t="s">
        <v>57</v>
      </c>
      <c r="C17" s="19"/>
      <c r="D17" s="17" t="s">
        <v>58</v>
      </c>
      <c r="E17" s="58">
        <v>1</v>
      </c>
      <c r="F17" s="117">
        <v>46067</v>
      </c>
      <c r="G17" s="90"/>
      <c r="H17" s="117">
        <v>40035</v>
      </c>
      <c r="I17" s="90"/>
      <c r="J17" s="90"/>
      <c r="K17" s="89">
        <f>+'Ex-1'!F12</f>
        <v>2.3600000000000001E-3</v>
      </c>
      <c r="L17" s="31">
        <f t="shared" si="1"/>
        <v>108.71812</v>
      </c>
      <c r="M17" s="42" t="e">
        <f>L17/#REF!</f>
        <v>#REF!</v>
      </c>
      <c r="N17" s="209">
        <f t="shared" si="0"/>
        <v>2.7155768702385413E-3</v>
      </c>
      <c r="R17" s="7"/>
    </row>
    <row r="18" spans="1:18">
      <c r="A18" s="61">
        <v>7</v>
      </c>
      <c r="B18" s="29" t="s">
        <v>59</v>
      </c>
      <c r="C18" s="19"/>
      <c r="D18" s="17" t="s">
        <v>60</v>
      </c>
      <c r="E18" s="58">
        <v>1</v>
      </c>
      <c r="F18" s="119">
        <v>555</v>
      </c>
      <c r="G18" s="19"/>
      <c r="H18" s="119">
        <v>583</v>
      </c>
      <c r="I18" s="19"/>
      <c r="J18" s="19"/>
      <c r="K18" s="89">
        <f>+'Ex-1'!F13</f>
        <v>4.4099999999999999E-3</v>
      </c>
      <c r="L18" s="31">
        <f t="shared" si="1"/>
        <v>2.4475500000000001</v>
      </c>
      <c r="M18" s="42" t="e">
        <f>L18/#REF!</f>
        <v>#REF!</v>
      </c>
      <c r="N18" s="209">
        <f t="shared" si="0"/>
        <v>4.1981989708404803E-3</v>
      </c>
      <c r="R18" s="7"/>
    </row>
    <row r="19" spans="1:18">
      <c r="A19" s="61">
        <v>8</v>
      </c>
      <c r="B19" s="29" t="s">
        <v>112</v>
      </c>
      <c r="C19" s="19"/>
      <c r="D19" s="17" t="s">
        <v>67</v>
      </c>
      <c r="E19" s="58">
        <v>10</v>
      </c>
      <c r="F19" s="117">
        <v>4238887</v>
      </c>
      <c r="G19" s="90"/>
      <c r="H19" s="117">
        <v>2870316</v>
      </c>
      <c r="I19" s="19"/>
      <c r="J19" s="90"/>
      <c r="K19" s="89">
        <f>+'Ex-1'!F16</f>
        <v>6.0999999999999997E-4</v>
      </c>
      <c r="L19" s="31">
        <f t="shared" si="1"/>
        <v>2585.7210700000001</v>
      </c>
      <c r="M19" s="42" t="e">
        <f>L19/#REF!</f>
        <v>#REF!</v>
      </c>
      <c r="N19" s="209">
        <f t="shared" si="0"/>
        <v>9.0084892046729352E-4</v>
      </c>
      <c r="R19" s="7"/>
    </row>
    <row r="20" spans="1:18">
      <c r="A20" s="61">
        <v>9</v>
      </c>
      <c r="B20" s="29" t="s">
        <v>68</v>
      </c>
      <c r="C20" s="19"/>
      <c r="D20" s="17" t="s">
        <v>69</v>
      </c>
      <c r="E20" s="58">
        <v>3</v>
      </c>
      <c r="F20" s="117">
        <v>412711</v>
      </c>
      <c r="G20" s="19"/>
      <c r="H20" s="117">
        <v>307005</v>
      </c>
      <c r="I20" s="19"/>
      <c r="J20" s="19"/>
      <c r="K20" s="89">
        <f>+'Ex-1'!F17</f>
        <v>1.31E-3</v>
      </c>
      <c r="L20" s="31">
        <f t="shared" si="1"/>
        <v>540.65140999999994</v>
      </c>
      <c r="M20" s="42" t="e">
        <f>L20/#REF!</f>
        <v>#REF!</v>
      </c>
      <c r="N20" s="209">
        <f t="shared" si="0"/>
        <v>1.7610508297910455E-3</v>
      </c>
      <c r="R20" s="7"/>
    </row>
    <row r="21" spans="1:18" s="55" customFormat="1">
      <c r="A21" s="62">
        <v>10</v>
      </c>
      <c r="B21" s="24" t="s">
        <v>70</v>
      </c>
      <c r="C21" s="57"/>
      <c r="D21" s="53"/>
      <c r="E21" s="210">
        <f>SUM(E12:E20)</f>
        <v>201102</v>
      </c>
      <c r="F21" s="211">
        <f>SUM(F12:F20)</f>
        <v>226628514</v>
      </c>
      <c r="G21" s="59"/>
      <c r="H21" s="211">
        <f>SUM(H12:H20)</f>
        <v>219850996</v>
      </c>
      <c r="I21" s="59"/>
      <c r="J21" s="59"/>
      <c r="K21" s="91"/>
      <c r="L21" s="54">
        <f>SUM(L12:L20)</f>
        <v>888235.94305000012</v>
      </c>
      <c r="M21" s="70" t="e">
        <f>L21/#REF!</f>
        <v>#REF!</v>
      </c>
      <c r="N21" s="209">
        <f t="shared" si="0"/>
        <v>4.040172476862466E-3</v>
      </c>
    </row>
    <row r="22" spans="1:18" s="15" customFormat="1">
      <c r="A22" s="225"/>
      <c r="B22" s="226" t="s">
        <v>71</v>
      </c>
      <c r="C22" s="227"/>
      <c r="D22" s="227"/>
      <c r="E22" s="228"/>
      <c r="F22" s="228"/>
      <c r="G22" s="229"/>
      <c r="H22" s="5"/>
      <c r="J22" s="229"/>
      <c r="K22" s="230"/>
      <c r="L22" s="231"/>
      <c r="M22" s="232"/>
      <c r="N22" s="209"/>
    </row>
    <row r="23" spans="1:18">
      <c r="A23" s="233">
        <v>11</v>
      </c>
      <c r="B23" s="234" t="s">
        <v>157</v>
      </c>
      <c r="C23" s="11"/>
      <c r="D23" s="60" t="s">
        <v>30</v>
      </c>
      <c r="E23" s="235"/>
      <c r="F23" s="118">
        <v>0</v>
      </c>
      <c r="H23" s="235">
        <v>0</v>
      </c>
      <c r="K23" s="236">
        <v>0</v>
      </c>
      <c r="L23" s="237">
        <f>+F23*K23</f>
        <v>0</v>
      </c>
      <c r="M23" s="42"/>
      <c r="N23" s="209"/>
    </row>
    <row r="24" spans="1:18">
      <c r="A24" s="233"/>
      <c r="B24" s="238" t="s">
        <v>158</v>
      </c>
      <c r="C24" s="15"/>
      <c r="D24" s="61" t="s">
        <v>72</v>
      </c>
      <c r="E24" s="117">
        <v>181</v>
      </c>
      <c r="F24" s="117">
        <v>448282732</v>
      </c>
      <c r="G24" s="229"/>
      <c r="H24" s="117">
        <v>14405303</v>
      </c>
      <c r="I24" s="29"/>
      <c r="J24" s="229"/>
      <c r="K24" s="239">
        <f>+'Ex-1'!F20</f>
        <v>3.6999999999999999E-4</v>
      </c>
      <c r="L24" s="240">
        <f>F24*K24</f>
        <v>165864.61084000001</v>
      </c>
      <c r="M24" s="42"/>
      <c r="N24" s="209">
        <f t="shared" si="0"/>
        <v>1.1514135512456768E-2</v>
      </c>
    </row>
    <row r="25" spans="1:18">
      <c r="A25" s="233">
        <v>12</v>
      </c>
      <c r="B25" s="238" t="s">
        <v>159</v>
      </c>
      <c r="C25" s="15"/>
      <c r="D25" s="62" t="s">
        <v>154</v>
      </c>
      <c r="E25" s="241">
        <v>13</v>
      </c>
      <c r="F25" s="241">
        <v>307148738</v>
      </c>
      <c r="H25" s="117">
        <v>5894906</v>
      </c>
      <c r="K25" s="239">
        <v>0</v>
      </c>
      <c r="L25" s="240">
        <v>0</v>
      </c>
      <c r="M25" s="242"/>
    </row>
    <row r="26" spans="1:18" s="55" customFormat="1">
      <c r="A26" s="243">
        <v>13</v>
      </c>
      <c r="B26" s="244" t="s">
        <v>160</v>
      </c>
      <c r="C26" s="57"/>
      <c r="D26" s="53"/>
      <c r="E26" s="245">
        <f>SUM(E23:E25)</f>
        <v>194</v>
      </c>
      <c r="F26" s="245">
        <f>SUM(F23:F25)</f>
        <v>755431470</v>
      </c>
      <c r="G26" s="246"/>
      <c r="H26" s="245">
        <f>SUM(H23:H25)</f>
        <v>20300209</v>
      </c>
      <c r="I26" s="246"/>
      <c r="J26" s="246"/>
      <c r="K26" s="247"/>
      <c r="L26" s="248">
        <f>+L24+L23</f>
        <v>165864.61084000001</v>
      </c>
      <c r="M26" s="71"/>
    </row>
    <row r="27" spans="1:18" s="246" customFormat="1">
      <c r="A27" s="249"/>
      <c r="B27" s="250"/>
      <c r="E27" s="251"/>
      <c r="F27" s="56"/>
      <c r="H27" s="251"/>
      <c r="K27" s="252"/>
      <c r="L27" s="253"/>
      <c r="M27" s="254"/>
    </row>
    <row r="28" spans="1:18" s="55" customFormat="1">
      <c r="A28" s="66">
        <v>14</v>
      </c>
      <c r="B28" s="244" t="s">
        <v>161</v>
      </c>
      <c r="C28" s="57"/>
      <c r="D28" s="57"/>
      <c r="E28" s="245">
        <f>+E26+E21</f>
        <v>201296</v>
      </c>
      <c r="F28" s="245">
        <f>+F26+F21</f>
        <v>982059984</v>
      </c>
      <c r="G28" s="56"/>
      <c r="H28" s="245">
        <f>+H26+H21</f>
        <v>240151205</v>
      </c>
      <c r="I28" s="56"/>
      <c r="J28" s="246"/>
      <c r="K28" s="247"/>
      <c r="L28" s="248">
        <f>+L24+L21</f>
        <v>1054100.5538900001</v>
      </c>
      <c r="N28" s="208">
        <f>+L28/H28</f>
        <v>4.389320277989028E-3</v>
      </c>
    </row>
    <row r="30" spans="1:18">
      <c r="B30" s="88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0" customWidth="1"/>
    <col min="2" max="2" width="28.6640625" style="37" bestFit="1" customWidth="1"/>
    <col min="3" max="3" width="18.83203125" style="37" customWidth="1"/>
    <col min="4" max="4" width="1.83203125" style="37" customWidth="1"/>
    <col min="5" max="5" width="20" style="37" customWidth="1"/>
    <col min="6" max="6" width="1.83203125" style="37" customWidth="1"/>
    <col min="7" max="7" width="15.5" style="37" customWidth="1"/>
    <col min="8" max="8" width="14.6640625" style="37" customWidth="1"/>
    <col min="9" max="9" width="12.33203125" style="37" customWidth="1"/>
    <col min="10" max="10" width="5.83203125" style="37" customWidth="1"/>
    <col min="11" max="16384" width="12" style="37"/>
  </cols>
  <sheetData>
    <row r="1" spans="1:17" ht="15" customHeight="1"/>
    <row r="2" spans="1:17" ht="15" customHeight="1">
      <c r="A2" s="37"/>
      <c r="B2" s="103"/>
      <c r="C2" s="622" t="s">
        <v>33</v>
      </c>
      <c r="D2" s="622"/>
      <c r="E2" s="622"/>
      <c r="F2" s="622"/>
      <c r="G2" s="622"/>
      <c r="H2" s="103"/>
      <c r="I2" s="68" t="s">
        <v>169</v>
      </c>
    </row>
    <row r="3" spans="1:17" ht="15" customHeight="1">
      <c r="A3" s="37"/>
      <c r="B3" s="103"/>
      <c r="C3" s="622" t="s">
        <v>74</v>
      </c>
      <c r="D3" s="622"/>
      <c r="E3" s="622"/>
      <c r="F3" s="622"/>
      <c r="G3" s="622"/>
      <c r="H3" s="103"/>
      <c r="I3" s="104"/>
    </row>
    <row r="4" spans="1:17" ht="15" customHeight="1">
      <c r="A4" s="37"/>
      <c r="B4" s="103"/>
      <c r="C4" s="628" t="s">
        <v>171</v>
      </c>
      <c r="D4" s="628"/>
      <c r="E4" s="628"/>
      <c r="F4" s="628"/>
      <c r="G4" s="628"/>
      <c r="H4" s="103"/>
      <c r="I4" s="95"/>
    </row>
    <row r="5" spans="1:17" ht="15" customHeight="1">
      <c r="A5" s="37"/>
      <c r="B5" s="103"/>
      <c r="C5" s="622" t="s">
        <v>35</v>
      </c>
      <c r="D5" s="622"/>
      <c r="E5" s="622"/>
      <c r="F5" s="622"/>
      <c r="G5" s="622"/>
      <c r="H5" s="103"/>
      <c r="I5" s="105"/>
    </row>
    <row r="8" spans="1:17">
      <c r="G8" s="78" t="s">
        <v>37</v>
      </c>
    </row>
    <row r="9" spans="1:17">
      <c r="A9" s="78" t="s">
        <v>3</v>
      </c>
      <c r="E9" s="106" t="s">
        <v>75</v>
      </c>
      <c r="G9" s="78" t="s">
        <v>32</v>
      </c>
      <c r="H9" s="78" t="s">
        <v>41</v>
      </c>
      <c r="I9" s="78" t="s">
        <v>42</v>
      </c>
    </row>
    <row r="10" spans="1:17" s="50" customFormat="1">
      <c r="A10" s="78" t="s">
        <v>6</v>
      </c>
      <c r="B10" s="78" t="s">
        <v>0</v>
      </c>
      <c r="C10" s="78" t="s">
        <v>76</v>
      </c>
      <c r="E10" s="48" t="s">
        <v>140</v>
      </c>
      <c r="G10" s="78" t="s">
        <v>47</v>
      </c>
      <c r="H10" s="78" t="s">
        <v>47</v>
      </c>
      <c r="I10" s="78" t="s">
        <v>47</v>
      </c>
    </row>
    <row r="11" spans="1:17" s="50" customFormat="1">
      <c r="A11" s="107"/>
      <c r="B11" s="108" t="s">
        <v>9</v>
      </c>
      <c r="C11" s="108" t="s">
        <v>10</v>
      </c>
      <c r="D11" s="107"/>
      <c r="E11" s="108" t="s">
        <v>11</v>
      </c>
      <c r="F11" s="107"/>
      <c r="G11" s="108" t="s">
        <v>12</v>
      </c>
      <c r="H11" s="108" t="s">
        <v>13</v>
      </c>
      <c r="I11" s="108" t="s">
        <v>87</v>
      </c>
    </row>
    <row r="12" spans="1:17" ht="8.25" customHeight="1"/>
    <row r="13" spans="1:17">
      <c r="A13" s="78">
        <v>1</v>
      </c>
      <c r="B13" s="45" t="s">
        <v>94</v>
      </c>
      <c r="C13" s="72">
        <f>+'Ex-2'!F13</f>
        <v>118476427</v>
      </c>
      <c r="D13" s="4"/>
      <c r="E13" s="72">
        <f>+'Ex-2'!H13</f>
        <v>121197050</v>
      </c>
      <c r="G13" s="109">
        <f>+'Ex-2'!K13</f>
        <v>4.1500000000000009E-3</v>
      </c>
      <c r="H13" s="44">
        <f>+G13*C13</f>
        <v>491677.17205000011</v>
      </c>
      <c r="I13" s="110">
        <f>+H13/E13</f>
        <v>4.0568410868911421E-3</v>
      </c>
      <c r="Q13" s="176"/>
    </row>
    <row r="14" spans="1:17">
      <c r="C14" s="72"/>
      <c r="D14" s="4"/>
      <c r="E14" s="72"/>
      <c r="G14" s="109"/>
      <c r="H14" s="44"/>
      <c r="I14" s="110"/>
      <c r="Q14" s="176"/>
    </row>
    <row r="15" spans="1:17">
      <c r="A15" s="78">
        <v>2</v>
      </c>
      <c r="B15" s="45" t="s">
        <v>95</v>
      </c>
      <c r="C15" s="72">
        <f>+'Ex-2'!F14</f>
        <v>80983340</v>
      </c>
      <c r="D15" s="4"/>
      <c r="E15" s="72">
        <f>+'Ex-2'!H14</f>
        <v>77628809</v>
      </c>
      <c r="G15" s="109">
        <f>+'Ex-2'!K14</f>
        <v>4.4099999999999999E-3</v>
      </c>
      <c r="H15" s="44">
        <f>+G15*C15</f>
        <v>357136.5294</v>
      </c>
      <c r="I15" s="110">
        <f>+H15/E15</f>
        <v>4.6005669029393452E-3</v>
      </c>
      <c r="Q15" s="176"/>
    </row>
    <row r="16" spans="1:17">
      <c r="C16" s="72"/>
      <c r="D16" s="4"/>
      <c r="E16" s="72"/>
      <c r="G16" s="109"/>
      <c r="H16" s="44"/>
      <c r="I16" s="110"/>
      <c r="Q16" s="176"/>
    </row>
    <row r="17" spans="1:17">
      <c r="A17" s="78">
        <v>3</v>
      </c>
      <c r="B17" s="45" t="s">
        <v>96</v>
      </c>
      <c r="C17" s="72">
        <f>+'Ex-2'!F15</f>
        <v>13450676</v>
      </c>
      <c r="D17" s="4"/>
      <c r="E17" s="72">
        <f>+'Ex-2'!H15</f>
        <v>10594609</v>
      </c>
      <c r="G17" s="109">
        <f>+'Ex-2'!K15</f>
        <v>8.8000000000000057E-4</v>
      </c>
      <c r="H17" s="44">
        <f>+G17*C17</f>
        <v>11836.594880000008</v>
      </c>
      <c r="I17" s="110">
        <f>+H17/E17</f>
        <v>1.117228099687304E-3</v>
      </c>
      <c r="Q17" s="176"/>
    </row>
    <row r="18" spans="1:17">
      <c r="C18" s="72"/>
      <c r="D18" s="4"/>
      <c r="E18" s="72"/>
      <c r="G18" s="109"/>
      <c r="H18" s="44"/>
      <c r="I18" s="110"/>
      <c r="Q18" s="176"/>
    </row>
    <row r="19" spans="1:17">
      <c r="A19" s="50">
        <v>4</v>
      </c>
      <c r="B19" s="37" t="s">
        <v>97</v>
      </c>
      <c r="C19" s="72">
        <f>+'Ex-2'!F16</f>
        <v>8608384</v>
      </c>
      <c r="D19" s="4"/>
      <c r="E19" s="72">
        <f>+'Ex-2'!H16</f>
        <v>6795588</v>
      </c>
      <c r="G19" s="109">
        <f>+'Ex-2'!K16</f>
        <v>2.63E-3</v>
      </c>
      <c r="H19" s="44">
        <f>+G19*C19</f>
        <v>22640.049920000001</v>
      </c>
      <c r="I19" s="110">
        <f>+H19/E19</f>
        <v>3.3315807138396265E-3</v>
      </c>
      <c r="Q19" s="176"/>
    </row>
    <row r="20" spans="1:17">
      <c r="C20" s="72"/>
      <c r="D20" s="4"/>
      <c r="E20" s="72"/>
      <c r="G20" s="109"/>
      <c r="H20" s="44"/>
      <c r="I20" s="110"/>
      <c r="Q20" s="176"/>
    </row>
    <row r="21" spans="1:17">
      <c r="A21" s="78">
        <v>5</v>
      </c>
      <c r="B21" s="45" t="s">
        <v>98</v>
      </c>
      <c r="C21" s="72">
        <f>+'Ex-2'!F19</f>
        <v>4238887</v>
      </c>
      <c r="D21" s="4"/>
      <c r="E21" s="72">
        <f>+'Ex-2'!H19</f>
        <v>2870316</v>
      </c>
      <c r="G21" s="109">
        <f>+'Ex-2'!K19</f>
        <v>6.0999999999999997E-4</v>
      </c>
      <c r="H21" s="44">
        <f>+G21*C21</f>
        <v>2585.7210700000001</v>
      </c>
      <c r="I21" s="110">
        <f>+H21/E21</f>
        <v>9.0084892046729352E-4</v>
      </c>
      <c r="Q21" s="176"/>
    </row>
    <row r="22" spans="1:17">
      <c r="C22" s="4"/>
      <c r="D22" s="4"/>
      <c r="E22" s="4"/>
      <c r="G22" s="35"/>
      <c r="I22" s="110"/>
    </row>
    <row r="23" spans="1:17">
      <c r="A23" s="50">
        <v>6</v>
      </c>
      <c r="B23" s="45" t="s">
        <v>113</v>
      </c>
      <c r="C23" s="72">
        <f>+'Ex-2'!F20</f>
        <v>412711</v>
      </c>
      <c r="D23" s="4"/>
      <c r="E23" s="72">
        <f>+'Ex-2'!H20</f>
        <v>307005</v>
      </c>
      <c r="G23" s="109">
        <f>+'Ex-2'!K20</f>
        <v>1.31E-3</v>
      </c>
      <c r="H23" s="44">
        <f>+G23*C23</f>
        <v>540.65140999999994</v>
      </c>
      <c r="I23" s="110">
        <f>+H23/E23</f>
        <v>1.7610508297910455E-3</v>
      </c>
    </row>
    <row r="24" spans="1:17">
      <c r="C24" s="4"/>
      <c r="D24" s="4"/>
      <c r="E24" s="4"/>
      <c r="G24" s="35"/>
      <c r="I24" s="110"/>
    </row>
    <row r="25" spans="1:17">
      <c r="A25" s="78">
        <v>7</v>
      </c>
      <c r="B25" s="37" t="s">
        <v>162</v>
      </c>
      <c r="C25" s="4">
        <f>+'Ex-2'!F24</f>
        <v>448282732</v>
      </c>
      <c r="D25" s="4"/>
      <c r="E25" s="4">
        <f>+'Ex-2'!H24</f>
        <v>14405303</v>
      </c>
      <c r="G25" s="109">
        <f>+'Ex-2'!K24</f>
        <v>3.6999999999999999E-4</v>
      </c>
      <c r="H25" s="44">
        <f>+G25*C25</f>
        <v>165864.61084000001</v>
      </c>
      <c r="I25" s="110">
        <f>+H25/E25</f>
        <v>1.1514135512456768E-2</v>
      </c>
    </row>
    <row r="26" spans="1:17">
      <c r="C26" s="4"/>
      <c r="D26" s="4"/>
      <c r="E26" s="4"/>
      <c r="G26" s="35"/>
      <c r="I26" s="110"/>
    </row>
    <row r="27" spans="1:17">
      <c r="A27" s="78">
        <v>8</v>
      </c>
      <c r="B27" s="46" t="s">
        <v>163</v>
      </c>
      <c r="C27" s="72">
        <v>0</v>
      </c>
      <c r="D27" s="255"/>
      <c r="E27" s="72">
        <v>0</v>
      </c>
      <c r="G27" s="109">
        <v>0</v>
      </c>
      <c r="H27" s="256">
        <f>+G27*C27</f>
        <v>0</v>
      </c>
      <c r="I27" s="257">
        <v>0</v>
      </c>
    </row>
    <row r="28" spans="1:17" ht="22.5" customHeight="1">
      <c r="A28" s="258"/>
      <c r="B28" s="43"/>
      <c r="C28" s="43"/>
      <c r="D28" s="43"/>
      <c r="E28" s="43"/>
      <c r="F28" s="43"/>
      <c r="G28" s="43"/>
      <c r="H28" s="43"/>
      <c r="I28" s="259"/>
      <c r="J28" s="43"/>
      <c r="K28" s="43"/>
      <c r="L28" s="43"/>
      <c r="M28" s="43"/>
    </row>
    <row r="29" spans="1:17" ht="32.25" customHeight="1">
      <c r="A29" s="39"/>
      <c r="B29" s="629" t="s">
        <v>164</v>
      </c>
      <c r="C29" s="629"/>
      <c r="D29" s="629"/>
      <c r="E29" s="629"/>
      <c r="F29" s="629"/>
      <c r="G29" s="629"/>
      <c r="H29" s="629"/>
      <c r="I29" s="629"/>
      <c r="J29" s="43"/>
      <c r="K29" s="43"/>
      <c r="L29" s="43"/>
      <c r="M29" s="43"/>
    </row>
    <row r="30" spans="1:17">
      <c r="A30" s="25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64" spans="1:7">
      <c r="A64" s="37"/>
      <c r="G64" s="47"/>
    </row>
    <row r="65" spans="1:9">
      <c r="A65" s="37"/>
      <c r="H65" s="47"/>
    </row>
    <row r="66" spans="1:9">
      <c r="A66" s="37"/>
      <c r="E66" s="4"/>
      <c r="G66" s="4"/>
      <c r="H66" s="4"/>
      <c r="I66" s="4"/>
    </row>
    <row r="67" spans="1:9">
      <c r="A67" s="37"/>
      <c r="E67" s="4"/>
      <c r="G67" s="4"/>
      <c r="H67" s="4"/>
      <c r="I67" s="4"/>
    </row>
    <row r="68" spans="1:9">
      <c r="A68" s="37"/>
      <c r="E68" s="4"/>
      <c r="G68" s="4"/>
      <c r="H68" s="4"/>
      <c r="I68" s="4"/>
    </row>
    <row r="69" spans="1:9">
      <c r="A69" s="37"/>
      <c r="E69" s="4"/>
      <c r="G69" s="4"/>
      <c r="H69" s="4"/>
      <c r="I69" s="4"/>
    </row>
    <row r="70" spans="1:9">
      <c r="A70" s="37"/>
      <c r="E70" s="4"/>
      <c r="G70" s="4"/>
      <c r="H70" s="4"/>
      <c r="I70" s="4"/>
    </row>
    <row r="71" spans="1:9">
      <c r="A71" s="37"/>
      <c r="E71" s="4"/>
      <c r="G71" s="4"/>
      <c r="H71" s="4"/>
      <c r="I71" s="4"/>
    </row>
    <row r="72" spans="1:9">
      <c r="A72" s="37"/>
      <c r="E72" s="4"/>
      <c r="G72" s="4"/>
      <c r="H72" s="4"/>
      <c r="I72" s="4"/>
    </row>
    <row r="76" spans="1:9">
      <c r="A76" s="37"/>
      <c r="B76" s="47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0CEC671827A941B0A33E1E4BAE7CA9" ma:contentTypeVersion="20" ma:contentTypeDescription="" ma:contentTypeScope="" ma:versionID="15883dc24ffeeb0218cf31cc37968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220702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4A3D9D-AD4D-46A9-9949-4293619A0C24}"/>
</file>

<file path=customXml/itemProps2.xml><?xml version="1.0" encoding="utf-8"?>
<ds:datastoreItem xmlns:ds="http://schemas.openxmlformats.org/officeDocument/2006/customXml" ds:itemID="{6D1CBDB0-4E7E-4B38-8F13-4C94683455A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7B25A9-F821-4905-8162-52B8685976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CACF0E-A1A0-4CB2-B31C-53ED620F2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Table of Content</vt:lpstr>
      <vt:lpstr>DMA Summary of Def. Accts.</vt:lpstr>
      <vt:lpstr>DMA Proposed Rate 594</vt:lpstr>
      <vt:lpstr>DMA Amount of Change</vt:lpstr>
      <vt:lpstr>Effects of DMA Avg. Bill</vt:lpstr>
      <vt:lpstr>Pipeline Workpapers---&gt;</vt:lpstr>
      <vt:lpstr>Ex-1</vt:lpstr>
      <vt:lpstr>Ex-2</vt:lpstr>
      <vt:lpstr>Ex-3</vt:lpstr>
      <vt:lpstr>Ex-4</vt:lpstr>
      <vt:lpstr>Earnings Test and 3% Test</vt:lpstr>
      <vt:lpstr>Workpapers---&gt;</vt:lpstr>
      <vt:lpstr>Balances at 12-31-2021</vt:lpstr>
      <vt:lpstr>Int calc thru 10-31-2022</vt:lpstr>
      <vt:lpstr>Amort Calc thru 10-31-2022</vt:lpstr>
      <vt:lpstr>EstimatedBalances</vt:lpstr>
      <vt:lpstr>Int during Amort</vt:lpstr>
      <vt:lpstr>Test Period Volumes</vt:lpstr>
      <vt:lpstr>Deferral RA 20477</vt:lpstr>
      <vt:lpstr>Amort 1862.20480</vt:lpstr>
      <vt:lpstr>Bills-Therms-Revs</vt:lpstr>
      <vt:lpstr> Conversion Factor</vt:lpstr>
      <vt:lpstr>'Balances at 12-31-2021'!BalancesJuly</vt:lpstr>
      <vt:lpstr>'Amort 1862.20480'!Print_Area</vt:lpstr>
      <vt:lpstr>'Bills-Therms-Revs'!Print_Area</vt:lpstr>
      <vt:lpstr>'Deferral RA 20477'!Print_Area</vt:lpstr>
      <vt:lpstr>'DMA Amount of Change'!Print_Area</vt:lpstr>
      <vt:lpstr>'DMA Proposed Rate 594'!Print_Area</vt:lpstr>
      <vt:lpstr>'Earnings Test and 3% Test'!Print_Area</vt:lpstr>
      <vt:lpstr>'Effects of DMA Avg. Bill'!Print_Area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2022-09-07T15:04:44Z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0x0101006E56B4D1795A2E4DB2F0B01679ED314A006E0CEC671827A941B0A33E1E4BAE7CA9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