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Program Mgmt\WA\DSM Reports\2018-2019 Conservation Report\Commerce Report\"/>
    </mc:Choice>
  </mc:AlternateContent>
  <bookViews>
    <workbookView xWindow="0" yWindow="0" windowWidth="20490" windowHeight="7455" tabRatio="719" activeTab="1"/>
  </bookViews>
  <sheets>
    <sheet name="Background" sheetId="21" r:id="rId1"/>
    <sheet name="Conservation Report" sheetId="18" r:id="rId2"/>
    <sheet name="Data" sheetId="19" r:id="rId3"/>
  </sheets>
  <definedNames>
    <definedName name="CON_2018_Agriculture_Expend">'Conservation Report'!$D$19</definedName>
    <definedName name="CON_2018_Agriculture_MWH">'Conservation Report'!$C$19</definedName>
    <definedName name="CON_2018_Commercial_Expend">'Conservation Report'!$D$17</definedName>
    <definedName name="CON_2018_Commercial_MWH">'Conservation Report'!$C$17</definedName>
    <definedName name="CON_2018_Distribution_Expend">'Conservation Report'!$D$20</definedName>
    <definedName name="CON_2018_Distribution_MWH">'Conservation Report'!$C$20</definedName>
    <definedName name="CON_2018_Expenditures">'Conservation Report'!$D$28</definedName>
    <definedName name="CON_2018_Industrial_Expend">'Conservation Report'!$D$18</definedName>
    <definedName name="CON_2018_Industrial_MWH">'Conservation Report'!$C$18</definedName>
    <definedName name="CON_2018_MWH">'Conservation Report'!$C$28</definedName>
    <definedName name="CON_2018_NEEA_Expend">'Conservation Report'!$D$22</definedName>
    <definedName name="CON_2018_NEEA_MWH">'Conservation Report'!$C$22</definedName>
    <definedName name="CON_2018_OtherSector1_Expend">'Conservation Report'!$D$23</definedName>
    <definedName name="CON_2018_OtherSector1_MWH">'Conservation Report'!$C$23</definedName>
    <definedName name="CON_2018_OtherSector2_Expend">'Conservation Report'!$D$24</definedName>
    <definedName name="CON_2018_OtherSector2_MWH">'Conservation Report'!$C$24</definedName>
    <definedName name="CON_2018_Production_Expend">'Conservation Report'!$D$21</definedName>
    <definedName name="CON_2018_Production_MWH">'Conservation Report'!$C$21</definedName>
    <definedName name="CON_2018_Program1_Expend">'Conservation Report'!$D$26</definedName>
    <definedName name="CON_2018_Program2_Expend">'Conservation Report'!$D$27</definedName>
    <definedName name="CON_2018_Residential_Expend">'Conservation Report'!$D$16</definedName>
    <definedName name="CON_2018_Residential_MWH">'Conservation Report'!$C$16</definedName>
    <definedName name="CON_2019_Agriculture_Expend">'Conservation Report'!$G$19</definedName>
    <definedName name="CON_2019_Agriculture_MWH">'Conservation Report'!$F$19</definedName>
    <definedName name="CON_2019_Commercial_Expend">'Conservation Report'!$G$17</definedName>
    <definedName name="CON_2019_Commercial_MWH">'Conservation Report'!$F$17</definedName>
    <definedName name="CON_2019_Distribution_Expend">'Conservation Report'!$G$20</definedName>
    <definedName name="CON_2019_Distribution_MWH">'Conservation Report'!$F$20</definedName>
    <definedName name="CON_2019_Expenditures">'Conservation Report'!$G$28</definedName>
    <definedName name="CON_2019_Industrial_Expend">'Conservation Report'!$G$18</definedName>
    <definedName name="CON_2019_Industrial_MWH">'Conservation Report'!$F$18</definedName>
    <definedName name="CON_2019_MWH">'Conservation Report'!$F$28</definedName>
    <definedName name="CON_2019_NEEA_Expend">'Conservation Report'!$G$22</definedName>
    <definedName name="CON_2019_NEEA_MWH">'Conservation Report'!$F$22</definedName>
    <definedName name="CON_2019_OtherSector1_Expend">'Conservation Report'!$G$23</definedName>
    <definedName name="CON_2019_OtherSector1_MWH">'Conservation Report'!$F$23</definedName>
    <definedName name="CON_2019_OtherSector2_Expend">'Conservation Report'!$G$24</definedName>
    <definedName name="CON_2019_OtherSector2_MWH">'Conservation Report'!$F$24</definedName>
    <definedName name="CON_2019_Production_Expend">'Conservation Report'!$G$21</definedName>
    <definedName name="CON_2019_Production_MWH">'Conservation Report'!$F$21</definedName>
    <definedName name="CON_2019_Program1_Expend">'Conservation Report'!$G$26</definedName>
    <definedName name="CON_2019_Program2_Expend">'Conservation Report'!$G$27</definedName>
    <definedName name="CON_2019_Residential_Expend">'Conservation Report'!$G$16</definedName>
    <definedName name="CON_2019_Residential_MWH">'Conservation Report'!$F$16</definedName>
    <definedName name="CON_Contact_Name">'Conservation Report'!$B$7</definedName>
    <definedName name="CON_Email">'Conservation Report'!$B$9</definedName>
    <definedName name="CON_Phone">'Conservation Report'!$B$8</definedName>
    <definedName name="CON_Potential_2018_2027">'Conservation Report'!$G$8</definedName>
    <definedName name="CON_Potential_2020_2029">'Conservation Report'!$I$8</definedName>
    <definedName name="CON_Report_Date">'Conservation Report'!$B$6</definedName>
    <definedName name="CON_Target_2018_2019">'Conservation Report'!$G$9</definedName>
    <definedName name="CON_Target_2020_2021">'Conservation Report'!$I$9</definedName>
    <definedName name="CON_Utility_Name">'Conservation Report'!$B$5</definedName>
    <definedName name="_xlnm.Print_Area" localSheetId="1">'Conservation Report'!$A$3:$I$34</definedName>
    <definedName name="UtilityList">#REF!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 i="19" l="1"/>
  <c r="AX2" i="19"/>
  <c r="AZ2" i="19" l="1"/>
  <c r="AW2" i="19" l="1"/>
  <c r="A2" i="19" l="1"/>
  <c r="AS2" i="19" l="1"/>
  <c r="W2" i="19"/>
  <c r="E2" i="19"/>
  <c r="AY2" i="19" l="1"/>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28" i="18" l="1"/>
  <c r="AD2" i="19" s="1"/>
  <c r="F28" i="18"/>
  <c r="AG2" i="19" s="1"/>
  <c r="B30" i="18" l="1"/>
  <c r="D28" i="18" l="1"/>
  <c r="H2" i="19" s="1"/>
  <c r="C28" i="18"/>
  <c r="G10" i="18" s="1"/>
  <c r="G11" i="18" l="1"/>
  <c r="K2" i="19"/>
</calcChain>
</file>

<file path=xl/sharedStrings.xml><?xml version="1.0" encoding="utf-8"?>
<sst xmlns="http://schemas.openxmlformats.org/spreadsheetml/2006/main" count="105" uniqueCount="98">
  <si>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</si>
  <si>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</si>
  <si>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</si>
  <si>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</si>
  <si>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</si>
  <si>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</si>
  <si>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</si>
  <si>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</si>
  <si>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</si>
  <si>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</si>
  <si>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</si>
  <si>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</si>
  <si>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 xml:space="preserve"> Distribution Efficiency</t>
  </si>
  <si>
    <t xml:space="preserve"> Production Efficiency</t>
  </si>
  <si>
    <t>Conservation by Sector</t>
  </si>
  <si>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</si>
  <si>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</si>
  <si>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</si>
  <si>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</si>
  <si>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</si>
  <si>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</si>
  <si>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</si>
  <si>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</si>
  <si>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</si>
  <si>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Notes, including a brief description of the methodology used to establish the utility's ten-year potential and biennial target to capture cost-effective conservation:</t>
  </si>
  <si>
    <t>Enter information in green-shaded fields.</t>
  </si>
  <si>
    <t>Do not modify blue-shaded fields.</t>
  </si>
  <si>
    <t>Summary of Achievement and Targets (MWh)</t>
  </si>
  <si>
    <t>2018-2019</t>
  </si>
  <si>
    <t>Biennial</t>
  </si>
  <si>
    <r>
      <t xml:space="preserve">Energy Independence Act (I-937) </t>
    </r>
    <r>
      <rPr>
        <sz val="11"/>
        <color rgb="FF000000"/>
        <rFont val="Arial Black"/>
        <family val="2"/>
      </rPr>
      <t>Conservation Report Workbook</t>
    </r>
  </si>
  <si>
    <t>CON_Potential_2018_2027</t>
  </si>
  <si>
    <t>CON_Target_2018_2019</t>
  </si>
  <si>
    <r>
      <t>Questions:</t>
    </r>
    <r>
      <rPr>
        <sz val="11"/>
        <color rgb="FF000000"/>
        <rFont val="Arial"/>
        <family val="2"/>
      </rPr>
      <t xml:space="preserve"> Glenn Blackmon, State Energy Office, (360) 339-5619, </t>
    </r>
    <r>
      <rPr>
        <b/>
        <sz val="11"/>
        <color theme="3"/>
        <rFont val="Arial"/>
        <family val="2"/>
      </rPr>
      <t>glenn.blackmon@commerce.wa.gov</t>
    </r>
  </si>
  <si>
    <t>Target 2018-2019</t>
  </si>
  <si>
    <t>2018 Achievement</t>
  </si>
  <si>
    <t>2019 Achievement</t>
  </si>
  <si>
    <t>Potential 2018-2027</t>
  </si>
  <si>
    <t>CON_2018_Agriculture_Expend</t>
  </si>
  <si>
    <t>CON_2018_Agriculture_MWH</t>
  </si>
  <si>
    <t>CON_2018_Commercial_Expend</t>
  </si>
  <si>
    <t>CON_2018_Commercial_MWH</t>
  </si>
  <si>
    <t>CON_2018_Distribution_Expend</t>
  </si>
  <si>
    <t>CON_2018_Distribution_MWH</t>
  </si>
  <si>
    <t>CON_2018_Expenditures</t>
  </si>
  <si>
    <t>CON_2018_Industrial_Expend</t>
  </si>
  <si>
    <t>CON_2018_Industrial_MWH</t>
  </si>
  <si>
    <t>CON_2018_MWH</t>
  </si>
  <si>
    <t>CON_2018_NEEA_Expend</t>
  </si>
  <si>
    <t>CON_2018_NEEA_MWH</t>
  </si>
  <si>
    <t>CON_2018_OtherSector1_Expend</t>
  </si>
  <si>
    <t>CON_2018_OtherSector1_MWH</t>
  </si>
  <si>
    <t>CON_2018_OtherSector2_Expend</t>
  </si>
  <si>
    <t>CON_2018_OtherSector2_MWH</t>
  </si>
  <si>
    <t>CON_2018_Production_Expend</t>
  </si>
  <si>
    <t>CON_2018_Production_MWH</t>
  </si>
  <si>
    <t>CON_2018_Program1_Expend</t>
  </si>
  <si>
    <t>CON_2018_Program2_Expend</t>
  </si>
  <si>
    <t>CON_2018_Residential_Expend</t>
  </si>
  <si>
    <t>CON_2018_Residential_MWH</t>
  </si>
  <si>
    <t>CON_2019_Agriculture_Expend</t>
  </si>
  <si>
    <t>CON_2019_Agriculture_MWH</t>
  </si>
  <si>
    <t>CON_2019_Commercial_Expend</t>
  </si>
  <si>
    <t>CON_2019_Commercial_MWH</t>
  </si>
  <si>
    <t>CON_2019_Distribution_Expend</t>
  </si>
  <si>
    <t>CON_2019_Distribution_MWH</t>
  </si>
  <si>
    <t>CON_2019_Expenditures</t>
  </si>
  <si>
    <t>CON_2019_Industrial_Expend</t>
  </si>
  <si>
    <t>CON_2019_Industrial_MWH</t>
  </si>
  <si>
    <t>CON_2019_MWH</t>
  </si>
  <si>
    <t>CON_2019_NEEA_Expend</t>
  </si>
  <si>
    <t>CON_2019_NEEA_MWH</t>
  </si>
  <si>
    <t>CON_2019_OtherSector1_Expend</t>
  </si>
  <si>
    <t>CON_2019_OtherSector1_MWH</t>
  </si>
  <si>
    <t>CON_2019_OtherSector2_Expend</t>
  </si>
  <si>
    <t>CON_2019_OtherSector2_MWH</t>
  </si>
  <si>
    <t>CON_2019_Production_Expend</t>
  </si>
  <si>
    <t>CON_2019_Production_MWH</t>
  </si>
  <si>
    <t>CON_2019_Program1_Expend</t>
  </si>
  <si>
    <t>CON_2019_Program2_Expend</t>
  </si>
  <si>
    <t>CON_2019_Residential_Expend</t>
  </si>
  <si>
    <t>CON_2019_Residential_MWH</t>
  </si>
  <si>
    <r>
      <rPr>
        <sz val="12"/>
        <color theme="1"/>
        <rFont val="Arial"/>
        <family val="2"/>
      </rPr>
      <t xml:space="preserve">Energy Independence Act (I-937) </t>
    </r>
    <r>
      <rPr>
        <sz val="12"/>
        <color theme="1"/>
        <rFont val="Arial Black"/>
        <family val="2"/>
      </rPr>
      <t>Conservation Report 2018-2019</t>
    </r>
  </si>
  <si>
    <t>Biennial Period</t>
  </si>
  <si>
    <t>Potential 2020-2029</t>
  </si>
  <si>
    <t>Target 2020-2021</t>
  </si>
  <si>
    <t>Achievement 2018-2019</t>
  </si>
  <si>
    <t>CON_Potential_2020_2029</t>
  </si>
  <si>
    <t>CON_Target_2020_2021</t>
  </si>
  <si>
    <t>2020-2021</t>
  </si>
  <si>
    <t>Excess (Deficit)</t>
  </si>
  <si>
    <t>Published March 31, 2020</t>
  </si>
  <si>
    <r>
      <t>Deadline:</t>
    </r>
    <r>
      <rPr>
        <sz val="11"/>
        <color rgb="FF000000"/>
        <rFont val="Arial"/>
        <family val="2"/>
      </rPr>
      <t xml:space="preserve"> June 1, 2020</t>
    </r>
  </si>
  <si>
    <t>Evals, system support, EULR, education, outreach &amp; communication</t>
  </si>
  <si>
    <t>PacifiCorp</t>
  </si>
  <si>
    <t>Cory Scott/Customer Solutions</t>
  </si>
  <si>
    <t>503-813-6011</t>
  </si>
  <si>
    <t>Cory.Scott@pacificorp.com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</si>
</sst>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0_);_(* \(#,##0.0\);_(* &quot;-&quot;??_);_(@_)"/>
    <numFmt numFmtId="165" formatCode="_(* #,##0_);_(* \(#,##0\);_(* &quot;-&quot;??_);_(@_)"/>
    <numFmt numFmtId="166" formatCode="[$-409]mmmm\ d\,\ yyyy;@"/>
    <numFmt numFmtId="167" formatCode="&quot;$&quot;#,##0"/>
    <numFmt numFmtId="168" formatCode="_(&quot;$&quot;* #,##0_);_(&quot;$&quot;* \(#,##0\);_(&quot;$&quot;* &quot;-&quot;??_);_(@_)"/>
  </numFmts>
  <fonts count="16"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sz val="11"/>
      <name val="Arial"/>
      <family val="2"/>
    </font>
  </fonts>
  <fills count="8">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3">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style="hair">
        <color indexed="64"/>
      </left>
      <right style="hair">
        <color indexed="64"/>
      </right>
      <top style="thin">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s>
  <cellStyleXfs count="5">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xf numFmtId="44" fontId="3" fillId="0" borderId="0" applyFont="0" applyFill="0" applyBorder="0" applyAlignment="0" applyProtection="0"/>
  </cellStyleXfs>
  <cellXfs count="77">
    <xf numFmtId="0" fontId="0" fillId="0" borderId="0" xfId="0"/>
    <xf numFmtId="0" fontId="5" fillId="2" borderId="0" xfId="0" applyFont="1" applyFill="1"/>
    <xf numFmtId="0" fontId="1" fillId="2" borderId="7" xfId="0" applyFont="1" applyFill="1" applyBorder="1" applyAlignment="1" applyProtection="1">
      <alignment horizontal="right"/>
    </xf>
    <xf numFmtId="0" fontId="0" fillId="0" borderId="0" xfId="0" applyNumberFormat="1"/>
    <xf numFmtId="0" fontId="12" fillId="4" borderId="0" xfId="0" applyFont="1" applyFill="1" applyBorder="1" applyAlignment="1">
      <alignment vertical="center" wrapText="1"/>
    </xf>
    <xf numFmtId="0" fontId="11" fillId="4" borderId="0" xfId="0" applyFont="1" applyFill="1" applyBorder="1" applyAlignment="1">
      <alignment vertical="center"/>
    </xf>
    <xf numFmtId="0" fontId="12" fillId="6" borderId="0"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5" fillId="2" borderId="0" xfId="0" applyFont="1" applyFill="1" applyProtection="1">
      <protection locked="0"/>
    </xf>
    <xf numFmtId="165" fontId="5" fillId="6" borderId="4" xfId="1" applyNumberFormat="1" applyFont="1" applyFill="1" applyBorder="1" applyAlignment="1" applyProtection="1">
      <alignment horizontal="center"/>
      <protection locked="0"/>
    </xf>
    <xf numFmtId="167" fontId="5" fillId="6" borderId="12"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6" fillId="6" borderId="7" xfId="0" applyFont="1" applyFill="1" applyBorder="1" applyAlignment="1" applyProtection="1">
      <alignment vertical="center" wrapText="1"/>
      <protection locked="0"/>
    </xf>
    <xf numFmtId="0" fontId="5" fillId="2" borderId="0" xfId="0" applyFont="1" applyFill="1" applyProtection="1"/>
    <xf numFmtId="0" fontId="8"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3" xfId="0" applyNumberFormat="1" applyFont="1" applyFill="1" applyBorder="1" applyAlignment="1" applyProtection="1">
      <alignment horizontal="center"/>
    </xf>
    <xf numFmtId="164" fontId="5" fillId="3" borderId="14"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6" fillId="0" borderId="2" xfId="0" applyFont="1" applyFill="1" applyBorder="1" applyAlignment="1" applyProtection="1">
      <alignment horizontal="center" wrapText="1"/>
    </xf>
    <xf numFmtId="0" fontId="2" fillId="2" borderId="19" xfId="0" applyFont="1" applyFill="1" applyBorder="1" applyAlignment="1">
      <alignment horizontal="center"/>
    </xf>
    <xf numFmtId="0" fontId="6" fillId="2" borderId="0" xfId="0" applyFont="1" applyFill="1" applyAlignment="1">
      <alignment horizontal="center"/>
    </xf>
    <xf numFmtId="0" fontId="1" fillId="2" borderId="0" xfId="0" applyFont="1" applyFill="1" applyAlignment="1">
      <alignment horizontal="right"/>
    </xf>
    <xf numFmtId="166" fontId="15" fillId="0" borderId="0" xfId="0" applyNumberFormat="1" applyFont="1" applyFill="1" applyBorder="1" applyAlignment="1">
      <alignment horizontal="left" vertical="center"/>
    </xf>
    <xf numFmtId="165" fontId="5" fillId="6" borderId="20" xfId="1" applyNumberFormat="1" applyFont="1" applyFill="1" applyBorder="1" applyAlignment="1">
      <alignment horizontal="right"/>
    </xf>
    <xf numFmtId="165" fontId="5" fillId="6" borderId="12" xfId="1" applyNumberFormat="1" applyFont="1" applyFill="1" applyBorder="1" applyAlignment="1">
      <alignment horizontal="right"/>
    </xf>
    <xf numFmtId="165" fontId="5" fillId="5" borderId="21" xfId="1" applyNumberFormat="1" applyFont="1" applyFill="1" applyBorder="1"/>
    <xf numFmtId="168" fontId="5" fillId="6" borderId="12" xfId="1" applyNumberFormat="1" applyFont="1" applyFill="1" applyBorder="1" applyAlignment="1" applyProtection="1">
      <alignment horizontal="right"/>
      <protection locked="0"/>
    </xf>
    <xf numFmtId="3" fontId="5" fillId="6" borderId="4" xfId="0" applyNumberFormat="1" applyFont="1" applyFill="1" applyBorder="1" applyAlignment="1" applyProtection="1">
      <alignment horizontal="center"/>
      <protection locked="0"/>
    </xf>
    <xf numFmtId="165" fontId="5" fillId="2" borderId="0" xfId="1" applyNumberFormat="1" applyFont="1" applyFill="1" applyProtection="1"/>
    <xf numFmtId="3" fontId="5" fillId="2" borderId="0" xfId="0" applyNumberFormat="1" applyFont="1" applyFill="1" applyProtection="1"/>
    <xf numFmtId="165" fontId="5" fillId="2" borderId="0" xfId="0" applyNumberFormat="1" applyFont="1" applyFill="1" applyProtection="1"/>
    <xf numFmtId="0" fontId="5" fillId="0" borderId="0" xfId="0" applyFont="1" applyFill="1" applyProtection="1"/>
    <xf numFmtId="3" fontId="5" fillId="0" borderId="0" xfId="0" applyNumberFormat="1" applyFont="1" applyFill="1" applyProtection="1"/>
    <xf numFmtId="3" fontId="5" fillId="0" borderId="0" xfId="0" applyNumberFormat="1" applyFont="1" applyFill="1" applyBorder="1" applyProtection="1"/>
    <xf numFmtId="0" fontId="5" fillId="0" borderId="0" xfId="0" applyFont="1" applyFill="1" applyBorder="1" applyProtection="1"/>
    <xf numFmtId="0" fontId="12" fillId="6" borderId="0" xfId="0" applyFont="1" applyFill="1" applyBorder="1" applyAlignment="1" applyProtection="1">
      <alignment horizontal="center" vertical="center" wrapText="1"/>
    </xf>
    <xf numFmtId="0" fontId="12"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5" xfId="0" applyFont="1" applyFill="1" applyBorder="1" applyAlignment="1" applyProtection="1"/>
    <xf numFmtId="0" fontId="5" fillId="2" borderId="0" xfId="0" applyFont="1" applyFill="1" applyBorder="1" applyAlignment="1" applyProtection="1">
      <alignment horizontal="right" wrapText="1"/>
    </xf>
    <xf numFmtId="0" fontId="5" fillId="2" borderId="17" xfId="0" applyFont="1" applyFill="1" applyBorder="1" applyAlignment="1" applyProtection="1">
      <alignment horizontal="right" wrapText="1"/>
    </xf>
    <xf numFmtId="0" fontId="6" fillId="2" borderId="16" xfId="0" applyFont="1" applyFill="1" applyBorder="1" applyAlignment="1" applyProtection="1">
      <alignment horizontal="center"/>
    </xf>
    <xf numFmtId="0" fontId="6" fillId="0" borderId="16" xfId="0" applyFont="1" applyFill="1" applyBorder="1" applyAlignment="1" applyProtection="1">
      <alignment horizontal="center"/>
    </xf>
    <xf numFmtId="0" fontId="6" fillId="6" borderId="22" xfId="0" applyFont="1" applyFill="1" applyBorder="1" applyAlignment="1" applyProtection="1">
      <alignment horizontal="left"/>
      <protection locked="0"/>
    </xf>
    <xf numFmtId="0" fontId="5" fillId="6" borderId="22" xfId="0" applyFont="1" applyFill="1" applyBorder="1" applyAlignment="1" applyProtection="1">
      <alignment horizontal="left"/>
      <protection locked="0"/>
    </xf>
    <xf numFmtId="0" fontId="6" fillId="2" borderId="18" xfId="0" applyFont="1" applyFill="1" applyBorder="1" applyAlignment="1">
      <alignment horizontal="center"/>
    </xf>
    <xf numFmtId="166" fontId="7"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xf numFmtId="0" fontId="6" fillId="6" borderId="9" xfId="0"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4" fillId="6" borderId="10" xfId="2" applyFill="1" applyBorder="1" applyAlignment="1" applyProtection="1">
      <alignment horizontal="left"/>
      <protection locked="0"/>
    </xf>
    <xf numFmtId="0" fontId="5" fillId="6" borderId="10" xfId="0" applyFont="1" applyFill="1" applyBorder="1" applyAlignment="1" applyProtection="1">
      <alignment horizontal="left"/>
      <protection locked="0"/>
    </xf>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cellXfs>
  <cellStyles count="5">
    <cellStyle name="Comma" xfId="1" builtinId="3"/>
    <cellStyle name="Currency 10" xfId="4"/>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14</xdr:row>
      <xdr:rowOff>361950</xdr:rowOff>
    </xdr:from>
    <xdr:to>
      <xdr:col>8</xdr:col>
      <xdr:colOff>552450</xdr:colOff>
      <xdr:row>21</xdr:row>
      <xdr:rowOff>133350</xdr:rowOff>
    </xdr:to>
    <xdr:sp macro="" textlink="">
      <xdr:nvSpPr>
        <xdr:cNvPr id="4" name="TextBox 3">
          <a:extLst>
            <a:ext uri="{FF2B5EF4-FFF2-40B4-BE49-F238E27FC236}">
              <a16:creationId xmlns:a16="http://schemas.microsoft.com/office/drawing/2014/main" xmlns="" id="{00000000-0008-0000-0100-000004000000}"/>
            </a:ext>
          </a:extLst>
        </xdr:cNvPr>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32</xdr:row>
      <xdr:rowOff>352425</xdr:rowOff>
    </xdr:from>
    <xdr:to>
      <xdr:col>8</xdr:col>
      <xdr:colOff>695325</xdr:colOff>
      <xdr:row>43</xdr:row>
      <xdr:rowOff>0</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38100" y="7229475"/>
          <a:ext cx="8572500" cy="49053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Excess conservation from 2016-2017 is 2,718 MWh, none of which was applied to the 2018-2019 biennial results.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Company achieved conservation (excludes NEEA) of 80,604 MWh exceeds 78,268 MWh revised biennial target (or EIA penalty threshold) approved by WUTC and subject to penalty.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Total achieved conservation (includes NEEA) of 88,464 MWh exceeds 83,484 MWh target tracked by the Washington Department of Commerce (or the EIA target).  See statute RCW19.285.070</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quantities submitted above include all areas of conservation effort and achievement, because the Commerce Conservation Report includes areas of conservation which are not included for target setting at the Washington Utilities and Transportation Commission (WUTC).</a:t>
          </a:r>
        </a:p>
        <a:p>
          <a:r>
            <a:rPr lang="en-US" sz="1100">
              <a:solidFill>
                <a:schemeClr val="dk1"/>
              </a:solidFill>
              <a:effectLst/>
              <a:latin typeface="+mn-lt"/>
              <a:ea typeface="+mn-ea"/>
              <a:cs typeface="+mn-cs"/>
            </a:rPr>
            <a:t>The target listed in this report, 83,484 MWh aligns with biennial conservation target prior to the deduction of Northwest Energy Efficiency Alliance (NEEA) forecast; the process utilized by the WUTC to establish the biennial conservation target subject to penalty.  On January 12, 2018, the Commission approved a target of 78,268 (74,293 MWh biennial conservation target + 3,975 MWh decoupling commitment) subject to penalty for the 2018-2019 biennium in Order 01 in Docket UE-171092 in accordance with WAC 480-109-120. The target does not include savings reported by NEEA.     </a:t>
          </a:r>
        </a:p>
        <a:p>
          <a:r>
            <a:rPr lang="en-US" sz="1100">
              <a:solidFill>
                <a:schemeClr val="dk1"/>
              </a:solidFill>
              <a:effectLst/>
              <a:latin typeface="+mn-lt"/>
              <a:ea typeface="+mn-ea"/>
              <a:cs typeface="+mn-cs"/>
            </a:rPr>
            <a:t>Brief description of the methodology used to establish the utility’s ten-year potential and biennial target to capture cost effective conservation: </a:t>
          </a:r>
        </a:p>
        <a:p>
          <a:r>
            <a:rPr lang="en-US" sz="1100">
              <a:solidFill>
                <a:schemeClr val="dk1"/>
              </a:solidFill>
              <a:effectLst/>
              <a:latin typeface="+mn-lt"/>
              <a:ea typeface="+mn-ea"/>
              <a:cs typeface="+mn-cs"/>
            </a:rPr>
            <a:t>PacifiCorp relied on 1) its 2017 “Demand-Side Resource Potential Assessment for the 2017-2036" (February 2017), 2) economic screening of the conservation potential identified through the 2017 Integrated Resource Plan (IRP) development, and 3) other post IRP adjustments (all documented in Appendix 1 of the PacifiCorp’s ten-year conservation potential and 2018-2019 biennial conservation target report) to establish its ten-year conservation forecast and biennial conservation target. </a:t>
          </a:r>
        </a:p>
        <a:p>
          <a:r>
            <a:rPr lang="en-US" sz="1100">
              <a:solidFill>
                <a:schemeClr val="dk1"/>
              </a:solidFill>
              <a:effectLst/>
              <a:latin typeface="+mn-lt"/>
              <a:ea typeface="+mn-ea"/>
              <a:cs typeface="+mn-cs"/>
            </a:rPr>
            <a:t>The manner by which the Company arrived at its 2018 -2019 biennial conservation target is explained on pages 14-23 of “PacifiCorp’s 2018-2019 Biennial Conservation Plan for its Washington Service Area” filed in Docket UE-171092.    </a:t>
          </a:r>
        </a:p>
        <a:p>
          <a:r>
            <a:rPr lang="en-US" sz="1100">
              <a:solidFill>
                <a:schemeClr val="dk1"/>
              </a:solidFill>
              <a:effectLst/>
              <a:latin typeface="+mn-lt"/>
              <a:ea typeface="+mn-ea"/>
              <a:cs typeface="+mn-cs"/>
            </a:rPr>
            <a:t>The Company’s engagement with the Washington DSM Advisory Group during the development of the 2018-2019 target is outlined in the on pages 12-13 of “PacifiCorp’s Biennial Conservation Plan for its Washington Service Area” filed in Docket UE-171092.  </a:t>
          </a:r>
        </a:p>
        <a:p>
          <a:r>
            <a:rPr lang="en-US" sz="1100">
              <a:solidFill>
                <a:schemeClr val="dk1"/>
              </a:solidFill>
              <a:effectLst/>
              <a:latin typeface="+mn-lt"/>
              <a:ea typeface="+mn-ea"/>
              <a:cs typeface="+mn-cs"/>
            </a:rPr>
            <a:t>The commission accepted the company’s forecast and target as meeting the requirements to consider all conservation resources that are cost-effective, reliable and feasible by approval of the Company’s forecast and targets in Docket UE-171092 on January 12, 2018.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Information on Pacific Power's approved 2020 - 2021 target is available in Docket UE-190908.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ory.Scott@pacificor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topLeftCell="A22" workbookViewId="0">
      <selection activeCell="B12" sqref="B12"/>
    </sheetView>
  </sheetViews>
  <sheetFormatPr defaultColWidth="8.85546875" defaultRowHeight="15" x14ac:dyDescent="0.25"/>
  <cols>
    <col min="1" max="1" width="135.140625" customWidth="1"/>
    <col min="14" max="14" width="11.7109375" customWidth="1"/>
  </cols>
  <sheetData>
    <row r="1" spans="1:14" ht="18.75" x14ac:dyDescent="0.25">
      <c r="A1" s="5" t="s">
        <v>30</v>
      </c>
    </row>
    <row r="2" spans="1:14" x14ac:dyDescent="0.25">
      <c r="A2" s="44" t="s">
        <v>91</v>
      </c>
    </row>
    <row r="3" spans="1:14" x14ac:dyDescent="0.25">
      <c r="A3" s="5"/>
      <c r="N3" s="3"/>
    </row>
    <row r="4" spans="1:14" x14ac:dyDescent="0.25">
      <c r="A4" s="4" t="s">
        <v>92</v>
      </c>
    </row>
    <row r="5" spans="1:14" x14ac:dyDescent="0.25">
      <c r="A5" s="4" t="s">
        <v>23</v>
      </c>
    </row>
    <row r="6" spans="1:14" x14ac:dyDescent="0.25">
      <c r="A6" s="4" t="s">
        <v>33</v>
      </c>
    </row>
    <row r="8" spans="1:14" x14ac:dyDescent="0.25">
      <c r="A8" s="6" t="s">
        <v>25</v>
      </c>
    </row>
    <row r="9" spans="1:14" x14ac:dyDescent="0.25">
      <c r="A9" s="7" t="s">
        <v>26</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P53"/>
  <sheetViews>
    <sheetView tabSelected="1" topLeftCell="A7" zoomScaleNormal="100" workbookViewId="0">
      <selection activeCell="K13" sqref="K13"/>
    </sheetView>
  </sheetViews>
  <sheetFormatPr defaultColWidth="9.140625" defaultRowHeight="12.75" x14ac:dyDescent="0.2"/>
  <cols>
    <col min="1" max="2" width="16.7109375" style="14" customWidth="1"/>
    <col min="3" max="3" width="17.140625" style="14" customWidth="1"/>
    <col min="4" max="4" width="16" style="14" customWidth="1"/>
    <col min="5" max="5" width="4.42578125" style="14" customWidth="1"/>
    <col min="6" max="6" width="14.42578125" style="14" customWidth="1"/>
    <col min="7" max="7" width="15.42578125" style="14" customWidth="1"/>
    <col min="8" max="8" width="17.85546875" style="14" customWidth="1"/>
    <col min="9" max="9" width="13.42578125" style="14" customWidth="1"/>
    <col min="10" max="10" width="9.140625" style="14"/>
    <col min="11" max="11" width="11.7109375" style="14" customWidth="1"/>
    <col min="12" max="16384" width="9.140625" style="14"/>
  </cols>
  <sheetData>
    <row r="1" spans="1:16" ht="15" x14ac:dyDescent="0.2">
      <c r="A1" s="57" t="s">
        <v>25</v>
      </c>
      <c r="B1" s="57"/>
      <c r="C1" s="57"/>
      <c r="D1" s="57"/>
      <c r="E1" s="57"/>
      <c r="F1" s="57"/>
      <c r="G1" s="57"/>
      <c r="H1" s="57"/>
      <c r="I1" s="57"/>
    </row>
    <row r="2" spans="1:16" ht="15" x14ac:dyDescent="0.2">
      <c r="A2" s="58" t="s">
        <v>26</v>
      </c>
      <c r="B2" s="58"/>
      <c r="C2" s="58"/>
      <c r="D2" s="58"/>
      <c r="E2" s="58"/>
      <c r="F2" s="58"/>
      <c r="G2" s="58"/>
      <c r="H2" s="58"/>
      <c r="I2" s="58"/>
    </row>
    <row r="3" spans="1:16" s="16" customFormat="1" ht="19.5" x14ac:dyDescent="0.4">
      <c r="A3" s="15" t="s">
        <v>82</v>
      </c>
    </row>
    <row r="4" spans="1:16" ht="15" customHeight="1" thickBot="1" x14ac:dyDescent="0.25">
      <c r="A4" s="17"/>
    </row>
    <row r="5" spans="1:16" ht="14.25" customHeight="1" thickBot="1" x14ac:dyDescent="0.25">
      <c r="A5" s="20" t="s">
        <v>3</v>
      </c>
      <c r="B5" s="65" t="s">
        <v>94</v>
      </c>
      <c r="C5" s="66"/>
      <c r="D5" s="66"/>
      <c r="F5" s="67" t="s">
        <v>27</v>
      </c>
      <c r="G5" s="67"/>
      <c r="H5" s="67"/>
      <c r="I5" s="67"/>
      <c r="K5" s="19"/>
    </row>
    <row r="6" spans="1:16" ht="15" customHeight="1" x14ac:dyDescent="0.2">
      <c r="A6" s="20" t="s">
        <v>17</v>
      </c>
      <c r="B6" s="68">
        <v>43983</v>
      </c>
      <c r="C6" s="69"/>
      <c r="D6" s="69"/>
      <c r="E6" s="21"/>
      <c r="F6" s="1"/>
      <c r="G6" s="41" t="s">
        <v>28</v>
      </c>
      <c r="I6" s="41" t="s">
        <v>89</v>
      </c>
    </row>
    <row r="7" spans="1:16" ht="15" customHeight="1" x14ac:dyDescent="0.2">
      <c r="A7" s="22" t="s">
        <v>16</v>
      </c>
      <c r="B7" s="70" t="s">
        <v>95</v>
      </c>
      <c r="C7" s="71"/>
      <c r="D7" s="71"/>
      <c r="E7" s="16"/>
      <c r="F7" s="1"/>
      <c r="G7" s="42" t="s">
        <v>29</v>
      </c>
      <c r="I7" s="42" t="s">
        <v>29</v>
      </c>
      <c r="K7" s="53"/>
      <c r="L7" s="53"/>
      <c r="M7" s="53"/>
      <c r="N7" s="53"/>
      <c r="O7" s="53"/>
      <c r="P7" s="53"/>
    </row>
    <row r="8" spans="1:16" ht="15" customHeight="1" x14ac:dyDescent="0.2">
      <c r="A8" s="22" t="s">
        <v>0</v>
      </c>
      <c r="B8" s="71" t="s">
        <v>96</v>
      </c>
      <c r="C8" s="71"/>
      <c r="D8" s="71"/>
      <c r="E8" s="16"/>
      <c r="F8" s="22" t="s">
        <v>37</v>
      </c>
      <c r="G8" s="45">
        <v>394473</v>
      </c>
      <c r="H8" s="22" t="s">
        <v>84</v>
      </c>
      <c r="I8" s="45">
        <v>509495</v>
      </c>
      <c r="K8" s="53"/>
      <c r="L8" s="53"/>
      <c r="M8" s="53"/>
      <c r="N8" s="53"/>
      <c r="O8" s="53"/>
      <c r="P8" s="53"/>
    </row>
    <row r="9" spans="1:16" ht="15" customHeight="1" x14ac:dyDescent="0.2">
      <c r="A9" s="22" t="s">
        <v>1</v>
      </c>
      <c r="B9" s="72" t="s">
        <v>97</v>
      </c>
      <c r="C9" s="73"/>
      <c r="D9" s="73"/>
      <c r="E9" s="16"/>
      <c r="F9" s="43" t="s">
        <v>34</v>
      </c>
      <c r="G9" s="46">
        <v>83484</v>
      </c>
      <c r="H9" s="43" t="s">
        <v>85</v>
      </c>
      <c r="I9" s="46">
        <v>101899</v>
      </c>
      <c r="K9" s="54"/>
      <c r="L9" s="53"/>
      <c r="M9" s="53"/>
      <c r="N9" s="53"/>
      <c r="O9" s="53"/>
      <c r="P9" s="53"/>
    </row>
    <row r="10" spans="1:16" ht="15" customHeight="1" thickBot="1" x14ac:dyDescent="0.25">
      <c r="A10" s="22"/>
      <c r="B10" s="22"/>
      <c r="C10" s="22"/>
      <c r="D10" s="22"/>
      <c r="E10" s="16"/>
      <c r="F10" s="43" t="s">
        <v>86</v>
      </c>
      <c r="G10" s="47">
        <f>CON_2018_MWH+CON_2019_MWH</f>
        <v>88463.819913390791</v>
      </c>
      <c r="I10" s="1"/>
      <c r="K10" s="54"/>
      <c r="L10" s="53"/>
      <c r="M10" s="53"/>
      <c r="N10" s="53"/>
      <c r="O10" s="53"/>
      <c r="P10" s="53"/>
    </row>
    <row r="11" spans="1:16" s="16" customFormat="1" ht="13.5" thickBot="1" x14ac:dyDescent="0.25">
      <c r="E11" s="23"/>
      <c r="F11" s="14" t="s">
        <v>90</v>
      </c>
      <c r="G11" s="47">
        <f>G10-CON_Target_2018_2019</f>
        <v>4979.819913390791</v>
      </c>
      <c r="H11" s="14"/>
      <c r="I11" s="14"/>
      <c r="K11" s="55"/>
      <c r="L11" s="56"/>
      <c r="M11" s="56"/>
      <c r="N11" s="56"/>
      <c r="O11" s="56"/>
      <c r="P11" s="56"/>
    </row>
    <row r="12" spans="1:16" s="16" customFormat="1" ht="13.5" thickBot="1" x14ac:dyDescent="0.25">
      <c r="E12" s="23"/>
      <c r="F12" s="14"/>
      <c r="G12" s="14"/>
      <c r="H12" s="14"/>
      <c r="I12" s="14"/>
      <c r="K12" s="56"/>
      <c r="L12" s="56"/>
      <c r="M12" s="56"/>
      <c r="N12" s="56"/>
      <c r="O12" s="56"/>
      <c r="P12" s="56"/>
    </row>
    <row r="13" spans="1:16" ht="13.5" thickTop="1" x14ac:dyDescent="0.2">
      <c r="A13" s="60" t="s">
        <v>2</v>
      </c>
      <c r="B13" s="60"/>
      <c r="C13" s="60"/>
      <c r="D13" s="60"/>
      <c r="E13" s="60"/>
      <c r="F13" s="60"/>
      <c r="G13" s="60"/>
      <c r="K13" s="53"/>
      <c r="L13" s="53"/>
      <c r="M13" s="53"/>
      <c r="N13" s="53"/>
      <c r="O13" s="53"/>
      <c r="P13" s="53"/>
    </row>
    <row r="14" spans="1:16" ht="15" customHeight="1" x14ac:dyDescent="0.2">
      <c r="A14" s="24"/>
      <c r="C14" s="63" t="s">
        <v>35</v>
      </c>
      <c r="D14" s="63"/>
      <c r="F14" s="64" t="s">
        <v>36</v>
      </c>
      <c r="G14" s="64"/>
      <c r="K14" s="54"/>
      <c r="L14" s="53"/>
      <c r="M14" s="53"/>
      <c r="N14" s="53"/>
      <c r="O14" s="53"/>
      <c r="P14" s="53"/>
    </row>
    <row r="15" spans="1:16" ht="30.75" customHeight="1" x14ac:dyDescent="0.2">
      <c r="B15" s="25" t="s">
        <v>14</v>
      </c>
      <c r="C15" s="26" t="s">
        <v>6</v>
      </c>
      <c r="D15" s="26" t="s">
        <v>7</v>
      </c>
      <c r="F15" s="40" t="s">
        <v>6</v>
      </c>
      <c r="G15" s="40" t="s">
        <v>7</v>
      </c>
      <c r="K15" s="54"/>
      <c r="L15" s="53"/>
      <c r="M15" s="53"/>
      <c r="N15" s="53"/>
      <c r="O15" s="53"/>
      <c r="P15" s="53"/>
    </row>
    <row r="16" spans="1:16" ht="15" customHeight="1" x14ac:dyDescent="0.2">
      <c r="B16" s="2" t="s">
        <v>8</v>
      </c>
      <c r="C16" s="9">
        <v>17355.961522757003</v>
      </c>
      <c r="D16" s="48">
        <v>3318728.5300000012</v>
      </c>
      <c r="F16" s="9">
        <v>6415</v>
      </c>
      <c r="G16" s="48">
        <v>3273496.1199999992</v>
      </c>
      <c r="K16" s="55"/>
      <c r="L16" s="56"/>
      <c r="M16" s="53"/>
      <c r="N16" s="53"/>
      <c r="O16" s="53"/>
      <c r="P16" s="53"/>
    </row>
    <row r="17" spans="1:16" ht="15" customHeight="1" x14ac:dyDescent="0.2">
      <c r="B17" s="2" t="s">
        <v>9</v>
      </c>
      <c r="C17" s="9">
        <v>25982.933776007299</v>
      </c>
      <c r="D17" s="48">
        <v>4512840.0417610947</v>
      </c>
      <c r="F17" s="9">
        <v>18220</v>
      </c>
      <c r="G17" s="48">
        <v>3605930.032272025</v>
      </c>
      <c r="K17" s="53"/>
      <c r="L17" s="53"/>
      <c r="M17" s="53"/>
      <c r="N17" s="53"/>
      <c r="O17" s="53"/>
      <c r="P17" s="53"/>
    </row>
    <row r="18" spans="1:16" ht="15" customHeight="1" x14ac:dyDescent="0.2">
      <c r="B18" s="2" t="s">
        <v>10</v>
      </c>
      <c r="C18" s="9">
        <v>7696.9017055249997</v>
      </c>
      <c r="D18" s="48">
        <v>1477305.0593804265</v>
      </c>
      <c r="F18" s="9">
        <v>3396</v>
      </c>
      <c r="G18" s="48">
        <v>589983.33194550034</v>
      </c>
      <c r="K18" s="53"/>
      <c r="L18" s="53"/>
      <c r="M18" s="53"/>
      <c r="N18" s="53"/>
      <c r="O18" s="53"/>
      <c r="P18" s="53"/>
    </row>
    <row r="19" spans="1:16" ht="15" customHeight="1" x14ac:dyDescent="0.2">
      <c r="B19" s="2" t="s">
        <v>11</v>
      </c>
      <c r="C19" s="9">
        <v>425.92428230000002</v>
      </c>
      <c r="D19" s="48">
        <v>92247.618858477523</v>
      </c>
      <c r="F19" s="9">
        <v>1111</v>
      </c>
      <c r="G19" s="48">
        <v>257763.36789661401</v>
      </c>
      <c r="K19" s="50"/>
    </row>
    <row r="20" spans="1:16" ht="15" customHeight="1" x14ac:dyDescent="0.2">
      <c r="B20" s="2" t="s">
        <v>12</v>
      </c>
      <c r="C20" s="9"/>
      <c r="D20" s="10"/>
      <c r="F20" s="9"/>
      <c r="G20" s="10"/>
      <c r="K20" s="50"/>
    </row>
    <row r="21" spans="1:16" ht="15" customHeight="1" x14ac:dyDescent="0.2">
      <c r="B21" s="27" t="s">
        <v>13</v>
      </c>
      <c r="C21" s="9"/>
      <c r="D21" s="10"/>
      <c r="F21" s="9"/>
      <c r="G21" s="10"/>
      <c r="K21" s="50"/>
    </row>
    <row r="22" spans="1:16" ht="15" customHeight="1" x14ac:dyDescent="0.2">
      <c r="B22" s="27" t="s">
        <v>4</v>
      </c>
      <c r="C22" s="11">
        <v>3785.0986268014985</v>
      </c>
      <c r="D22" s="48">
        <v>859486.92</v>
      </c>
      <c r="F22" s="49">
        <v>4075</v>
      </c>
      <c r="G22" s="48">
        <v>878491.52</v>
      </c>
      <c r="K22" s="50"/>
    </row>
    <row r="23" spans="1:16" ht="15" customHeight="1" x14ac:dyDescent="0.2">
      <c r="B23" s="12"/>
      <c r="C23" s="11"/>
      <c r="D23" s="10"/>
      <c r="F23" s="11"/>
      <c r="G23" s="10"/>
      <c r="K23" s="51"/>
    </row>
    <row r="24" spans="1:16" ht="15" customHeight="1" x14ac:dyDescent="0.2">
      <c r="B24" s="12"/>
      <c r="C24" s="11"/>
      <c r="D24" s="10"/>
      <c r="F24" s="11"/>
      <c r="G24" s="10"/>
      <c r="K24" s="52"/>
    </row>
    <row r="25" spans="1:16" ht="30.75" customHeight="1" x14ac:dyDescent="0.2">
      <c r="A25" s="61" t="s">
        <v>15</v>
      </c>
      <c r="B25" s="62"/>
      <c r="D25" s="28"/>
      <c r="G25" s="28"/>
    </row>
    <row r="26" spans="1:16" ht="50.25" customHeight="1" x14ac:dyDescent="0.2">
      <c r="B26" s="13" t="s">
        <v>93</v>
      </c>
      <c r="C26" s="29"/>
      <c r="D26" s="48">
        <v>771562.82000000007</v>
      </c>
      <c r="F26" s="29"/>
      <c r="G26" s="48">
        <v>787630.85000000009</v>
      </c>
    </row>
    <row r="27" spans="1:16" ht="15" customHeight="1" x14ac:dyDescent="0.2">
      <c r="B27" s="13"/>
      <c r="C27" s="30"/>
      <c r="D27" s="10"/>
      <c r="F27" s="30"/>
      <c r="G27" s="10"/>
    </row>
    <row r="28" spans="1:16" ht="15" customHeight="1" x14ac:dyDescent="0.2">
      <c r="B28" s="31" t="s">
        <v>5</v>
      </c>
      <c r="C28" s="32">
        <f>SUM(C16:C24)</f>
        <v>55246.819913390798</v>
      </c>
      <c r="D28" s="33">
        <f>SUM(D16:D27)</f>
        <v>11032170.99</v>
      </c>
      <c r="F28" s="32">
        <f>SUM(F16:F24)</f>
        <v>33217</v>
      </c>
      <c r="G28" s="33">
        <f>SUM(G16:G27)</f>
        <v>9393295.2221141383</v>
      </c>
    </row>
    <row r="29" spans="1:16" ht="15" customHeight="1" x14ac:dyDescent="0.2">
      <c r="A29" s="34"/>
      <c r="B29" s="35"/>
      <c r="C29" s="36"/>
      <c r="D29" s="35"/>
      <c r="E29" s="36"/>
    </row>
    <row r="30" spans="1:16" s="16" customFormat="1" ht="15" customHeight="1" x14ac:dyDescent="0.2">
      <c r="A30" s="18" t="s">
        <v>3</v>
      </c>
      <c r="B30" s="59" t="str">
        <f>CON_Utility_Name</f>
        <v>PacifiCorp</v>
      </c>
      <c r="C30" s="59"/>
      <c r="D30" s="59"/>
      <c r="E30" s="59"/>
      <c r="F30" s="14"/>
      <c r="G30" s="14"/>
    </row>
    <row r="31" spans="1:16" s="16" customFormat="1" x14ac:dyDescent="0.2">
      <c r="A31" s="37" t="s">
        <v>83</v>
      </c>
      <c r="B31" s="75" t="s">
        <v>28</v>
      </c>
      <c r="C31" s="75"/>
      <c r="D31" s="75"/>
      <c r="E31" s="75"/>
    </row>
    <row r="32" spans="1:16" s="16" customFormat="1" x14ac:dyDescent="0.2">
      <c r="A32" s="37"/>
      <c r="B32" s="38"/>
      <c r="C32" s="38"/>
      <c r="D32" s="38"/>
      <c r="E32" s="38"/>
    </row>
    <row r="33" spans="1:9" ht="28.5" customHeight="1" x14ac:dyDescent="0.2">
      <c r="A33" s="74" t="s">
        <v>24</v>
      </c>
      <c r="B33" s="74"/>
      <c r="C33" s="74"/>
      <c r="D33" s="74"/>
      <c r="E33" s="74"/>
      <c r="F33" s="74"/>
      <c r="G33" s="74"/>
      <c r="H33" s="74"/>
      <c r="I33" s="74"/>
    </row>
    <row r="34" spans="1:9" s="8" customFormat="1" ht="270.75" customHeight="1" x14ac:dyDescent="0.2">
      <c r="A34" s="76"/>
      <c r="B34" s="76"/>
      <c r="C34" s="76"/>
      <c r="D34" s="76"/>
      <c r="E34" s="76"/>
      <c r="F34" s="76"/>
      <c r="G34" s="76"/>
      <c r="H34" s="76"/>
      <c r="I34" s="76"/>
    </row>
    <row r="35" spans="1:9" s="8" customFormat="1" x14ac:dyDescent="0.2"/>
    <row r="36" spans="1:9" s="8" customFormat="1" x14ac:dyDescent="0.2"/>
    <row r="37" spans="1:9" s="8" customFormat="1" x14ac:dyDescent="0.2"/>
    <row r="38" spans="1:9" s="8" customFormat="1" x14ac:dyDescent="0.2"/>
    <row r="39" spans="1:9" s="8" customFormat="1" x14ac:dyDescent="0.2"/>
    <row r="40" spans="1:9" s="8" customFormat="1" x14ac:dyDescent="0.2"/>
    <row r="41" spans="1:9" s="8" customFormat="1" x14ac:dyDescent="0.2"/>
    <row r="42" spans="1:9" s="8" customFormat="1" x14ac:dyDescent="0.2"/>
    <row r="43" spans="1:9" s="8" customFormat="1" x14ac:dyDescent="0.2"/>
    <row r="44" spans="1:9" s="8" customFormat="1" x14ac:dyDescent="0.2"/>
    <row r="45" spans="1:9" s="8" customFormat="1" x14ac:dyDescent="0.2"/>
    <row r="46" spans="1:9" s="8" customFormat="1" x14ac:dyDescent="0.2"/>
    <row r="47" spans="1:9" s="8" customFormat="1" x14ac:dyDescent="0.2"/>
    <row r="48" spans="1:9" s="8" customFormat="1" x14ac:dyDescent="0.2"/>
    <row r="49" s="8" customFormat="1" x14ac:dyDescent="0.2"/>
    <row r="50" s="8" customFormat="1" x14ac:dyDescent="0.2"/>
    <row r="51" s="8" customFormat="1" x14ac:dyDescent="0.2"/>
    <row r="52" s="8" customFormat="1" x14ac:dyDescent="0.2"/>
    <row r="53" s="8" customFormat="1" x14ac:dyDescent="0.2"/>
  </sheetData>
  <mergeCells count="17">
    <mergeCell ref="A33:I33"/>
    <mergeCell ref="B31:E31"/>
    <mergeCell ref="A34:I34"/>
    <mergeCell ref="A1:I1"/>
    <mergeCell ref="A2:I2"/>
    <mergeCell ref="B30:E30"/>
    <mergeCell ref="F13:G13"/>
    <mergeCell ref="A13:E13"/>
    <mergeCell ref="A25:B25"/>
    <mergeCell ref="C14:D14"/>
    <mergeCell ref="F14:G14"/>
    <mergeCell ref="B5:D5"/>
    <mergeCell ref="F5:I5"/>
    <mergeCell ref="B6:D6"/>
    <mergeCell ref="B7:D7"/>
    <mergeCell ref="B8:D8"/>
    <mergeCell ref="B9:D9"/>
  </mergeCells>
  <dataValidations xWindow="829" yWindow="612" count="1">
    <dataValidation allowBlank="1" showInputMessage="1" showErrorMessage="1" prompt="Achievement in 2019 will be included in the report submitted in 2020." sqref="F16:G28"/>
  </dataValidations>
  <hyperlinks>
    <hyperlink ref="B9" r:id="rId1"/>
  </hyperlinks>
  <pageMargins left="0.7" right="0.7" top="0.75" bottom="0.75" header="0.3" footer="0.3"/>
  <pageSetup scale="97" fitToHeight="0" orientation="landscape" r:id="rId2"/>
  <rowBreaks count="1" manualBreakCount="1">
    <brk id="28"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
  <sheetViews>
    <sheetView workbookViewId="0">
      <selection activeCell="B7" sqref="B7"/>
    </sheetView>
  </sheetViews>
  <sheetFormatPr defaultColWidth="8.85546875" defaultRowHeight="15" x14ac:dyDescent="0.25"/>
  <cols>
    <col min="1" max="1" width="36.140625" bestFit="1" customWidth="1"/>
    <col min="3" max="3" width="10.42578125" customWidth="1"/>
    <col min="12" max="12" width="10.42578125" customWidth="1"/>
  </cols>
  <sheetData>
    <row r="1" spans="1:82" ht="164.25" x14ac:dyDescent="0.25">
      <c r="A1" s="39" t="s">
        <v>22</v>
      </c>
      <c r="B1" s="39" t="s">
        <v>38</v>
      </c>
      <c r="C1" s="39" t="s">
        <v>39</v>
      </c>
      <c r="D1" s="39" t="s">
        <v>40</v>
      </c>
      <c r="E1" s="39" t="s">
        <v>41</v>
      </c>
      <c r="F1" s="39" t="s">
        <v>42</v>
      </c>
      <c r="G1" s="39" t="s">
        <v>43</v>
      </c>
      <c r="H1" s="39" t="s">
        <v>44</v>
      </c>
      <c r="I1" s="39" t="s">
        <v>45</v>
      </c>
      <c r="J1" s="39" t="s">
        <v>46</v>
      </c>
      <c r="K1" s="39" t="s">
        <v>47</v>
      </c>
      <c r="L1" s="39" t="s">
        <v>48</v>
      </c>
      <c r="M1" s="39" t="s">
        <v>49</v>
      </c>
      <c r="N1" s="39" t="s">
        <v>50</v>
      </c>
      <c r="O1" s="39" t="s">
        <v>51</v>
      </c>
      <c r="P1" s="39" t="s">
        <v>52</v>
      </c>
      <c r="Q1" s="39" t="s">
        <v>53</v>
      </c>
      <c r="R1" s="39" t="s">
        <v>54</v>
      </c>
      <c r="S1" s="39" t="s">
        <v>55</v>
      </c>
      <c r="T1" s="39" t="s">
        <v>56</v>
      </c>
      <c r="U1" s="39" t="s">
        <v>57</v>
      </c>
      <c r="V1" s="39" t="s">
        <v>58</v>
      </c>
      <c r="W1" s="39" t="s">
        <v>59</v>
      </c>
      <c r="X1" s="39" t="s">
        <v>60</v>
      </c>
      <c r="Y1" s="39" t="s">
        <v>61</v>
      </c>
      <c r="Z1" s="39" t="s">
        <v>62</v>
      </c>
      <c r="AA1" s="39" t="s">
        <v>63</v>
      </c>
      <c r="AB1" s="39" t="s">
        <v>64</v>
      </c>
      <c r="AC1" s="39" t="s">
        <v>65</v>
      </c>
      <c r="AD1" s="39" t="s">
        <v>66</v>
      </c>
      <c r="AE1" s="39" t="s">
        <v>67</v>
      </c>
      <c r="AF1" s="39" t="s">
        <v>68</v>
      </c>
      <c r="AG1" s="39" t="s">
        <v>69</v>
      </c>
      <c r="AH1" s="39" t="s">
        <v>70</v>
      </c>
      <c r="AI1" s="39" t="s">
        <v>71</v>
      </c>
      <c r="AJ1" s="39" t="s">
        <v>72</v>
      </c>
      <c r="AK1" s="39" t="s">
        <v>73</v>
      </c>
      <c r="AL1" s="39" t="s">
        <v>74</v>
      </c>
      <c r="AM1" s="39" t="s">
        <v>75</v>
      </c>
      <c r="AN1" s="39" t="s">
        <v>76</v>
      </c>
      <c r="AO1" s="39" t="s">
        <v>77</v>
      </c>
      <c r="AP1" s="39" t="s">
        <v>78</v>
      </c>
      <c r="AQ1" s="39" t="s">
        <v>79</v>
      </c>
      <c r="AR1" s="39" t="s">
        <v>80</v>
      </c>
      <c r="AS1" s="39" t="s">
        <v>81</v>
      </c>
      <c r="AT1" s="39" t="s">
        <v>18</v>
      </c>
      <c r="AU1" s="39" t="s">
        <v>19</v>
      </c>
      <c r="AV1" s="39" t="s">
        <v>20</v>
      </c>
      <c r="AW1" s="39" t="s">
        <v>31</v>
      </c>
      <c r="AX1" s="39" t="s">
        <v>87</v>
      </c>
      <c r="AY1" s="39" t="s">
        <v>21</v>
      </c>
      <c r="AZ1" s="39" t="s">
        <v>32</v>
      </c>
      <c r="BA1" s="39" t="s">
        <v>88</v>
      </c>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row>
    <row r="2" spans="1:82" x14ac:dyDescent="0.25">
      <c r="A2" t="str">
        <f>CON_Utility_Name</f>
        <v>PacifiCorp</v>
      </c>
      <c r="B2">
        <f>+CON_2018_Agriculture_Expend</f>
        <v>92247.618858477523</v>
      </c>
      <c r="C2">
        <f>+CON_2018_Agriculture_MWH</f>
        <v>425.92428230000002</v>
      </c>
      <c r="D2">
        <f>+CON_2018_Commercial_Expend</f>
        <v>4512840.0417610947</v>
      </c>
      <c r="E2">
        <f>+CON_2018_Commercial_MWH</f>
        <v>25982.933776007299</v>
      </c>
      <c r="F2">
        <f>+CON_2018_Distribution_Expend</f>
        <v>0</v>
      </c>
      <c r="G2">
        <f>+CON_2018_Distribution_MWH</f>
        <v>0</v>
      </c>
      <c r="H2">
        <f>+CON_2018_Expenditures</f>
        <v>11032170.99</v>
      </c>
      <c r="I2">
        <f>+CON_2018_Industrial_Expend</f>
        <v>1477305.0593804265</v>
      </c>
      <c r="J2">
        <f>+CON_2018_Industrial_MWH</f>
        <v>7696.9017055249997</v>
      </c>
      <c r="K2">
        <f>+CON_2018_MWH</f>
        <v>55246.819913390798</v>
      </c>
      <c r="L2">
        <f>+CON_2018_NEEA_Expend</f>
        <v>859486.92</v>
      </c>
      <c r="M2">
        <f>+CON_2018_NEEA_MWH</f>
        <v>3785.0986268014985</v>
      </c>
      <c r="N2">
        <f>+CON_2018_OtherSector1_Expend</f>
        <v>0</v>
      </c>
      <c r="O2">
        <f>+CON_2018_OtherSector1_MWH</f>
        <v>0</v>
      </c>
      <c r="P2">
        <f>+CON_2018_OtherSector2_Expend</f>
        <v>0</v>
      </c>
      <c r="Q2">
        <f>+CON_2018_OtherSector2_MWH</f>
        <v>0</v>
      </c>
      <c r="R2">
        <f>+CON_2018_Production_Expend</f>
        <v>0</v>
      </c>
      <c r="S2">
        <f>+CON_2018_Production_MWH</f>
        <v>0</v>
      </c>
      <c r="T2">
        <f>+CON_2018_Program1_Expend</f>
        <v>771562.82000000007</v>
      </c>
      <c r="U2">
        <f>+CON_2018_Program2_Expend</f>
        <v>0</v>
      </c>
      <c r="V2">
        <f>+CON_2018_Residential_Expend</f>
        <v>3318728.5300000012</v>
      </c>
      <c r="W2">
        <f>+CON_2018_Residential_MWH</f>
        <v>17355.961522757003</v>
      </c>
      <c r="X2">
        <f>+CON_2019_Agriculture_Expend</f>
        <v>257763.36789661401</v>
      </c>
      <c r="Y2">
        <f>+CON_2019_Agriculture_MWH</f>
        <v>1111</v>
      </c>
      <c r="Z2">
        <f>+CON_2019_Commercial_Expend</f>
        <v>3605930.032272025</v>
      </c>
      <c r="AA2">
        <f>+CON_2019_Commercial_MWH</f>
        <v>18220</v>
      </c>
      <c r="AB2">
        <f>+CON_2019_Distribution_Expend</f>
        <v>0</v>
      </c>
      <c r="AC2">
        <f>+CON_2019_Distribution_MWH</f>
        <v>0</v>
      </c>
      <c r="AD2">
        <f>+CON_2019_Expenditures</f>
        <v>9393295.2221141383</v>
      </c>
      <c r="AE2">
        <f>+CON_2019_Industrial_Expend</f>
        <v>589983.33194550034</v>
      </c>
      <c r="AF2">
        <f>+CON_2019_Industrial_MWH</f>
        <v>3396</v>
      </c>
      <c r="AG2">
        <f>+CON_2019_MWH</f>
        <v>33217</v>
      </c>
      <c r="AH2">
        <f>+CON_2019_NEEA_Expend</f>
        <v>878491.52</v>
      </c>
      <c r="AI2">
        <f>+CON_2019_NEEA_MWH</f>
        <v>4075</v>
      </c>
      <c r="AJ2">
        <f>+CON_2019_OtherSector1_Expend</f>
        <v>0</v>
      </c>
      <c r="AK2">
        <f>+CON_2019_OtherSector1_MWH</f>
        <v>0</v>
      </c>
      <c r="AL2">
        <f>+CON_2019_OtherSector2_Expend</f>
        <v>0</v>
      </c>
      <c r="AM2">
        <f>+CON_2019_OtherSector2_MWH</f>
        <v>0</v>
      </c>
      <c r="AN2">
        <f>+CON_2019_Production_Expend</f>
        <v>0</v>
      </c>
      <c r="AO2">
        <f>+CON_2019_Production_MWH</f>
        <v>0</v>
      </c>
      <c r="AP2">
        <f>+CON_2019_Program1_Expend</f>
        <v>787630.85000000009</v>
      </c>
      <c r="AQ2">
        <f>+CON_2019_Program2_Expend</f>
        <v>0</v>
      </c>
      <c r="AR2">
        <f>+CON_2019_Residential_Expend</f>
        <v>3273496.1199999992</v>
      </c>
      <c r="AS2">
        <f>+CON_2019_Residential_MWH</f>
        <v>6415</v>
      </c>
      <c r="AT2" t="str">
        <f>+CON_Contact_Name</f>
        <v>Cory Scott/Customer Solutions</v>
      </c>
      <c r="AU2" t="str">
        <f>+CON_Email</f>
        <v>Cory.Scott@pacificorp.com</v>
      </c>
      <c r="AV2" t="str">
        <f>+CON_Phone</f>
        <v>503-813-6011</v>
      </c>
      <c r="AW2">
        <f>CON_Potential_2018_2027</f>
        <v>394473</v>
      </c>
      <c r="AX2">
        <f>CON_Potential_2020_2029</f>
        <v>509495</v>
      </c>
      <c r="AY2">
        <f>+CON_Report_Date</f>
        <v>43983</v>
      </c>
      <c r="AZ2">
        <f>+CON_Target_2018_2019</f>
        <v>83484</v>
      </c>
      <c r="BA2">
        <f>CON_Target_2020_2021</f>
        <v>101899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2017-11-01T07:00:00+00:00</OpenedDate>
    <SignificantOrder xmlns="dc463f71-b30c-4ab2-9473-d307f9d35888">false</SignificantOrder>
    <Date1 xmlns="dc463f71-b30c-4ab2-9473-d307f9d35888">2020-06-01T07:00:00+00:00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171092</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3156BBC93C69C49887B727CA3AC463B" ma:contentTypeVersion="104" ma:contentTypeDescription="" ma:contentTypeScope="" ma:versionID="b486ff39b68594dfd0c589bd2cc021c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A03FBAE6-5891-4804-A87A-D3173298E307}"/>
</file>

<file path=customXml/itemProps3.xml><?xml version="1.0" encoding="utf-8"?>
<ds:datastoreItem xmlns:ds="http://schemas.openxmlformats.org/officeDocument/2006/customXml" ds:itemID="{B5134EF7-F04D-4218-953F-7A835D8EE7C1}">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68A97086-A91D-4BAD-B30B-F7C5D598A1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54</vt:i4>
      </vt:variant>
    </vt:vector>
  </HeadingPairs>
  <TitlesOfParts>
    <vt:vector size="57" baseType="lpstr">
      <vt:lpstr>Background</vt:lpstr>
      <vt:lpstr>Conservation Report</vt:lpstr>
      <vt:lpstr>Data</vt:lpstr>
      <vt:lpstr>CON_2018_Agriculture_Expend</vt:lpstr>
      <vt:lpstr>CON_2018_Agriculture_MWH</vt:lpstr>
      <vt:lpstr>CON_2018_Commercial_Expend</vt:lpstr>
      <vt:lpstr>CON_2018_Commercial_MWH</vt:lpstr>
      <vt:lpstr>CON_2018_Distribution_Expend</vt:lpstr>
      <vt:lpstr>CON_2018_Distribution_MWH</vt:lpstr>
      <vt:lpstr>CON_2018_Expenditures</vt:lpstr>
      <vt:lpstr>CON_2018_Industrial_Expend</vt:lpstr>
      <vt:lpstr>CON_2018_Industrial_MWH</vt:lpstr>
      <vt:lpstr>CON_2018_MWH</vt:lpstr>
      <vt:lpstr>CON_2018_NEEA_Expend</vt:lpstr>
      <vt:lpstr>CON_2018_NEEA_MWH</vt:lpstr>
      <vt:lpstr>CON_2018_OtherSector1_Expend</vt:lpstr>
      <vt:lpstr>CON_2018_OtherSector1_MWH</vt:lpstr>
      <vt:lpstr>CON_2018_OtherSector2_Expend</vt:lpstr>
      <vt:lpstr>CON_2018_OtherSector2_MWH</vt:lpstr>
      <vt:lpstr>CON_2018_Production_Expend</vt:lpstr>
      <vt:lpstr>CON_2018_Production_MWH</vt:lpstr>
      <vt:lpstr>CON_2018_Program1_Expend</vt:lpstr>
      <vt:lpstr>CON_2018_Program2_Expend</vt:lpstr>
      <vt:lpstr>CON_2018_Residential_Expend</vt:lpstr>
      <vt:lpstr>CON_2018_Residential_MWH</vt:lpstr>
      <vt:lpstr>CON_2019_Agriculture_Expend</vt:lpstr>
      <vt:lpstr>CON_2019_Agriculture_MWH</vt:lpstr>
      <vt:lpstr>CON_2019_Commercial_Expend</vt:lpstr>
      <vt:lpstr>CON_2019_Commercial_MWH</vt:lpstr>
      <vt:lpstr>CON_2019_Distribution_Expend</vt:lpstr>
      <vt:lpstr>CON_2019_Distribution_MWH</vt:lpstr>
      <vt:lpstr>CON_2019_Expenditures</vt:lpstr>
      <vt:lpstr>CON_2019_Industrial_Expend</vt:lpstr>
      <vt:lpstr>CON_2019_Industrial_MWH</vt:lpstr>
      <vt:lpstr>CON_2019_MWH</vt:lpstr>
      <vt:lpstr>CON_2019_NEEA_Expend</vt:lpstr>
      <vt:lpstr>CON_2019_NEEA_MWH</vt:lpstr>
      <vt:lpstr>CON_2019_OtherSector1_Expend</vt:lpstr>
      <vt:lpstr>CON_2019_OtherSector1_MWH</vt:lpstr>
      <vt:lpstr>CON_2019_OtherSector2_Expend</vt:lpstr>
      <vt:lpstr>CON_2019_OtherSector2_MWH</vt:lpstr>
      <vt:lpstr>CON_2019_Production_Expend</vt:lpstr>
      <vt:lpstr>CON_2019_Production_MWH</vt:lpstr>
      <vt:lpstr>CON_2019_Program1_Expend</vt:lpstr>
      <vt:lpstr>CON_2019_Program2_Expend</vt:lpstr>
      <vt:lpstr>CON_2019_Residential_Expend</vt:lpstr>
      <vt:lpstr>CON_2019_Residential_MWH</vt:lpstr>
      <vt:lpstr>CON_Contact_Name</vt:lpstr>
      <vt:lpstr>CON_Email</vt:lpstr>
      <vt:lpstr>CON_Phone</vt:lpstr>
      <vt:lpstr>CON_Potential_2018_2027</vt:lpstr>
      <vt:lpstr>CON_Potential_2020_2029</vt:lpstr>
      <vt:lpstr>CON_Report_Date</vt:lpstr>
      <vt:lpstr>CON_Target_2018_2019</vt:lpstr>
      <vt:lpstr>CON_Target_2020_2021</vt:lpstr>
      <vt:lpstr>CON_Utility_Name</vt:lpstr>
      <vt:lpstr>'Conservation Report'!Print_Area</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Karpavich, Nicole</cp:lastModifiedBy>
  <cp:lastPrinted>2019-04-03T22:15:51Z</cp:lastPrinted>
  <dcterms:created xsi:type="dcterms:W3CDTF">2012-03-20T21:01:26Z</dcterms:created>
  <dcterms:modified xsi:type="dcterms:W3CDTF">2020-05-27T17:02:38Z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0x0101006E56B4D1795A2E4DB2F0B01679ED314A0073156BBC93C69C49887B727CA3AC463B</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