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1.xml" ContentType="application/vnd.openxmlformats-officedocument.drawingml.char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4.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3.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showInkAnnotation="0" defaultThemeVersion="124226"/>
  <mc:AlternateContent xmlns:mc="http://schemas.openxmlformats.org/markup-compatibility/2006">
    <mc:Choice Requires="x15">
      <x15ac:absPath xmlns:x15ac="http://schemas.microsoft.com/office/spreadsheetml/2010/11/ac" url="G:\Dept\Rates\2017 Rate Cases\WA\Testimony\Gaske\"/>
    </mc:Choice>
  </mc:AlternateContent>
  <bookViews>
    <workbookView xWindow="0" yWindow="0" windowWidth="28800" windowHeight="12435" tabRatio="828" firstSheet="15" activeTab="19"/>
  </bookViews>
  <sheets>
    <sheet name="__snloffice" sheetId="28" state="veryHidden" r:id="rId1"/>
    <sheet name="Cover Page" sheetId="34" r:id="rId2"/>
    <sheet name="Sched 1 Econ Stats" sheetId="14" r:id="rId3"/>
    <sheet name="Sched 1 Bond Yields" sheetId="23" r:id="rId4"/>
    <sheet name="Sched 2 Flot Cost" sheetId="13" r:id="rId5"/>
    <sheet name="Sched 3 Size" sheetId="10" r:id="rId6"/>
    <sheet name="Sched 3 Credit Ratings" sheetId="2" r:id="rId7"/>
    <sheet name="Sched 4 Div Yld" sheetId="3" r:id="rId8"/>
    <sheet name="Sched 4 Earnings Growth" sheetId="5" r:id="rId9"/>
    <sheet name="Sched 4 Sust Growth" sheetId="4" r:id="rId10"/>
    <sheet name="Sched 4 Blended Growth" sheetId="24" r:id="rId11"/>
    <sheet name="Sched 4 DCF Basic" sheetId="7" r:id="rId12"/>
    <sheet name="Sched 4 DCF Blended" sheetId="6" r:id="rId13"/>
    <sheet name="Sched 5 Risk Premium" sheetId="29" r:id="rId14"/>
    <sheet name="Sched 6 Market DCF" sheetId="19" r:id="rId15"/>
    <sheet name="Sched 7 Beta" sheetId="27" r:id="rId16"/>
    <sheet name="Sched 8 CAPM " sheetId="32" r:id="rId17"/>
    <sheet name="Sched 8 CAPM Size Premium" sheetId="33" r:id="rId18"/>
    <sheet name="Sched 9 Decoupling" sheetId="31" r:id="rId19"/>
    <sheet name="Sched 10 Capital Structure" sheetId="16" r:id="rId20"/>
  </sheets>
  <externalReferences>
    <externalReference r:id="rId21"/>
  </externalReferences>
  <definedNames>
    <definedName name="_Fill" localSheetId="1" hidden="1">#REF!</definedName>
    <definedName name="_Fill" localSheetId="19" hidden="1">#REF!</definedName>
    <definedName name="_Fill" localSheetId="10" hidden="1">#REF!</definedName>
    <definedName name="_Fill" localSheetId="13" hidden="1">#REF!</definedName>
    <definedName name="_Fill" localSheetId="15" hidden="1">#REF!</definedName>
    <definedName name="_Fill" localSheetId="16" hidden="1">#REF!</definedName>
    <definedName name="_Fill" localSheetId="17" hidden="1">#REF!</definedName>
    <definedName name="_Fill" localSheetId="18" hidden="1">#REF!</definedName>
    <definedName name="_Fill" hidden="1">#REF!</definedName>
    <definedName name="_Key1" localSheetId="1" hidden="1">#REF!</definedName>
    <definedName name="_Key1" localSheetId="13" hidden="1">#REF!</definedName>
    <definedName name="_Key1" localSheetId="16" hidden="1">#REF!</definedName>
    <definedName name="_Key1" localSheetId="17" hidden="1">#REF!</definedName>
    <definedName name="_Key1" localSheetId="18" hidden="1">#REF!</definedName>
    <definedName name="_Key1" hidden="1">#REF!</definedName>
    <definedName name="_Key11" localSheetId="1" hidden="1">#REF!</definedName>
    <definedName name="_Key11" localSheetId="13" hidden="1">#REF!</definedName>
    <definedName name="_Key11" localSheetId="16" hidden="1">#REF!</definedName>
    <definedName name="_Key11" localSheetId="17" hidden="1">#REF!</definedName>
    <definedName name="_Key11" localSheetId="18" hidden="1">#REF!</definedName>
    <definedName name="_Key11" hidden="1">#REF!</definedName>
    <definedName name="_Key2" localSheetId="1" hidden="1">#REF!</definedName>
    <definedName name="_Key2" localSheetId="16" hidden="1">#REF!</definedName>
    <definedName name="_Key2" localSheetId="17" hidden="1">#REF!</definedName>
    <definedName name="_Key2" localSheetId="18" hidden="1">#REF!</definedName>
    <definedName name="_Key2" hidden="1">#REF!</definedName>
    <definedName name="_Order1" hidden="1">255</definedName>
    <definedName name="_Order2" hidden="1">255</definedName>
    <definedName name="_Regression_Int" hidden="1">1</definedName>
    <definedName name="_Regression_Out" localSheetId="1" hidden="1">#REF!</definedName>
    <definedName name="_Regression_Out" localSheetId="16" hidden="1">#REF!</definedName>
    <definedName name="_Regression_Out" localSheetId="17" hidden="1">#REF!</definedName>
    <definedName name="_Regression_Out" localSheetId="18" hidden="1">#REF!</definedName>
    <definedName name="_Regression_Out" hidden="1">#REF!</definedName>
    <definedName name="_Regression_X" localSheetId="1" hidden="1">#REF!</definedName>
    <definedName name="_Regression_X" localSheetId="16" hidden="1">#REF!</definedName>
    <definedName name="_Regression_X" localSheetId="17" hidden="1">#REF!</definedName>
    <definedName name="_Regression_X" localSheetId="18" hidden="1">#REF!</definedName>
    <definedName name="_Regression_X" hidden="1">#REF!</definedName>
    <definedName name="_Regression_Y" localSheetId="1" hidden="1">#REF!</definedName>
    <definedName name="_Regression_Y" localSheetId="16" hidden="1">#REF!</definedName>
    <definedName name="_Regression_Y" localSheetId="17" hidden="1">#REF!</definedName>
    <definedName name="_Regression_Y" localSheetId="18" hidden="1">#REF!</definedName>
    <definedName name="_Regression_Y" hidden="1">#REF!</definedName>
    <definedName name="_Sort" localSheetId="1" hidden="1">#REF!</definedName>
    <definedName name="_Sort" localSheetId="16" hidden="1">#REF!</definedName>
    <definedName name="_Sort" localSheetId="17" hidden="1">#REF!</definedName>
    <definedName name="_Sort" localSheetId="18" hidden="1">#REF!</definedName>
    <definedName name="_Sort" hidden="1">#REF!</definedName>
    <definedName name="cover" localSheetId="1" hidden="1">#REF!</definedName>
    <definedName name="cover" localSheetId="13" hidden="1">#REF!</definedName>
    <definedName name="cover" localSheetId="16" hidden="1">#REF!</definedName>
    <definedName name="cover" localSheetId="17" hidden="1">#REF!</definedName>
    <definedName name="cover" localSheetId="18" hidden="1">#REF!</definedName>
    <definedName name="cover" hidden="1">#REF!</definedName>
    <definedName name="Credit_Rating" localSheetId="1">#REF!</definedName>
    <definedName name="Credit_Rating" localSheetId="3">#REF!</definedName>
    <definedName name="Credit_Rating" localSheetId="10">#REF!</definedName>
    <definedName name="Credit_Rating" localSheetId="18">#REF!</definedName>
    <definedName name="Credit_Rating">#REF!</definedName>
    <definedName name="Credit_Rating_Ticker" localSheetId="1">#REF!</definedName>
    <definedName name="Credit_Rating_Ticker" localSheetId="3">#REF!</definedName>
    <definedName name="Credit_Rating_Ticker" localSheetId="10">#REF!</definedName>
    <definedName name="Credit_Rating_Ticker" localSheetId="18">#REF!</definedName>
    <definedName name="Credit_Rating_Ticker">#REF!</definedName>
    <definedName name="Dividend" localSheetId="1">#REF!</definedName>
    <definedName name="Dividend" localSheetId="3">#REF!</definedName>
    <definedName name="Dividend" localSheetId="10">#REF!</definedName>
    <definedName name="Dividend" localSheetId="18">#REF!</definedName>
    <definedName name="Dividend">#REF!</definedName>
    <definedName name="Dividend_Ticker" localSheetId="1">#REF!</definedName>
    <definedName name="Dividend_Ticker" localSheetId="3">#REF!</definedName>
    <definedName name="Dividend_Ticker" localSheetId="10">#REF!</definedName>
    <definedName name="Dividend_Ticker" localSheetId="18">#REF!</definedName>
    <definedName name="Dividend_Ticker">#REF!</definedName>
    <definedName name="DIVIDENDS" localSheetId="1">#REF!</definedName>
    <definedName name="DIVIDENDS" localSheetId="10">#REF!</definedName>
    <definedName name="DIVIDENDS" localSheetId="18">#REF!</definedName>
    <definedName name="DIVIDENDS">#REF!</definedName>
    <definedName name="EV__LASTREFTIME__" hidden="1">39198.5712152778</definedName>
    <definedName name="f" localSheetId="1" hidden="1">#REF!</definedName>
    <definedName name="f" localSheetId="16" hidden="1">#REF!</definedName>
    <definedName name="f" localSheetId="17" hidden="1">#REF!</definedName>
    <definedName name="f" localSheetId="18" hidden="1">#REF!</definedName>
    <definedName name="f" hidden="1">#REF!</definedName>
    <definedName name="ff" localSheetId="1" hidden="1">#REF!</definedName>
    <definedName name="ff" localSheetId="16" hidden="1">#REF!</definedName>
    <definedName name="ff" localSheetId="17" hidden="1">#REF!</definedName>
    <definedName name="ff" localSheetId="18" hidden="1">#REF!</definedName>
    <definedName name="ff" hidden="1">#REF!</definedName>
    <definedName name="fffff" localSheetId="1" hidden="1">#REF!</definedName>
    <definedName name="fffff" localSheetId="16" hidden="1">#REF!</definedName>
    <definedName name="fffff" localSheetId="17" hidden="1">#REF!</definedName>
    <definedName name="fffff" localSheetId="18" hidden="1">#REF!</definedName>
    <definedName name="fffff" hidden="1">#REF!</definedName>
    <definedName name="fffffffffffffffffffff" localSheetId="1" hidden="1">#REF!</definedName>
    <definedName name="fffffffffffffffffffff" localSheetId="16" hidden="1">#REF!</definedName>
    <definedName name="fffffffffffffffffffff" localSheetId="17" hidden="1">#REF!</definedName>
    <definedName name="fffffffffffffffffffff" localSheetId="18" hidden="1">#REF!</definedName>
    <definedName name="fffffffffffffffffffff" hidden="1">#REF!</definedName>
    <definedName name="Inputs_Group" localSheetId="1">#REF!</definedName>
    <definedName name="Inputs_Group" localSheetId="3">#REF!</definedName>
    <definedName name="Inputs_Group" localSheetId="10">#REF!</definedName>
    <definedName name="Inputs_Group" localSheetId="18">#REF!</definedName>
    <definedName name="Inputs_Group">#REF!</definedName>
    <definedName name="Inputs_Ticker" localSheetId="1">#REF!</definedName>
    <definedName name="Inputs_Ticker" localSheetId="3">#REF!</definedName>
    <definedName name="Inputs_Ticker" localSheetId="10">#REF!</definedName>
    <definedName name="Inputs_Ticker" localSheetId="18">#REF!</definedName>
    <definedName name="Inputs_Ticker">#REF!</definedName>
    <definedName name="IQ_ADDIN" hidden="1">"AUTO"</definedName>
    <definedName name="IQ_CH" hidden="1">110000</definedName>
    <definedName name="IQ_CQ" hidden="1">5000</definedName>
    <definedName name="IQ_CY" hidden="1">10000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MONTH" hidden="1">15000</definedName>
    <definedName name="IQ_NAMES_REVISION_DATE_" hidden="1">40164.5046875</definedName>
    <definedName name="IQ_NTM" hidden="1">6000</definedName>
    <definedName name="IQ_TODAY" hidden="1">0</definedName>
    <definedName name="IQ_WEEK" hidden="1">50000</definedName>
    <definedName name="IQ_YTD" hidden="1">3000</definedName>
    <definedName name="l" localSheetId="1" hidden="1">#REF!</definedName>
    <definedName name="l" localSheetId="16" hidden="1">#REF!</definedName>
    <definedName name="l" localSheetId="17" hidden="1">#REF!</definedName>
    <definedName name="l" localSheetId="18" hidden="1">#REF!</definedName>
    <definedName name="l" hidden="1">#REF!</definedName>
    <definedName name="PopCache_GL_INTERFACE_REFERENCE7" hidden="1">[1]PopCache!$A$1:$A$2</definedName>
    <definedName name="_xlnm.Print_Area" localSheetId="3">'Sched 1 Bond Yields'!$A$1:$H$117</definedName>
    <definedName name="_xlnm.Print_Area" localSheetId="2">'Sched 1 Econ Stats'!$A$1:$F$55</definedName>
    <definedName name="_xlnm.Print_Area" localSheetId="19">'Sched 10 Capital Structure'!$A$1:$L$22</definedName>
    <definedName name="_xlnm.Print_Area" localSheetId="4">'Sched 2 Flot Cost'!$A$1:$F$49</definedName>
    <definedName name="_xlnm.Print_Area" localSheetId="6">'Sched 3 Credit Ratings'!$A$1:$D$23</definedName>
    <definedName name="_xlnm.Print_Area" localSheetId="5">'Sched 3 Size'!$A$1:$I$31</definedName>
    <definedName name="_xlnm.Print_Area" localSheetId="10">'Sched 4 Blended Growth'!$A$1:$E$20</definedName>
    <definedName name="_xlnm.Print_Area" localSheetId="11">'Sched 4 DCF Basic'!$A$1:$H$23</definedName>
    <definedName name="_xlnm.Print_Area" localSheetId="12">'Sched 4 DCF Blended'!$A$1:$H$23</definedName>
    <definedName name="_xlnm.Print_Area" localSheetId="8">'Sched 4 Earnings Growth'!$A$1:$E$20</definedName>
    <definedName name="_xlnm.Print_Area" localSheetId="9">'Sched 4 Sust Growth'!$A$1:$S$20</definedName>
    <definedName name="_xlnm.Print_Area" localSheetId="13">'Sched 5 Risk Premium'!$B$2:$E$107,'Sched 5 Risk Premium'!$G$2:$O$63</definedName>
    <definedName name="_xlnm.Print_Area" localSheetId="14">'Sched 6 Market DCF'!$A$1:$J$534</definedName>
    <definedName name="_xlnm.Print_Area" localSheetId="15">'Sched 7 Beta'!$A$1:$C$19</definedName>
    <definedName name="_xlnm.Print_Area" localSheetId="16">'Sched 8 CAPM '!$A$1:$K$30</definedName>
    <definedName name="_xlnm.Print_Area" localSheetId="17">'Sched 8 CAPM Size Premium'!$A$1:$G$24</definedName>
    <definedName name="_xlnm.Print_Area" localSheetId="18">'Sched 9 Decoupling'!$A$1:$H$44</definedName>
    <definedName name="_xlnm.Print_Titles" localSheetId="3">'Sched 1 Bond Yields'!$1:$9</definedName>
    <definedName name="_xlnm.Print_Titles" localSheetId="4">'Sched 2 Flot Cost'!$1:$7</definedName>
    <definedName name="_xlnm.Print_Titles" localSheetId="7">'Sched 4 Div Yld'!$1:$24</definedName>
    <definedName name="_xlnm.Print_Titles" localSheetId="13">'Sched 5 Risk Premium'!$2:$6</definedName>
    <definedName name="_xlnm.Print_Titles" localSheetId="14">'Sched 6 Market DCF'!$1:$13</definedName>
    <definedName name="S" localSheetId="1" hidden="1">#REF!</definedName>
    <definedName name="S" localSheetId="13" hidden="1">#REF!</definedName>
    <definedName name="S" localSheetId="16" hidden="1">#REF!</definedName>
    <definedName name="S" localSheetId="17" hidden="1">#REF!</definedName>
    <definedName name="S" localSheetId="18" hidden="1">#REF!</definedName>
    <definedName name="S" hidden="1">#REF!</definedName>
    <definedName name="wrn.MFR." localSheetId="1"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13"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16"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17"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18"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SUP." localSheetId="1"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13"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16"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17"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18"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X" localSheetId="1" hidden="1">#REF!</definedName>
    <definedName name="X" localSheetId="13" hidden="1">#REF!</definedName>
    <definedName name="X" localSheetId="16" hidden="1">#REF!</definedName>
    <definedName name="X" localSheetId="17" hidden="1">#REF!</definedName>
    <definedName name="X" localSheetId="18" hidden="1">#REF!</definedName>
    <definedName name="X" hidden="1">#REF!</definedName>
    <definedName name="Y" localSheetId="1" hidden="1">#REF!</definedName>
    <definedName name="Y" localSheetId="13" hidden="1">#REF!</definedName>
    <definedName name="Y" localSheetId="16" hidden="1">#REF!</definedName>
    <definedName name="Y" localSheetId="17" hidden="1">#REF!</definedName>
    <definedName name="Y" localSheetId="18" hidden="1">#REF!</definedName>
    <definedName name="Y" hidden="1">#REF!</definedName>
    <definedName name="Z" localSheetId="1" hidden="1">#REF!</definedName>
    <definedName name="Z" localSheetId="13" hidden="1">#REF!</definedName>
    <definedName name="Z" localSheetId="16" hidden="1">#REF!</definedName>
    <definedName name="Z" localSheetId="17" hidden="1">#REF!</definedName>
    <definedName name="Z" localSheetId="18" hidden="1">#REF!</definedName>
    <definedName name="Z" hidden="1">#REF!</definedName>
  </definedNames>
  <calcPr calcId="171027" iterate="1" iterateCount="500"/>
</workbook>
</file>

<file path=xl/calcChain.xml><?xml version="1.0" encoding="utf-8"?>
<calcChain xmlns="http://schemas.openxmlformats.org/spreadsheetml/2006/main">
  <c r="L49" i="29" l="1"/>
  <c r="Q15" i="4" l="1"/>
  <c r="Q14" i="4"/>
  <c r="Q13" i="4"/>
  <c r="Q12" i="4"/>
  <c r="Q11" i="4"/>
  <c r="Q10" i="4"/>
  <c r="Q9" i="4"/>
  <c r="F108" i="23" l="1"/>
  <c r="E108" i="23"/>
  <c r="D108" i="23"/>
  <c r="C108" i="23"/>
  <c r="H106" i="23"/>
  <c r="G106" i="23"/>
  <c r="F23" i="10" l="1"/>
  <c r="H23" i="10"/>
  <c r="D23" i="10"/>
  <c r="O73" i="19" l="1"/>
  <c r="K15" i="16" l="1"/>
  <c r="K9" i="16"/>
  <c r="H40" i="31"/>
  <c r="H38" i="31"/>
  <c r="H39" i="31"/>
  <c r="H36" i="31"/>
  <c r="H33" i="31"/>
  <c r="H34" i="31"/>
  <c r="H35" i="31"/>
  <c r="H10" i="31" l="1"/>
  <c r="G17" i="33" l="1"/>
  <c r="E104" i="29" l="1"/>
  <c r="G105" i="23" l="1"/>
  <c r="E45" i="14" l="1"/>
  <c r="F45" i="14"/>
  <c r="F13" i="14"/>
  <c r="D11" i="32" l="1"/>
  <c r="D12" i="32"/>
  <c r="D13" i="32"/>
  <c r="D14" i="32"/>
  <c r="D15" i="32"/>
  <c r="D10" i="32"/>
  <c r="D9" i="32"/>
  <c r="F14" i="19"/>
  <c r="E14" i="19"/>
  <c r="D106" i="29" l="1"/>
  <c r="D107" i="29"/>
  <c r="C107" i="29"/>
  <c r="C106" i="29"/>
  <c r="E103" i="29"/>
  <c r="G9" i="4" l="1"/>
  <c r="E17" i="5"/>
  <c r="C17" i="5"/>
  <c r="C18" i="5"/>
  <c r="D18" i="5"/>
  <c r="D17" i="5"/>
  <c r="H63" i="3"/>
  <c r="H46" i="3"/>
  <c r="F59" i="3" l="1"/>
  <c r="F57" i="3"/>
  <c r="F58" i="3"/>
  <c r="G16" i="2" l="1"/>
  <c r="G14" i="2"/>
  <c r="C17" i="2"/>
  <c r="C16" i="2"/>
  <c r="G103" i="23" l="1"/>
  <c r="H103" i="23"/>
  <c r="G104" i="23"/>
  <c r="H104" i="23"/>
  <c r="H105" i="23"/>
  <c r="B47" i="14" l="1"/>
  <c r="F9" i="32" l="1"/>
  <c r="F10" i="32"/>
  <c r="F11" i="32"/>
  <c r="F12" i="32"/>
  <c r="F13" i="32"/>
  <c r="F14" i="32"/>
  <c r="F15" i="32"/>
  <c r="G15" i="33"/>
  <c r="J15" i="32" s="1"/>
  <c r="E15" i="33"/>
  <c r="G14" i="33"/>
  <c r="J14" i="32" s="1"/>
  <c r="E14" i="33"/>
  <c r="G13" i="33"/>
  <c r="J13" i="32" s="1"/>
  <c r="E13" i="33"/>
  <c r="G12" i="33"/>
  <c r="J12" i="32" s="1"/>
  <c r="E12" i="33"/>
  <c r="G11" i="33"/>
  <c r="J11" i="32" s="1"/>
  <c r="E11" i="33"/>
  <c r="G10" i="33"/>
  <c r="J10" i="32" s="1"/>
  <c r="E10" i="33"/>
  <c r="G9" i="33"/>
  <c r="E9" i="33"/>
  <c r="H15" i="32"/>
  <c r="H14" i="32"/>
  <c r="H13" i="32"/>
  <c r="H12" i="32"/>
  <c r="H11" i="32"/>
  <c r="H10" i="32"/>
  <c r="H9" i="32"/>
  <c r="J9" i="32" l="1"/>
  <c r="J9" i="4"/>
  <c r="M9" i="4"/>
  <c r="O9" i="4" s="1"/>
  <c r="J10" i="4"/>
  <c r="M10" i="4"/>
  <c r="O10" i="4" s="1"/>
  <c r="J11" i="4"/>
  <c r="M11" i="4"/>
  <c r="O11" i="4" s="1"/>
  <c r="J12" i="4"/>
  <c r="M12" i="4"/>
  <c r="O12" i="4" s="1"/>
  <c r="J13" i="4"/>
  <c r="M13" i="4"/>
  <c r="O13" i="4" s="1"/>
  <c r="J14" i="4"/>
  <c r="M14" i="4"/>
  <c r="O14" i="4" s="1"/>
  <c r="J15" i="4"/>
  <c r="M15" i="4"/>
  <c r="O15" i="4" s="1"/>
  <c r="P12" i="4" l="1"/>
  <c r="R12" i="4" s="1"/>
  <c r="P10" i="4"/>
  <c r="R10" i="4" s="1"/>
  <c r="P14" i="4"/>
  <c r="R14" i="4" s="1"/>
  <c r="P9" i="4"/>
  <c r="R9" i="4" s="1"/>
  <c r="P11" i="4"/>
  <c r="P15" i="4"/>
  <c r="P13" i="4"/>
  <c r="R11" i="4" l="1"/>
  <c r="R15" i="4"/>
  <c r="R13" i="4"/>
  <c r="H32" i="31" l="1"/>
  <c r="H31" i="31"/>
  <c r="H30" i="31"/>
  <c r="H29" i="31"/>
  <c r="H28" i="31"/>
  <c r="H27" i="31"/>
  <c r="H26" i="31"/>
  <c r="H25" i="31"/>
  <c r="H24" i="31"/>
  <c r="H23" i="31"/>
  <c r="H22" i="31"/>
  <c r="H21" i="31"/>
  <c r="H20" i="31"/>
  <c r="H19" i="31"/>
  <c r="H18" i="31"/>
  <c r="H17" i="31"/>
  <c r="H16" i="31"/>
  <c r="H15" i="31"/>
  <c r="H14" i="31"/>
  <c r="H13" i="31"/>
  <c r="H12" i="31"/>
  <c r="H11" i="31"/>
  <c r="K11" i="16" l="1"/>
  <c r="F11" i="16" s="1"/>
  <c r="C17" i="27"/>
  <c r="G11" i="6"/>
  <c r="G11" i="7"/>
  <c r="F11" i="4"/>
  <c r="G11" i="4" s="1"/>
  <c r="S11" i="4" s="1"/>
  <c r="D11" i="24" s="1"/>
  <c r="E11" i="5"/>
  <c r="C11" i="24" s="1"/>
  <c r="F46" i="3"/>
  <c r="C41" i="3"/>
  <c r="C42" i="3"/>
  <c r="C43" i="3"/>
  <c r="C44" i="3"/>
  <c r="C45" i="3"/>
  <c r="C46" i="3"/>
  <c r="F45" i="3"/>
  <c r="H45" i="3" s="1"/>
  <c r="F44" i="3"/>
  <c r="H44" i="3" s="1"/>
  <c r="H43" i="3"/>
  <c r="F43" i="3"/>
  <c r="F42" i="3"/>
  <c r="H42" i="3" s="1"/>
  <c r="H41" i="3"/>
  <c r="F41" i="3"/>
  <c r="F16" i="2"/>
  <c r="F9" i="2"/>
  <c r="G9" i="2"/>
  <c r="F10" i="2"/>
  <c r="G10" i="2"/>
  <c r="F11" i="2"/>
  <c r="G11" i="2"/>
  <c r="F12" i="2"/>
  <c r="G12" i="2"/>
  <c r="F13" i="2"/>
  <c r="G13" i="2"/>
  <c r="D16" i="2" s="1"/>
  <c r="F14" i="2"/>
  <c r="G8" i="2"/>
  <c r="F8" i="2"/>
  <c r="E11" i="24" l="1"/>
  <c r="E11" i="6" s="1"/>
  <c r="E11" i="7"/>
  <c r="H47" i="3"/>
  <c r="H13" i="3" s="1"/>
  <c r="C11" i="6" s="1"/>
  <c r="G17" i="2"/>
  <c r="D17" i="2" s="1"/>
  <c r="H11" i="16"/>
  <c r="J11" i="16"/>
  <c r="D11" i="16"/>
  <c r="D11" i="6" l="1"/>
  <c r="F11" i="6" s="1"/>
  <c r="H11" i="6" s="1"/>
  <c r="C11" i="7"/>
  <c r="D11" i="7" s="1"/>
  <c r="F11" i="7" s="1"/>
  <c r="H11" i="7" s="1"/>
  <c r="F44" i="13"/>
  <c r="F35" i="13"/>
  <c r="F36" i="13"/>
  <c r="F37" i="13"/>
  <c r="F38" i="13"/>
  <c r="F39" i="13"/>
  <c r="F40" i="13"/>
  <c r="F41" i="13"/>
  <c r="F42" i="13"/>
  <c r="E102" i="29" l="1"/>
  <c r="E101" i="29"/>
  <c r="E100" i="29"/>
  <c r="E99" i="29"/>
  <c r="E98" i="29"/>
  <c r="E97" i="29"/>
  <c r="E96" i="29"/>
  <c r="E95" i="29"/>
  <c r="E94" i="29"/>
  <c r="E93" i="29"/>
  <c r="E92" i="29"/>
  <c r="E91" i="29"/>
  <c r="E90" i="29"/>
  <c r="E89" i="29"/>
  <c r="E88" i="29"/>
  <c r="E87" i="29"/>
  <c r="E86" i="29"/>
  <c r="E85" i="29"/>
  <c r="E84" i="29"/>
  <c r="E83" i="29"/>
  <c r="E82" i="29"/>
  <c r="E81" i="29"/>
  <c r="E80" i="29"/>
  <c r="E79" i="29"/>
  <c r="E78" i="29"/>
  <c r="E77" i="29"/>
  <c r="E76" i="29"/>
  <c r="E75" i="29"/>
  <c r="E74" i="29"/>
  <c r="E73" i="29"/>
  <c r="E72" i="29"/>
  <c r="E71" i="29"/>
  <c r="E70" i="29"/>
  <c r="E69" i="29"/>
  <c r="E68" i="29"/>
  <c r="E67" i="29"/>
  <c r="E66" i="29"/>
  <c r="E65" i="29"/>
  <c r="E64" i="29"/>
  <c r="E63" i="29"/>
  <c r="E62" i="29"/>
  <c r="E61" i="29"/>
  <c r="E60" i="29"/>
  <c r="E59" i="29"/>
  <c r="E58" i="29"/>
  <c r="E57" i="29"/>
  <c r="E56" i="29"/>
  <c r="E55" i="29"/>
  <c r="E54" i="29"/>
  <c r="E53" i="29"/>
  <c r="E52" i="29"/>
  <c r="E51" i="29"/>
  <c r="E50" i="29"/>
  <c r="E49" i="29"/>
  <c r="E48" i="29"/>
  <c r="E47" i="29"/>
  <c r="E46" i="29"/>
  <c r="E45" i="29"/>
  <c r="E44" i="29"/>
  <c r="E43" i="29"/>
  <c r="E42" i="29"/>
  <c r="E41" i="29"/>
  <c r="E40" i="29"/>
  <c r="E39" i="29"/>
  <c r="E38" i="29"/>
  <c r="E37" i="29"/>
  <c r="E36" i="29"/>
  <c r="E35" i="29"/>
  <c r="E34" i="29"/>
  <c r="E33" i="29"/>
  <c r="E32" i="29"/>
  <c r="E31" i="29"/>
  <c r="E30" i="29"/>
  <c r="E29" i="29"/>
  <c r="E28" i="29"/>
  <c r="E27" i="29"/>
  <c r="E26" i="29"/>
  <c r="E25" i="29"/>
  <c r="E24" i="29"/>
  <c r="E23" i="29"/>
  <c r="E22" i="29"/>
  <c r="E21" i="29"/>
  <c r="E20" i="29"/>
  <c r="E19" i="29"/>
  <c r="E18" i="29"/>
  <c r="E17" i="29"/>
  <c r="E16" i="29"/>
  <c r="E15" i="29"/>
  <c r="E14" i="29"/>
  <c r="E13" i="29"/>
  <c r="E12" i="29"/>
  <c r="E11" i="29"/>
  <c r="E10" i="29"/>
  <c r="E9" i="29"/>
  <c r="E8" i="29"/>
  <c r="E7" i="29"/>
  <c r="E106" i="29" l="1"/>
  <c r="E107" i="29"/>
  <c r="G62" i="29"/>
  <c r="M50" i="29"/>
  <c r="N50" i="29" s="1"/>
  <c r="M49" i="29"/>
  <c r="N49" i="29" s="1"/>
  <c r="M48" i="29"/>
  <c r="N48" i="29" s="1"/>
  <c r="N52" i="29" s="1"/>
  <c r="P518" i="19" l="1"/>
  <c r="O518" i="19"/>
  <c r="P517" i="19"/>
  <c r="O517" i="19"/>
  <c r="P516" i="19"/>
  <c r="O516" i="19"/>
  <c r="P515" i="19"/>
  <c r="O515" i="19"/>
  <c r="P514" i="19"/>
  <c r="O514" i="19"/>
  <c r="P513" i="19"/>
  <c r="O513" i="19"/>
  <c r="P512" i="19"/>
  <c r="O512" i="19"/>
  <c r="P511" i="19"/>
  <c r="O511" i="19"/>
  <c r="P510" i="19"/>
  <c r="O510" i="19"/>
  <c r="P509" i="19"/>
  <c r="O509" i="19"/>
  <c r="P508" i="19"/>
  <c r="O508" i="19"/>
  <c r="P507" i="19"/>
  <c r="O507" i="19"/>
  <c r="P506" i="19"/>
  <c r="O506" i="19"/>
  <c r="P505" i="19"/>
  <c r="O505" i="19"/>
  <c r="P504" i="19"/>
  <c r="O504" i="19"/>
  <c r="P503" i="19"/>
  <c r="O503" i="19"/>
  <c r="P502" i="19"/>
  <c r="O502" i="19"/>
  <c r="P501" i="19"/>
  <c r="O501" i="19"/>
  <c r="P500" i="19"/>
  <c r="O500" i="19"/>
  <c r="P499" i="19"/>
  <c r="O499" i="19"/>
  <c r="P498" i="19"/>
  <c r="O498" i="19"/>
  <c r="P497" i="19"/>
  <c r="O497" i="19"/>
  <c r="P496" i="19"/>
  <c r="O496" i="19"/>
  <c r="P495" i="19"/>
  <c r="O495" i="19"/>
  <c r="P494" i="19"/>
  <c r="O494" i="19"/>
  <c r="P493" i="19"/>
  <c r="O493" i="19"/>
  <c r="P492" i="19"/>
  <c r="O492" i="19"/>
  <c r="P491" i="19"/>
  <c r="O491" i="19"/>
  <c r="P490" i="19"/>
  <c r="O490" i="19"/>
  <c r="P489" i="19"/>
  <c r="O489" i="19"/>
  <c r="P488" i="19"/>
  <c r="O488" i="19"/>
  <c r="P487" i="19"/>
  <c r="O487" i="19"/>
  <c r="P486" i="19"/>
  <c r="O486" i="19"/>
  <c r="P485" i="19"/>
  <c r="O485" i="19"/>
  <c r="P484" i="19"/>
  <c r="O484" i="19"/>
  <c r="P483" i="19"/>
  <c r="O483" i="19"/>
  <c r="P482" i="19"/>
  <c r="O482" i="19"/>
  <c r="P481" i="19"/>
  <c r="O481" i="19"/>
  <c r="P480" i="19"/>
  <c r="O480" i="19"/>
  <c r="P479" i="19"/>
  <c r="O479" i="19"/>
  <c r="P478" i="19"/>
  <c r="O478" i="19"/>
  <c r="P477" i="19"/>
  <c r="O477" i="19"/>
  <c r="P476" i="19"/>
  <c r="O476" i="19"/>
  <c r="P475" i="19"/>
  <c r="O475" i="19"/>
  <c r="P474" i="19"/>
  <c r="O474" i="19"/>
  <c r="P473" i="19"/>
  <c r="O473" i="19"/>
  <c r="P472" i="19"/>
  <c r="O472" i="19"/>
  <c r="P471" i="19"/>
  <c r="O471" i="19"/>
  <c r="P470" i="19"/>
  <c r="O470" i="19"/>
  <c r="P469" i="19"/>
  <c r="O469" i="19"/>
  <c r="P468" i="19"/>
  <c r="O468" i="19"/>
  <c r="P467" i="19"/>
  <c r="O467" i="19"/>
  <c r="P466" i="19"/>
  <c r="O466" i="19"/>
  <c r="P465" i="19"/>
  <c r="O465" i="19"/>
  <c r="P464" i="19"/>
  <c r="O464" i="19"/>
  <c r="P463" i="19"/>
  <c r="O463" i="19"/>
  <c r="P462" i="19"/>
  <c r="O462" i="19"/>
  <c r="P461" i="19"/>
  <c r="O461" i="19"/>
  <c r="P460" i="19"/>
  <c r="O460" i="19"/>
  <c r="P459" i="19"/>
  <c r="O459" i="19"/>
  <c r="P458" i="19"/>
  <c r="O458" i="19"/>
  <c r="P457" i="19"/>
  <c r="O457" i="19"/>
  <c r="P456" i="19"/>
  <c r="O456" i="19"/>
  <c r="P455" i="19"/>
  <c r="O455" i="19"/>
  <c r="P454" i="19"/>
  <c r="O454" i="19"/>
  <c r="P453" i="19"/>
  <c r="O453" i="19"/>
  <c r="P452" i="19"/>
  <c r="O452" i="19"/>
  <c r="P451" i="19"/>
  <c r="O451" i="19"/>
  <c r="P450" i="19"/>
  <c r="O450" i="19"/>
  <c r="P449" i="19"/>
  <c r="O449" i="19"/>
  <c r="P448" i="19"/>
  <c r="O448" i="19"/>
  <c r="P447" i="19"/>
  <c r="O447" i="19"/>
  <c r="P446" i="19"/>
  <c r="O446" i="19"/>
  <c r="P445" i="19"/>
  <c r="O445" i="19"/>
  <c r="P444" i="19"/>
  <c r="O444" i="19"/>
  <c r="P443" i="19"/>
  <c r="O443" i="19"/>
  <c r="P442" i="19"/>
  <c r="O442" i="19"/>
  <c r="P441" i="19"/>
  <c r="O441" i="19"/>
  <c r="P440" i="19"/>
  <c r="O440" i="19"/>
  <c r="P439" i="19"/>
  <c r="O439" i="19"/>
  <c r="P438" i="19"/>
  <c r="O438" i="19"/>
  <c r="P437" i="19"/>
  <c r="O437" i="19"/>
  <c r="P436" i="19"/>
  <c r="O436" i="19"/>
  <c r="P435" i="19"/>
  <c r="O435" i="19"/>
  <c r="P434" i="19"/>
  <c r="O434" i="19"/>
  <c r="P433" i="19"/>
  <c r="O433" i="19"/>
  <c r="P432" i="19"/>
  <c r="O432" i="19"/>
  <c r="P431" i="19"/>
  <c r="O431" i="19"/>
  <c r="P430" i="19"/>
  <c r="O430" i="19"/>
  <c r="P429" i="19"/>
  <c r="O429" i="19"/>
  <c r="P428" i="19"/>
  <c r="O428" i="19"/>
  <c r="P427" i="19"/>
  <c r="O427" i="19"/>
  <c r="P426" i="19"/>
  <c r="O426" i="19"/>
  <c r="P425" i="19"/>
  <c r="O425" i="19"/>
  <c r="P424" i="19"/>
  <c r="O424" i="19"/>
  <c r="P423" i="19"/>
  <c r="O423" i="19"/>
  <c r="P422" i="19"/>
  <c r="O422" i="19"/>
  <c r="P421" i="19"/>
  <c r="O421" i="19"/>
  <c r="P420" i="19"/>
  <c r="O420" i="19"/>
  <c r="P419" i="19"/>
  <c r="O419" i="19"/>
  <c r="P418" i="19"/>
  <c r="O418" i="19"/>
  <c r="P417" i="19"/>
  <c r="O417" i="19"/>
  <c r="P416" i="19"/>
  <c r="O416" i="19"/>
  <c r="P415" i="19"/>
  <c r="O415" i="19"/>
  <c r="P414" i="19"/>
  <c r="O414" i="19"/>
  <c r="P413" i="19"/>
  <c r="O413" i="19"/>
  <c r="P412" i="19"/>
  <c r="O412" i="19"/>
  <c r="P411" i="19"/>
  <c r="O411" i="19"/>
  <c r="P410" i="19"/>
  <c r="O410" i="19"/>
  <c r="P409" i="19"/>
  <c r="O409" i="19"/>
  <c r="P408" i="19"/>
  <c r="O408" i="19"/>
  <c r="P407" i="19"/>
  <c r="O407" i="19"/>
  <c r="P406" i="19"/>
  <c r="O406" i="19"/>
  <c r="P405" i="19"/>
  <c r="O405" i="19"/>
  <c r="P404" i="19"/>
  <c r="O404" i="19"/>
  <c r="P403" i="19"/>
  <c r="O403" i="19"/>
  <c r="P402" i="19"/>
  <c r="O402" i="19"/>
  <c r="P401" i="19"/>
  <c r="O401" i="19"/>
  <c r="P400" i="19"/>
  <c r="O400" i="19"/>
  <c r="P399" i="19"/>
  <c r="O399" i="19"/>
  <c r="P398" i="19"/>
  <c r="O398" i="19"/>
  <c r="P397" i="19"/>
  <c r="O397" i="19"/>
  <c r="P396" i="19"/>
  <c r="O396" i="19"/>
  <c r="P395" i="19"/>
  <c r="O395" i="19"/>
  <c r="P394" i="19"/>
  <c r="O394" i="19"/>
  <c r="P393" i="19"/>
  <c r="O393" i="19"/>
  <c r="P392" i="19"/>
  <c r="O392" i="19"/>
  <c r="P391" i="19"/>
  <c r="O391" i="19"/>
  <c r="P390" i="19"/>
  <c r="O390" i="19"/>
  <c r="P389" i="19"/>
  <c r="O389" i="19"/>
  <c r="P388" i="19"/>
  <c r="O388" i="19"/>
  <c r="P387" i="19"/>
  <c r="O387" i="19"/>
  <c r="P386" i="19"/>
  <c r="O386" i="19"/>
  <c r="P385" i="19"/>
  <c r="O385" i="19"/>
  <c r="P384" i="19"/>
  <c r="O384" i="19"/>
  <c r="P383" i="19"/>
  <c r="O383" i="19"/>
  <c r="P382" i="19"/>
  <c r="O382" i="19"/>
  <c r="P381" i="19"/>
  <c r="O381" i="19"/>
  <c r="P380" i="19"/>
  <c r="O380" i="19"/>
  <c r="P379" i="19"/>
  <c r="O379" i="19"/>
  <c r="P378" i="19"/>
  <c r="O378" i="19"/>
  <c r="P377" i="19"/>
  <c r="O377" i="19"/>
  <c r="P376" i="19"/>
  <c r="O376" i="19"/>
  <c r="P375" i="19"/>
  <c r="O375" i="19"/>
  <c r="P374" i="19"/>
  <c r="O374" i="19"/>
  <c r="P373" i="19"/>
  <c r="O373" i="19"/>
  <c r="P372" i="19"/>
  <c r="O372" i="19"/>
  <c r="P371" i="19"/>
  <c r="O371" i="19"/>
  <c r="P370" i="19"/>
  <c r="O370" i="19"/>
  <c r="P369" i="19"/>
  <c r="O369" i="19"/>
  <c r="P368" i="19"/>
  <c r="O368" i="19"/>
  <c r="P367" i="19"/>
  <c r="O367" i="19"/>
  <c r="P366" i="19"/>
  <c r="O366" i="19"/>
  <c r="P365" i="19"/>
  <c r="O365" i="19"/>
  <c r="P364" i="19"/>
  <c r="O364" i="19"/>
  <c r="P363" i="19"/>
  <c r="O363" i="19"/>
  <c r="P362" i="19"/>
  <c r="O362" i="19"/>
  <c r="P361" i="19"/>
  <c r="O361" i="19"/>
  <c r="P360" i="19"/>
  <c r="O360" i="19"/>
  <c r="P359" i="19"/>
  <c r="O359" i="19"/>
  <c r="P358" i="19"/>
  <c r="O358" i="19"/>
  <c r="P357" i="19"/>
  <c r="O357" i="19"/>
  <c r="P356" i="19"/>
  <c r="O356" i="19"/>
  <c r="P355" i="19"/>
  <c r="O355" i="19"/>
  <c r="P354" i="19"/>
  <c r="O354" i="19"/>
  <c r="P353" i="19"/>
  <c r="O353" i="19"/>
  <c r="P352" i="19"/>
  <c r="O352" i="19"/>
  <c r="P351" i="19"/>
  <c r="O351" i="19"/>
  <c r="P350" i="19"/>
  <c r="O350" i="19"/>
  <c r="P349" i="19"/>
  <c r="O349" i="19"/>
  <c r="P348" i="19"/>
  <c r="O348" i="19"/>
  <c r="P347" i="19"/>
  <c r="O347" i="19"/>
  <c r="P346" i="19"/>
  <c r="O346" i="19"/>
  <c r="P345" i="19"/>
  <c r="O345" i="19"/>
  <c r="P344" i="19"/>
  <c r="O344" i="19"/>
  <c r="P343" i="19"/>
  <c r="O343" i="19"/>
  <c r="P342" i="19"/>
  <c r="O342" i="19"/>
  <c r="P341" i="19"/>
  <c r="O341" i="19"/>
  <c r="P340" i="19"/>
  <c r="O340" i="19"/>
  <c r="P339" i="19"/>
  <c r="O339" i="19"/>
  <c r="P338" i="19"/>
  <c r="O338" i="19"/>
  <c r="P337" i="19"/>
  <c r="O337" i="19"/>
  <c r="P336" i="19"/>
  <c r="O336" i="19"/>
  <c r="P335" i="19"/>
  <c r="O335" i="19"/>
  <c r="P334" i="19"/>
  <c r="O334" i="19"/>
  <c r="P333" i="19"/>
  <c r="O333" i="19"/>
  <c r="P332" i="19"/>
  <c r="O332" i="19"/>
  <c r="P331" i="19"/>
  <c r="O331" i="19"/>
  <c r="P330" i="19"/>
  <c r="O330" i="19"/>
  <c r="P329" i="19"/>
  <c r="O329" i="19"/>
  <c r="P328" i="19"/>
  <c r="O328" i="19"/>
  <c r="P327" i="19"/>
  <c r="O327" i="19"/>
  <c r="P326" i="19"/>
  <c r="O326" i="19"/>
  <c r="P325" i="19"/>
  <c r="O325" i="19"/>
  <c r="P324" i="19"/>
  <c r="O324" i="19"/>
  <c r="P323" i="19"/>
  <c r="O323" i="19"/>
  <c r="P322" i="19"/>
  <c r="O322" i="19"/>
  <c r="P321" i="19"/>
  <c r="O321" i="19"/>
  <c r="P320" i="19"/>
  <c r="O320" i="19"/>
  <c r="P319" i="19"/>
  <c r="O319" i="19"/>
  <c r="P318" i="19"/>
  <c r="O318" i="19"/>
  <c r="P317" i="19"/>
  <c r="O317" i="19"/>
  <c r="P316" i="19"/>
  <c r="O316" i="19"/>
  <c r="P315" i="19"/>
  <c r="O315" i="19"/>
  <c r="P314" i="19"/>
  <c r="O314" i="19"/>
  <c r="P313" i="19"/>
  <c r="O313" i="19"/>
  <c r="P312" i="19"/>
  <c r="O312" i="19"/>
  <c r="P311" i="19"/>
  <c r="O311" i="19"/>
  <c r="P310" i="19"/>
  <c r="O310" i="19"/>
  <c r="P309" i="19"/>
  <c r="O309" i="19"/>
  <c r="P308" i="19"/>
  <c r="O308" i="19"/>
  <c r="P307" i="19"/>
  <c r="O307" i="19"/>
  <c r="P306" i="19"/>
  <c r="O306" i="19"/>
  <c r="P305" i="19"/>
  <c r="O305" i="19"/>
  <c r="P304" i="19"/>
  <c r="O304" i="19"/>
  <c r="P303" i="19"/>
  <c r="O303" i="19"/>
  <c r="P302" i="19"/>
  <c r="O302" i="19"/>
  <c r="P301" i="19"/>
  <c r="O301" i="19"/>
  <c r="P300" i="19"/>
  <c r="O300" i="19"/>
  <c r="P299" i="19"/>
  <c r="O299" i="19"/>
  <c r="P298" i="19"/>
  <c r="O298" i="19"/>
  <c r="P297" i="19"/>
  <c r="O297" i="19"/>
  <c r="P296" i="19"/>
  <c r="O296" i="19"/>
  <c r="P295" i="19"/>
  <c r="O295" i="19"/>
  <c r="P294" i="19"/>
  <c r="O294" i="19"/>
  <c r="P293" i="19"/>
  <c r="O293" i="19"/>
  <c r="P292" i="19"/>
  <c r="O292" i="19"/>
  <c r="P291" i="19"/>
  <c r="O291" i="19"/>
  <c r="P290" i="19"/>
  <c r="O290" i="19"/>
  <c r="P289" i="19"/>
  <c r="O289" i="19"/>
  <c r="P288" i="19"/>
  <c r="O288" i="19"/>
  <c r="P287" i="19"/>
  <c r="O287" i="19"/>
  <c r="P286" i="19"/>
  <c r="O286" i="19"/>
  <c r="P285" i="19"/>
  <c r="O285" i="19"/>
  <c r="P284" i="19"/>
  <c r="O284" i="19"/>
  <c r="P283" i="19"/>
  <c r="O283" i="19"/>
  <c r="P282" i="19"/>
  <c r="O282" i="19"/>
  <c r="P281" i="19"/>
  <c r="O281" i="19"/>
  <c r="P280" i="19"/>
  <c r="O280" i="19"/>
  <c r="P279" i="19"/>
  <c r="O279" i="19"/>
  <c r="P278" i="19"/>
  <c r="O278" i="19"/>
  <c r="P277" i="19"/>
  <c r="O277" i="19"/>
  <c r="P276" i="19"/>
  <c r="O276" i="19"/>
  <c r="P275" i="19"/>
  <c r="O275" i="19"/>
  <c r="P274" i="19"/>
  <c r="O274" i="19"/>
  <c r="P273" i="19"/>
  <c r="O273" i="19"/>
  <c r="P272" i="19"/>
  <c r="O272" i="19"/>
  <c r="P271" i="19"/>
  <c r="O271" i="19"/>
  <c r="P270" i="19"/>
  <c r="O270" i="19"/>
  <c r="P269" i="19"/>
  <c r="O269" i="19"/>
  <c r="P268" i="19"/>
  <c r="O268" i="19"/>
  <c r="P267" i="19"/>
  <c r="O267" i="19"/>
  <c r="P266" i="19"/>
  <c r="O266" i="19"/>
  <c r="P265" i="19"/>
  <c r="O265" i="19"/>
  <c r="P264" i="19"/>
  <c r="O264" i="19"/>
  <c r="P263" i="19"/>
  <c r="O263" i="19"/>
  <c r="P262" i="19"/>
  <c r="O262" i="19"/>
  <c r="P261" i="19"/>
  <c r="O261" i="19"/>
  <c r="P260" i="19"/>
  <c r="O260" i="19"/>
  <c r="P259" i="19"/>
  <c r="O259" i="19"/>
  <c r="P258" i="19"/>
  <c r="O258" i="19"/>
  <c r="P257" i="19"/>
  <c r="O257" i="19"/>
  <c r="P256" i="19"/>
  <c r="O256" i="19"/>
  <c r="P255" i="19"/>
  <c r="O255" i="19"/>
  <c r="P254" i="19"/>
  <c r="O254" i="19"/>
  <c r="P253" i="19"/>
  <c r="O253" i="19"/>
  <c r="P252" i="19"/>
  <c r="O252" i="19"/>
  <c r="P251" i="19"/>
  <c r="O251" i="19"/>
  <c r="P250" i="19"/>
  <c r="O250" i="19"/>
  <c r="P249" i="19"/>
  <c r="O249" i="19"/>
  <c r="P248" i="19"/>
  <c r="O248" i="19"/>
  <c r="P247" i="19"/>
  <c r="O247" i="19"/>
  <c r="P246" i="19"/>
  <c r="O246" i="19"/>
  <c r="P245" i="19"/>
  <c r="O245" i="19"/>
  <c r="P244" i="19"/>
  <c r="O244" i="19"/>
  <c r="P243" i="19"/>
  <c r="O243" i="19"/>
  <c r="P242" i="19"/>
  <c r="O242" i="19"/>
  <c r="P241" i="19"/>
  <c r="O241" i="19"/>
  <c r="P240" i="19"/>
  <c r="O240" i="19"/>
  <c r="P239" i="19"/>
  <c r="O239" i="19"/>
  <c r="P238" i="19"/>
  <c r="O238" i="19"/>
  <c r="P237" i="19"/>
  <c r="O237" i="19"/>
  <c r="P236" i="19"/>
  <c r="O236" i="19"/>
  <c r="P235" i="19"/>
  <c r="O235" i="19"/>
  <c r="P234" i="19"/>
  <c r="O234" i="19"/>
  <c r="P233" i="19"/>
  <c r="O233" i="19"/>
  <c r="P232" i="19"/>
  <c r="O232" i="19"/>
  <c r="P231" i="19"/>
  <c r="O231" i="19"/>
  <c r="P230" i="19"/>
  <c r="O230" i="19"/>
  <c r="P229" i="19"/>
  <c r="O229" i="19"/>
  <c r="P228" i="19"/>
  <c r="O228" i="19"/>
  <c r="P227" i="19"/>
  <c r="O227" i="19"/>
  <c r="P226" i="19"/>
  <c r="O226" i="19"/>
  <c r="P225" i="19"/>
  <c r="O225" i="19"/>
  <c r="P224" i="19"/>
  <c r="O224" i="19"/>
  <c r="P223" i="19"/>
  <c r="O223" i="19"/>
  <c r="P222" i="19"/>
  <c r="O222" i="19"/>
  <c r="P221" i="19"/>
  <c r="O221" i="19"/>
  <c r="P220" i="19"/>
  <c r="O220" i="19"/>
  <c r="P219" i="19"/>
  <c r="O219" i="19"/>
  <c r="P218" i="19"/>
  <c r="O218" i="19"/>
  <c r="P217" i="19"/>
  <c r="O217" i="19"/>
  <c r="P216" i="19"/>
  <c r="O216" i="19"/>
  <c r="P215" i="19"/>
  <c r="O215" i="19"/>
  <c r="P214" i="19"/>
  <c r="O214" i="19"/>
  <c r="P213" i="19"/>
  <c r="O213" i="19"/>
  <c r="P212" i="19"/>
  <c r="O212" i="19"/>
  <c r="P211" i="19"/>
  <c r="O211" i="19"/>
  <c r="P210" i="19"/>
  <c r="O210" i="19"/>
  <c r="P209" i="19"/>
  <c r="O209" i="19"/>
  <c r="P208" i="19"/>
  <c r="O208" i="19"/>
  <c r="P207" i="19"/>
  <c r="O207" i="19"/>
  <c r="P206" i="19"/>
  <c r="O206" i="19"/>
  <c r="P205" i="19"/>
  <c r="O205" i="19"/>
  <c r="P204" i="19"/>
  <c r="O204" i="19"/>
  <c r="P203" i="19"/>
  <c r="O203" i="19"/>
  <c r="P202" i="19"/>
  <c r="O202" i="19"/>
  <c r="P201" i="19"/>
  <c r="O201" i="19"/>
  <c r="P200" i="19"/>
  <c r="O200" i="19"/>
  <c r="P199" i="19"/>
  <c r="O199" i="19"/>
  <c r="P198" i="19"/>
  <c r="O198" i="19"/>
  <c r="P197" i="19"/>
  <c r="O197" i="19"/>
  <c r="P196" i="19"/>
  <c r="O196" i="19"/>
  <c r="P195" i="19"/>
  <c r="O195" i="19"/>
  <c r="P194" i="19"/>
  <c r="O194" i="19"/>
  <c r="P193" i="19"/>
  <c r="O193" i="19"/>
  <c r="P192" i="19"/>
  <c r="O192" i="19"/>
  <c r="P191" i="19"/>
  <c r="O191" i="19"/>
  <c r="P190" i="19"/>
  <c r="O190" i="19"/>
  <c r="P189" i="19"/>
  <c r="O189" i="19"/>
  <c r="P188" i="19"/>
  <c r="O188" i="19"/>
  <c r="P187" i="19"/>
  <c r="O187" i="19"/>
  <c r="P186" i="19"/>
  <c r="O186" i="19"/>
  <c r="P185" i="19"/>
  <c r="O185" i="19"/>
  <c r="P184" i="19"/>
  <c r="O184" i="19"/>
  <c r="P183" i="19"/>
  <c r="O183" i="19"/>
  <c r="P182" i="19"/>
  <c r="O182" i="19"/>
  <c r="P181" i="19"/>
  <c r="O181" i="19"/>
  <c r="P180" i="19"/>
  <c r="O180" i="19"/>
  <c r="P179" i="19"/>
  <c r="O179" i="19"/>
  <c r="P178" i="19"/>
  <c r="O178" i="19"/>
  <c r="P177" i="19"/>
  <c r="O177" i="19"/>
  <c r="P176" i="19"/>
  <c r="O176" i="19"/>
  <c r="P175" i="19"/>
  <c r="O175" i="19"/>
  <c r="P174" i="19"/>
  <c r="O174" i="19"/>
  <c r="P173" i="19"/>
  <c r="O173" i="19"/>
  <c r="P172" i="19"/>
  <c r="O172" i="19"/>
  <c r="P171" i="19"/>
  <c r="O171" i="19"/>
  <c r="P170" i="19"/>
  <c r="O170" i="19"/>
  <c r="P169" i="19"/>
  <c r="O169" i="19"/>
  <c r="P168" i="19"/>
  <c r="O168" i="19"/>
  <c r="P167" i="19"/>
  <c r="O167" i="19"/>
  <c r="P166" i="19"/>
  <c r="O166" i="19"/>
  <c r="P165" i="19"/>
  <c r="O165" i="19"/>
  <c r="P164" i="19"/>
  <c r="O164" i="19"/>
  <c r="P163" i="19"/>
  <c r="O163" i="19"/>
  <c r="P162" i="19"/>
  <c r="O162" i="19"/>
  <c r="P161" i="19"/>
  <c r="O161" i="19"/>
  <c r="P160" i="19"/>
  <c r="O160" i="19"/>
  <c r="P159" i="19"/>
  <c r="O159" i="19"/>
  <c r="P158" i="19"/>
  <c r="O158" i="19"/>
  <c r="P157" i="19"/>
  <c r="O157" i="19"/>
  <c r="P156" i="19"/>
  <c r="O156" i="19"/>
  <c r="P155" i="19"/>
  <c r="O155" i="19"/>
  <c r="P154" i="19"/>
  <c r="O154" i="19"/>
  <c r="P153" i="19"/>
  <c r="O153" i="19"/>
  <c r="P152" i="19"/>
  <c r="O152" i="19"/>
  <c r="P151" i="19"/>
  <c r="O151" i="19"/>
  <c r="P150" i="19"/>
  <c r="O150" i="19"/>
  <c r="P149" i="19"/>
  <c r="O149" i="19"/>
  <c r="P148" i="19"/>
  <c r="O148" i="19"/>
  <c r="P147" i="19"/>
  <c r="O147" i="19"/>
  <c r="P146" i="19"/>
  <c r="O146" i="19"/>
  <c r="P145" i="19"/>
  <c r="O145" i="19"/>
  <c r="P144" i="19"/>
  <c r="O144" i="19"/>
  <c r="P143" i="19"/>
  <c r="O143" i="19"/>
  <c r="P142" i="19"/>
  <c r="O142" i="19"/>
  <c r="P141" i="19"/>
  <c r="O141" i="19"/>
  <c r="P140" i="19"/>
  <c r="O140" i="19"/>
  <c r="P139" i="19"/>
  <c r="O139" i="19"/>
  <c r="P138" i="19"/>
  <c r="O138" i="19"/>
  <c r="P137" i="19"/>
  <c r="O137" i="19"/>
  <c r="P136" i="19"/>
  <c r="O136" i="19"/>
  <c r="P135" i="19"/>
  <c r="O135" i="19"/>
  <c r="P134" i="19"/>
  <c r="O134" i="19"/>
  <c r="P133" i="19"/>
  <c r="O133" i="19"/>
  <c r="P132" i="19"/>
  <c r="O132" i="19"/>
  <c r="P131" i="19"/>
  <c r="O131" i="19"/>
  <c r="P130" i="19"/>
  <c r="O130" i="19"/>
  <c r="P129" i="19"/>
  <c r="O129" i="19"/>
  <c r="P128" i="19"/>
  <c r="O128" i="19"/>
  <c r="P127" i="19"/>
  <c r="O127" i="19"/>
  <c r="P126" i="19"/>
  <c r="O126" i="19"/>
  <c r="P125" i="19"/>
  <c r="O125" i="19"/>
  <c r="P124" i="19"/>
  <c r="O124" i="19"/>
  <c r="P123" i="19"/>
  <c r="O123" i="19"/>
  <c r="P122" i="19"/>
  <c r="O122" i="19"/>
  <c r="P121" i="19"/>
  <c r="O121" i="19"/>
  <c r="P120" i="19"/>
  <c r="O120" i="19"/>
  <c r="P119" i="19"/>
  <c r="O119" i="19"/>
  <c r="P118" i="19"/>
  <c r="O118" i="19"/>
  <c r="P117" i="19"/>
  <c r="O117" i="19"/>
  <c r="P116" i="19"/>
  <c r="O116" i="19"/>
  <c r="P115" i="19"/>
  <c r="O115" i="19"/>
  <c r="P114" i="19"/>
  <c r="O114" i="19"/>
  <c r="P113" i="19"/>
  <c r="O113" i="19"/>
  <c r="P112" i="19"/>
  <c r="O112" i="19"/>
  <c r="P111" i="19"/>
  <c r="O111" i="19"/>
  <c r="P110" i="19"/>
  <c r="O110" i="19"/>
  <c r="P109" i="19"/>
  <c r="O109" i="19"/>
  <c r="P108" i="19"/>
  <c r="O108" i="19"/>
  <c r="P107" i="19"/>
  <c r="O107" i="19"/>
  <c r="P106" i="19"/>
  <c r="O106" i="19"/>
  <c r="P105" i="19"/>
  <c r="O105" i="19"/>
  <c r="P104" i="19"/>
  <c r="O104" i="19"/>
  <c r="P103" i="19"/>
  <c r="O103" i="19"/>
  <c r="P102" i="19"/>
  <c r="O102" i="19"/>
  <c r="P101" i="19"/>
  <c r="O101" i="19"/>
  <c r="P100" i="19"/>
  <c r="O100" i="19"/>
  <c r="P99" i="19"/>
  <c r="O99" i="19"/>
  <c r="P98" i="19"/>
  <c r="O98" i="19"/>
  <c r="P97" i="19"/>
  <c r="O97" i="19"/>
  <c r="P96" i="19"/>
  <c r="O96" i="19"/>
  <c r="P95" i="19"/>
  <c r="O95" i="19"/>
  <c r="P94" i="19"/>
  <c r="O94" i="19"/>
  <c r="P93" i="19"/>
  <c r="O93" i="19"/>
  <c r="P92" i="19"/>
  <c r="O92" i="19"/>
  <c r="P91" i="19"/>
  <c r="O91" i="19"/>
  <c r="P90" i="19"/>
  <c r="O90" i="19"/>
  <c r="P89" i="19"/>
  <c r="O89" i="19"/>
  <c r="P88" i="19"/>
  <c r="O88" i="19"/>
  <c r="P87" i="19"/>
  <c r="O87" i="19"/>
  <c r="P86" i="19"/>
  <c r="O86" i="19"/>
  <c r="P85" i="19"/>
  <c r="O85" i="19"/>
  <c r="P84" i="19"/>
  <c r="O84" i="19"/>
  <c r="P83" i="19"/>
  <c r="O83" i="19"/>
  <c r="P82" i="19"/>
  <c r="O82" i="19"/>
  <c r="P81" i="19"/>
  <c r="O81" i="19"/>
  <c r="P80" i="19"/>
  <c r="O80" i="19"/>
  <c r="P79" i="19"/>
  <c r="O79" i="19"/>
  <c r="P78" i="19"/>
  <c r="O78" i="19"/>
  <c r="P77" i="19"/>
  <c r="O77" i="19"/>
  <c r="P76" i="19"/>
  <c r="O76" i="19"/>
  <c r="P75" i="19"/>
  <c r="O75" i="19"/>
  <c r="P74" i="19"/>
  <c r="O74" i="19"/>
  <c r="P73" i="19"/>
  <c r="P72" i="19"/>
  <c r="O72" i="19"/>
  <c r="P71" i="19"/>
  <c r="O71" i="19"/>
  <c r="P70" i="19"/>
  <c r="O70" i="19"/>
  <c r="P69" i="19"/>
  <c r="O69" i="19"/>
  <c r="P68" i="19"/>
  <c r="O68" i="19"/>
  <c r="P67" i="19"/>
  <c r="O67" i="19"/>
  <c r="P66" i="19"/>
  <c r="O66" i="19"/>
  <c r="P65" i="19"/>
  <c r="O65" i="19"/>
  <c r="P64" i="19"/>
  <c r="O64" i="19"/>
  <c r="P63" i="19"/>
  <c r="O63" i="19"/>
  <c r="P62" i="19"/>
  <c r="O62" i="19"/>
  <c r="P61" i="19"/>
  <c r="O61" i="19"/>
  <c r="P60" i="19"/>
  <c r="O60" i="19"/>
  <c r="P59" i="19"/>
  <c r="O59" i="19"/>
  <c r="P58" i="19"/>
  <c r="O58" i="19"/>
  <c r="P57" i="19"/>
  <c r="O57" i="19"/>
  <c r="P56" i="19"/>
  <c r="O56" i="19"/>
  <c r="P55" i="19"/>
  <c r="O55" i="19"/>
  <c r="P54" i="19"/>
  <c r="O54" i="19"/>
  <c r="P53" i="19"/>
  <c r="O53" i="19"/>
  <c r="P52" i="19"/>
  <c r="O52" i="19"/>
  <c r="P51" i="19"/>
  <c r="O51" i="19"/>
  <c r="P50" i="19"/>
  <c r="O50" i="19"/>
  <c r="P49" i="19"/>
  <c r="O49" i="19"/>
  <c r="P48" i="19"/>
  <c r="O48" i="19"/>
  <c r="P47" i="19"/>
  <c r="O47" i="19"/>
  <c r="P46" i="19"/>
  <c r="O46" i="19"/>
  <c r="P45" i="19"/>
  <c r="O45" i="19"/>
  <c r="P44" i="19"/>
  <c r="O44" i="19"/>
  <c r="P43" i="19"/>
  <c r="O43" i="19"/>
  <c r="P42" i="19"/>
  <c r="O42" i="19"/>
  <c r="P41" i="19"/>
  <c r="O41" i="19"/>
  <c r="P40" i="19"/>
  <c r="O40" i="19"/>
  <c r="P39" i="19"/>
  <c r="O39" i="19"/>
  <c r="P38" i="19"/>
  <c r="O38" i="19"/>
  <c r="P37" i="19"/>
  <c r="O37" i="19"/>
  <c r="P36" i="19"/>
  <c r="O36" i="19"/>
  <c r="P35" i="19"/>
  <c r="O35" i="19"/>
  <c r="P34" i="19"/>
  <c r="O34" i="19"/>
  <c r="P33" i="19"/>
  <c r="O33" i="19"/>
  <c r="P32" i="19"/>
  <c r="O32" i="19"/>
  <c r="P31" i="19"/>
  <c r="O31" i="19"/>
  <c r="P30" i="19"/>
  <c r="O30" i="19"/>
  <c r="P29" i="19"/>
  <c r="O29" i="19"/>
  <c r="P28" i="19"/>
  <c r="O28" i="19"/>
  <c r="P27" i="19"/>
  <c r="O27" i="19"/>
  <c r="P26" i="19"/>
  <c r="O26" i="19"/>
  <c r="P25" i="19"/>
  <c r="O25" i="19"/>
  <c r="P24" i="19"/>
  <c r="O24" i="19"/>
  <c r="P23" i="19"/>
  <c r="O23" i="19"/>
  <c r="P22" i="19"/>
  <c r="O22" i="19"/>
  <c r="P21" i="19"/>
  <c r="O21" i="19"/>
  <c r="P20" i="19"/>
  <c r="O20" i="19"/>
  <c r="P19" i="19"/>
  <c r="O19" i="19"/>
  <c r="P18" i="19"/>
  <c r="O18" i="19"/>
  <c r="P17" i="19"/>
  <c r="O17" i="19"/>
  <c r="P16" i="19"/>
  <c r="O16" i="19"/>
  <c r="P15" i="19"/>
  <c r="O15" i="19"/>
  <c r="P14" i="19"/>
  <c r="O14" i="19"/>
  <c r="E10" i="5" l="1"/>
  <c r="E10" i="7" s="1"/>
  <c r="E12" i="5"/>
  <c r="E12" i="7" s="1"/>
  <c r="E13" i="5"/>
  <c r="C13" i="24" s="1"/>
  <c r="E14" i="5"/>
  <c r="C14" i="24" s="1"/>
  <c r="E15" i="5"/>
  <c r="C15" i="24" s="1"/>
  <c r="C12" i="24" l="1"/>
  <c r="E14" i="7"/>
  <c r="E13" i="7"/>
  <c r="E15" i="7"/>
  <c r="C10" i="24"/>
  <c r="H102" i="23" l="1"/>
  <c r="G102" i="23"/>
  <c r="G99" i="23"/>
  <c r="H99" i="23"/>
  <c r="G100" i="23"/>
  <c r="H100" i="23"/>
  <c r="G86" i="23"/>
  <c r="H86" i="23"/>
  <c r="F26" i="3" l="1"/>
  <c r="F65" i="3"/>
  <c r="F49" i="3"/>
  <c r="F33" i="3"/>
  <c r="F30" i="3"/>
  <c r="F29" i="3"/>
  <c r="F28" i="3"/>
  <c r="F27" i="3"/>
  <c r="F25" i="3"/>
  <c r="C73" i="3"/>
  <c r="C74" i="3"/>
  <c r="C75" i="3"/>
  <c r="C76" i="3"/>
  <c r="C77" i="3"/>
  <c r="C78" i="3"/>
  <c r="C65" i="3"/>
  <c r="C66" i="3"/>
  <c r="C67" i="3"/>
  <c r="C68" i="3"/>
  <c r="C69" i="3"/>
  <c r="C70" i="3"/>
  <c r="C57" i="3"/>
  <c r="C58" i="3"/>
  <c r="C59" i="3"/>
  <c r="C60" i="3"/>
  <c r="C61" i="3"/>
  <c r="C62" i="3"/>
  <c r="C49" i="3"/>
  <c r="C50" i="3"/>
  <c r="C51" i="3"/>
  <c r="C52" i="3"/>
  <c r="C53" i="3"/>
  <c r="C54" i="3"/>
  <c r="C33" i="3"/>
  <c r="C34" i="3"/>
  <c r="C35" i="3"/>
  <c r="C36" i="3"/>
  <c r="C37" i="3"/>
  <c r="C38" i="3"/>
  <c r="H98" i="23" l="1"/>
  <c r="G98" i="23"/>
  <c r="H97" i="23"/>
  <c r="G97" i="23"/>
  <c r="H96" i="23"/>
  <c r="G96" i="23"/>
  <c r="H95" i="23"/>
  <c r="G95" i="23"/>
  <c r="H94" i="23"/>
  <c r="G94" i="23"/>
  <c r="H93" i="23"/>
  <c r="G93" i="23"/>
  <c r="H92" i="23"/>
  <c r="G92" i="23"/>
  <c r="H91" i="23"/>
  <c r="G91" i="23"/>
  <c r="H90" i="23"/>
  <c r="G90" i="23"/>
  <c r="H89" i="23"/>
  <c r="G89" i="23"/>
  <c r="F47" i="14"/>
  <c r="F46" i="14"/>
  <c r="E47" i="14"/>
  <c r="E46" i="14"/>
  <c r="C45" i="14"/>
  <c r="D45" i="14"/>
  <c r="C46" i="14"/>
  <c r="D46" i="14"/>
  <c r="C47" i="14"/>
  <c r="D47" i="14"/>
  <c r="B46" i="14"/>
  <c r="B45"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G108" i="23" l="1"/>
  <c r="H108" i="23"/>
  <c r="F518" i="19"/>
  <c r="F511" i="19"/>
  <c r="F498" i="19"/>
  <c r="F497" i="19"/>
  <c r="F494" i="19"/>
  <c r="F492" i="19"/>
  <c r="F489" i="19"/>
  <c r="F486" i="19"/>
  <c r="F469" i="19"/>
  <c r="F464" i="19"/>
  <c r="F447" i="19"/>
  <c r="F444" i="19"/>
  <c r="F438" i="19"/>
  <c r="F411" i="19"/>
  <c r="F410" i="19"/>
  <c r="F409" i="19"/>
  <c r="F405" i="19"/>
  <c r="F400" i="19"/>
  <c r="F372" i="19"/>
  <c r="F366" i="19"/>
  <c r="F362" i="19"/>
  <c r="F360" i="19"/>
  <c r="F355" i="19"/>
  <c r="F354" i="19"/>
  <c r="F286" i="19"/>
  <c r="F185" i="19"/>
  <c r="F184" i="19"/>
  <c r="F171" i="19"/>
  <c r="F141" i="19"/>
  <c r="F120" i="19"/>
  <c r="F67" i="19"/>
  <c r="H520" i="19" l="1"/>
  <c r="G520" i="19"/>
  <c r="E516" i="19"/>
  <c r="E517" i="19"/>
  <c r="E518" i="19"/>
  <c r="J518" i="19"/>
  <c r="I518" i="19"/>
  <c r="H85" i="23"/>
  <c r="G85" i="23"/>
  <c r="H84" i="23"/>
  <c r="G84" i="23"/>
  <c r="H83" i="23"/>
  <c r="G83" i="23"/>
  <c r="G82" i="23" l="1"/>
  <c r="H82" i="23"/>
  <c r="G80" i="23"/>
  <c r="H80" i="23"/>
  <c r="G81" i="23"/>
  <c r="H81" i="23"/>
  <c r="F75" i="3" l="1"/>
  <c r="H75" i="3" s="1"/>
  <c r="F76" i="3"/>
  <c r="H76" i="3" s="1"/>
  <c r="F77" i="3"/>
  <c r="H77" i="3" s="1"/>
  <c r="F78" i="3"/>
  <c r="H78" i="3" s="1"/>
  <c r="F74" i="3"/>
  <c r="H74" i="3" s="1"/>
  <c r="F73" i="3"/>
  <c r="H73" i="3" s="1"/>
  <c r="H27" i="3"/>
  <c r="H28" i="3"/>
  <c r="H29" i="3"/>
  <c r="H30" i="3"/>
  <c r="H26" i="3"/>
  <c r="H25" i="3"/>
  <c r="H79" i="3" l="1"/>
  <c r="H17" i="3" s="1"/>
  <c r="H31" i="3"/>
  <c r="H11" i="3" s="1"/>
  <c r="F9" i="4" l="1"/>
  <c r="S9" i="4" s="1"/>
  <c r="D9" i="24" l="1"/>
  <c r="D20" i="10"/>
  <c r="F20" i="10"/>
  <c r="H20" i="10"/>
  <c r="H19" i="10"/>
  <c r="H18" i="10"/>
  <c r="F18" i="10"/>
  <c r="F17" i="10"/>
  <c r="D18" i="10"/>
  <c r="D17" i="10"/>
  <c r="H79" i="23" l="1"/>
  <c r="G79" i="23"/>
  <c r="H78" i="23"/>
  <c r="G78" i="23"/>
  <c r="H77" i="23"/>
  <c r="G77" i="23"/>
  <c r="H76" i="23"/>
  <c r="G76" i="23"/>
  <c r="G87" i="23" s="1"/>
  <c r="H74" i="23"/>
  <c r="G74" i="23"/>
  <c r="H73" i="23"/>
  <c r="G73" i="23"/>
  <c r="H72" i="23"/>
  <c r="G72" i="23"/>
  <c r="H71" i="23"/>
  <c r="G71" i="23"/>
  <c r="H70" i="23"/>
  <c r="G70" i="23"/>
  <c r="H69" i="23"/>
  <c r="G69" i="23"/>
  <c r="H68" i="23"/>
  <c r="G68" i="23"/>
  <c r="H67" i="23"/>
  <c r="G67" i="23"/>
  <c r="H66" i="23"/>
  <c r="G66" i="23"/>
  <c r="H65" i="23"/>
  <c r="G65" i="23"/>
  <c r="H64" i="23"/>
  <c r="G64" i="23"/>
  <c r="H63" i="23"/>
  <c r="G63" i="23"/>
  <c r="H61" i="23"/>
  <c r="G61" i="23"/>
  <c r="H60" i="23"/>
  <c r="G60" i="23"/>
  <c r="H59" i="23"/>
  <c r="G59" i="23"/>
  <c r="H58" i="23"/>
  <c r="G58" i="23"/>
  <c r="H57" i="23"/>
  <c r="G57" i="23"/>
  <c r="H56" i="23"/>
  <c r="G56" i="23"/>
  <c r="H55" i="23"/>
  <c r="G55" i="23"/>
  <c r="H54" i="23"/>
  <c r="G54" i="23"/>
  <c r="H53" i="23"/>
  <c r="G53" i="23"/>
  <c r="H52" i="23"/>
  <c r="G52" i="23"/>
  <c r="H51" i="23"/>
  <c r="G51" i="23"/>
  <c r="H50" i="23"/>
  <c r="G50" i="23"/>
  <c r="H48" i="23"/>
  <c r="G48" i="23"/>
  <c r="H47" i="23"/>
  <c r="G47" i="23"/>
  <c r="H46" i="23"/>
  <c r="G46" i="23"/>
  <c r="H45" i="23"/>
  <c r="G45" i="23"/>
  <c r="H44" i="23"/>
  <c r="G44" i="23"/>
  <c r="H43" i="23"/>
  <c r="G43" i="23"/>
  <c r="H42" i="23"/>
  <c r="G42" i="23"/>
  <c r="H41" i="23"/>
  <c r="G41" i="23"/>
  <c r="H40" i="23"/>
  <c r="G40" i="23"/>
  <c r="H39" i="23"/>
  <c r="G39" i="23"/>
  <c r="H38" i="23"/>
  <c r="G38" i="23"/>
  <c r="H37" i="23"/>
  <c r="G37" i="23"/>
  <c r="H35" i="23"/>
  <c r="G35" i="23"/>
  <c r="H34" i="23"/>
  <c r="G34" i="23"/>
  <c r="H33" i="23"/>
  <c r="G33" i="23"/>
  <c r="H32" i="23"/>
  <c r="G32" i="23"/>
  <c r="H31" i="23"/>
  <c r="G31" i="23"/>
  <c r="H30" i="23"/>
  <c r="G30" i="23"/>
  <c r="H29" i="23"/>
  <c r="G29" i="23"/>
  <c r="H28" i="23"/>
  <c r="G28" i="23"/>
  <c r="H27" i="23"/>
  <c r="G27" i="23"/>
  <c r="H26" i="23"/>
  <c r="G26" i="23"/>
  <c r="H25" i="23"/>
  <c r="G25" i="23"/>
  <c r="H24" i="23"/>
  <c r="G24" i="23"/>
  <c r="H22" i="23"/>
  <c r="G22" i="23"/>
  <c r="H21" i="23"/>
  <c r="G21" i="23"/>
  <c r="H20" i="23"/>
  <c r="G20" i="23"/>
  <c r="H19" i="23"/>
  <c r="G19" i="23"/>
  <c r="H18" i="23"/>
  <c r="G18" i="23"/>
  <c r="H17" i="23"/>
  <c r="G17" i="23"/>
  <c r="H16" i="23"/>
  <c r="G16" i="23"/>
  <c r="H15" i="23"/>
  <c r="G15" i="23"/>
  <c r="H14" i="23"/>
  <c r="G14" i="23"/>
  <c r="H13" i="23"/>
  <c r="G13" i="23"/>
  <c r="H12" i="23"/>
  <c r="G12" i="23"/>
  <c r="H11" i="23"/>
  <c r="G11" i="23"/>
  <c r="H87" i="23" l="1"/>
  <c r="D19" i="10"/>
  <c r="K12" i="16" l="1"/>
  <c r="D12" i="16" l="1"/>
  <c r="J12" i="16"/>
  <c r="H12" i="16"/>
  <c r="F12" i="16"/>
  <c r="G12" i="6"/>
  <c r="G12" i="7"/>
  <c r="F10" i="4"/>
  <c r="G10" i="4" s="1"/>
  <c r="S10" i="4" s="1"/>
  <c r="D10" i="24" l="1"/>
  <c r="E10" i="24" s="1"/>
  <c r="E10" i="6" s="1"/>
  <c r="F38" i="3"/>
  <c r="H38" i="3" s="1"/>
  <c r="F37" i="3"/>
  <c r="H37" i="3" s="1"/>
  <c r="F36" i="3"/>
  <c r="H36" i="3" s="1"/>
  <c r="F35" i="3"/>
  <c r="H35" i="3" s="1"/>
  <c r="F34" i="3"/>
  <c r="H34" i="3" s="1"/>
  <c r="H33" i="3"/>
  <c r="H39" i="3" l="1"/>
  <c r="H12" i="3" s="1"/>
  <c r="E189" i="19" l="1"/>
  <c r="E195" i="19"/>
  <c r="E299" i="19"/>
  <c r="E201" i="19"/>
  <c r="E198" i="19"/>
  <c r="E223" i="19"/>
  <c r="E235" i="19"/>
  <c r="E251" i="19"/>
  <c r="E238" i="19"/>
  <c r="E79" i="19"/>
  <c r="E293" i="19"/>
  <c r="E402" i="19"/>
  <c r="E348" i="19"/>
  <c r="E352" i="19"/>
  <c r="E367" i="19"/>
  <c r="E369" i="19"/>
  <c r="E366" i="19"/>
  <c r="E364" i="19"/>
  <c r="E398" i="19"/>
  <c r="E413" i="19"/>
  <c r="E414" i="19"/>
  <c r="E64" i="19"/>
  <c r="E438" i="19"/>
  <c r="E275" i="19"/>
  <c r="E437" i="19"/>
  <c r="E440" i="19"/>
  <c r="E478" i="19"/>
  <c r="E444" i="19"/>
  <c r="E446" i="19"/>
  <c r="E281" i="19"/>
  <c r="E493" i="19"/>
  <c r="E99" i="19"/>
  <c r="E19" i="19"/>
  <c r="E500" i="19"/>
  <c r="E133" i="19"/>
  <c r="E508" i="19"/>
  <c r="E147" i="19"/>
  <c r="E514" i="19"/>
  <c r="E263" i="19"/>
  <c r="E261" i="19"/>
  <c r="E330" i="19"/>
  <c r="E321" i="19"/>
  <c r="E18" i="19"/>
  <c r="E107" i="19"/>
  <c r="E361" i="19"/>
  <c r="E36" i="19"/>
  <c r="E202" i="19"/>
  <c r="E183" i="19"/>
  <c r="E82" i="19"/>
  <c r="E341" i="19"/>
  <c r="E477" i="19"/>
  <c r="E427" i="19"/>
  <c r="E165" i="19"/>
  <c r="E67" i="19"/>
  <c r="E392" i="19"/>
  <c r="E471" i="19"/>
  <c r="E56" i="19"/>
  <c r="E490" i="19"/>
  <c r="E314" i="19"/>
  <c r="E294" i="19"/>
  <c r="E47" i="19"/>
  <c r="E91" i="19"/>
  <c r="E93" i="19"/>
  <c r="E494" i="19"/>
  <c r="E155" i="19"/>
  <c r="E142" i="19"/>
  <c r="E418" i="19"/>
  <c r="E149" i="19"/>
  <c r="E338" i="19"/>
  <c r="E117" i="19"/>
  <c r="E225" i="19"/>
  <c r="E143" i="19"/>
  <c r="E234" i="19"/>
  <c r="E264" i="19"/>
  <c r="E185" i="19"/>
  <c r="E296" i="19"/>
  <c r="E511" i="19"/>
  <c r="E388" i="19"/>
  <c r="E33" i="19"/>
  <c r="E441" i="19"/>
  <c r="E475" i="19"/>
  <c r="E164" i="19"/>
  <c r="E428" i="19"/>
  <c r="E336" i="19"/>
  <c r="E400" i="19"/>
  <c r="E411" i="19"/>
  <c r="E45" i="19"/>
  <c r="E406" i="19"/>
  <c r="E39" i="19"/>
  <c r="E401" i="19"/>
  <c r="E83" i="19"/>
  <c r="E50" i="19"/>
  <c r="E379" i="19"/>
  <c r="E479" i="19"/>
  <c r="E284" i="19"/>
  <c r="E497" i="19"/>
  <c r="E105" i="19"/>
  <c r="E17" i="19"/>
  <c r="E512" i="19"/>
  <c r="E391" i="19"/>
  <c r="E200" i="19"/>
  <c r="E482" i="19"/>
  <c r="E399" i="19"/>
  <c r="E40" i="19"/>
  <c r="E240" i="19"/>
  <c r="E86" i="19"/>
  <c r="E356" i="19"/>
  <c r="E423" i="19"/>
  <c r="E124" i="19"/>
  <c r="E262" i="19"/>
  <c r="E131" i="19"/>
  <c r="E24" i="19"/>
  <c r="E23" i="19"/>
  <c r="E408" i="19"/>
  <c r="E167" i="19"/>
  <c r="E224" i="19"/>
  <c r="E424" i="19"/>
  <c r="E329" i="19"/>
  <c r="E387" i="19"/>
  <c r="E192" i="19"/>
  <c r="E30" i="19"/>
  <c r="E397" i="19"/>
  <c r="E409" i="19"/>
  <c r="E148" i="19"/>
  <c r="E226" i="19"/>
  <c r="E405" i="19"/>
  <c r="E249" i="19"/>
  <c r="E34" i="19"/>
  <c r="E339" i="19"/>
  <c r="E26" i="19"/>
  <c r="E53" i="19"/>
  <c r="E119" i="19"/>
  <c r="E271" i="19"/>
  <c r="E80" i="19"/>
  <c r="E161" i="19"/>
  <c r="E335" i="19"/>
  <c r="E376" i="19"/>
  <c r="E457" i="19"/>
  <c r="E417" i="19"/>
  <c r="E319" i="19"/>
  <c r="E327" i="19"/>
  <c r="E121" i="19"/>
  <c r="E204" i="19"/>
  <c r="E163" i="19"/>
  <c r="E170" i="19"/>
  <c r="E46" i="19"/>
  <c r="E506" i="19"/>
  <c r="E412" i="19"/>
  <c r="E206" i="19"/>
  <c r="E513" i="19"/>
  <c r="E98" i="19"/>
  <c r="E309" i="19"/>
  <c r="E212" i="19"/>
  <c r="E95" i="19"/>
  <c r="E256" i="19"/>
  <c r="E197" i="19"/>
  <c r="E109" i="19"/>
  <c r="E316" i="19"/>
  <c r="E370" i="19"/>
  <c r="E505" i="19"/>
  <c r="E150" i="19"/>
  <c r="E247" i="19"/>
  <c r="E60" i="19"/>
  <c r="E354" i="19"/>
  <c r="E222" i="19"/>
  <c r="E407" i="19"/>
  <c r="E451" i="19"/>
  <c r="E331" i="19"/>
  <c r="E188" i="19"/>
  <c r="E152" i="19"/>
  <c r="E104" i="19"/>
  <c r="E486" i="19"/>
  <c r="E504" i="19"/>
  <c r="E227" i="19"/>
  <c r="E434" i="19"/>
  <c r="E199" i="19"/>
  <c r="E315" i="19"/>
  <c r="E177" i="19"/>
  <c r="E448" i="19"/>
  <c r="E151" i="19"/>
  <c r="E465" i="19"/>
  <c r="E160" i="19"/>
  <c r="E421" i="19"/>
  <c r="E487" i="19"/>
  <c r="E510" i="19"/>
  <c r="E304" i="19"/>
  <c r="E291" i="19"/>
  <c r="E462" i="19"/>
  <c r="E463" i="19"/>
  <c r="E184" i="19"/>
  <c r="E218" i="19"/>
  <c r="E404" i="19"/>
  <c r="E422" i="19"/>
  <c r="E496" i="19"/>
  <c r="E208" i="19"/>
  <c r="E286" i="19"/>
  <c r="E324" i="19"/>
  <c r="E368" i="19"/>
  <c r="E328" i="19"/>
  <c r="E484" i="19"/>
  <c r="E193" i="19"/>
  <c r="E472" i="19"/>
  <c r="E146" i="19"/>
  <c r="E337" i="19"/>
  <c r="E302" i="19"/>
  <c r="E274" i="19"/>
  <c r="E300" i="19"/>
  <c r="E307" i="19"/>
  <c r="E32" i="19"/>
  <c r="E176" i="19"/>
  <c r="E343" i="19"/>
  <c r="E137" i="19"/>
  <c r="E145" i="19"/>
  <c r="E320" i="19"/>
  <c r="E35" i="19"/>
  <c r="E215" i="19"/>
  <c r="E112" i="19"/>
  <c r="E515" i="19"/>
  <c r="E182" i="19"/>
  <c r="E153" i="19"/>
  <c r="E103" i="19"/>
  <c r="E113" i="19"/>
  <c r="E89" i="19"/>
  <c r="E159" i="19"/>
  <c r="E203" i="19"/>
  <c r="E172" i="19"/>
  <c r="E190" i="19"/>
  <c r="E298" i="19"/>
  <c r="E43" i="19"/>
  <c r="E483" i="19"/>
  <c r="E66" i="19"/>
  <c r="E81" i="19"/>
  <c r="E97" i="19"/>
  <c r="E270" i="19"/>
  <c r="E108" i="19"/>
  <c r="E122" i="19"/>
  <c r="E16" i="19"/>
  <c r="E492" i="19"/>
  <c r="E171" i="19"/>
  <c r="E191" i="19"/>
  <c r="E377" i="19"/>
  <c r="E217" i="19"/>
  <c r="E243" i="19"/>
  <c r="E244" i="19"/>
  <c r="E257" i="19"/>
  <c r="E267" i="19"/>
  <c r="E312" i="19"/>
  <c r="E318" i="19"/>
  <c r="E71" i="19"/>
  <c r="E374" i="19"/>
  <c r="E389" i="19"/>
  <c r="E61" i="19"/>
  <c r="E464" i="19"/>
  <c r="E473" i="19"/>
  <c r="E52" i="19"/>
  <c r="E491" i="19"/>
  <c r="E115" i="19"/>
  <c r="E255" i="19"/>
  <c r="E220" i="19"/>
  <c r="E323" i="19"/>
  <c r="E154" i="19"/>
  <c r="E278" i="19"/>
  <c r="E116" i="19"/>
  <c r="E345" i="19"/>
  <c r="E44" i="19"/>
  <c r="E245" i="19"/>
  <c r="E38" i="19"/>
  <c r="E236" i="19"/>
  <c r="E469" i="19"/>
  <c r="E259" i="19"/>
  <c r="E15" i="19"/>
  <c r="E25" i="19"/>
  <c r="E28" i="19"/>
  <c r="E29" i="19"/>
  <c r="E415" i="19"/>
  <c r="E42" i="19"/>
  <c r="E242" i="19"/>
  <c r="E51" i="19"/>
  <c r="E54" i="19"/>
  <c r="E55" i="19"/>
  <c r="E59" i="19"/>
  <c r="E27" i="19"/>
  <c r="E63" i="19"/>
  <c r="E65" i="19"/>
  <c r="E68" i="19"/>
  <c r="E69" i="19"/>
  <c r="E70" i="19"/>
  <c r="E72" i="19"/>
  <c r="E136" i="19"/>
  <c r="E73" i="19"/>
  <c r="E75" i="19"/>
  <c r="E77" i="19"/>
  <c r="E78" i="19"/>
  <c r="E228" i="19"/>
  <c r="E84" i="19"/>
  <c r="E85" i="19"/>
  <c r="E87" i="19"/>
  <c r="E90" i="19"/>
  <c r="E92" i="19"/>
  <c r="E272" i="19"/>
  <c r="E96" i="19"/>
  <c r="E102" i="19"/>
  <c r="E110" i="19"/>
  <c r="E111" i="19"/>
  <c r="E211" i="19"/>
  <c r="E118" i="19"/>
  <c r="E120" i="19"/>
  <c r="E123" i="19"/>
  <c r="E125" i="19"/>
  <c r="E127" i="19"/>
  <c r="E88" i="19"/>
  <c r="E128" i="19"/>
  <c r="E129" i="19"/>
  <c r="E132" i="19"/>
  <c r="E429" i="19"/>
  <c r="E134" i="19"/>
  <c r="E138" i="19"/>
  <c r="E139" i="19"/>
  <c r="E141" i="19"/>
  <c r="E447" i="19"/>
  <c r="E144" i="19"/>
  <c r="E156" i="19"/>
  <c r="E157" i="19"/>
  <c r="E158" i="19"/>
  <c r="E162" i="19"/>
  <c r="E166" i="19"/>
  <c r="E168" i="19"/>
  <c r="E372" i="19"/>
  <c r="E174" i="19"/>
  <c r="E175" i="19"/>
  <c r="E179" i="19"/>
  <c r="E178" i="19"/>
  <c r="E181" i="19"/>
  <c r="E180" i="19"/>
  <c r="E509" i="19"/>
  <c r="E194" i="19"/>
  <c r="E196" i="19"/>
  <c r="E301" i="19"/>
  <c r="E205" i="19"/>
  <c r="E207" i="19"/>
  <c r="E344" i="19"/>
  <c r="E209" i="19"/>
  <c r="E210" i="19"/>
  <c r="E213" i="19"/>
  <c r="E214" i="19"/>
  <c r="E216" i="19"/>
  <c r="E219" i="19"/>
  <c r="E221" i="19"/>
  <c r="E503" i="19"/>
  <c r="E229" i="19"/>
  <c r="E231" i="19"/>
  <c r="E232" i="19"/>
  <c r="E269" i="19"/>
  <c r="E233" i="19"/>
  <c r="E237" i="19"/>
  <c r="E239" i="19"/>
  <c r="E241" i="19"/>
  <c r="E246" i="19"/>
  <c r="E439" i="19"/>
  <c r="E326" i="19"/>
  <c r="E101" i="19"/>
  <c r="E250" i="19"/>
  <c r="E252" i="19"/>
  <c r="E253" i="19"/>
  <c r="E260" i="19"/>
  <c r="E258" i="19"/>
  <c r="E265" i="19"/>
  <c r="E268" i="19"/>
  <c r="E230" i="19"/>
  <c r="E273" i="19"/>
  <c r="E373" i="19"/>
  <c r="E276" i="19"/>
  <c r="E277" i="19"/>
  <c r="E280" i="19"/>
  <c r="E360" i="19"/>
  <c r="E282" i="19"/>
  <c r="E287" i="19"/>
  <c r="E288" i="19"/>
  <c r="E289" i="19"/>
  <c r="E290" i="19"/>
  <c r="E173" i="19"/>
  <c r="E283" i="19"/>
  <c r="E292" i="19"/>
  <c r="E295" i="19"/>
  <c r="E297" i="19"/>
  <c r="E248" i="19"/>
  <c r="E306" i="19"/>
  <c r="E308" i="19"/>
  <c r="E310" i="19"/>
  <c r="E313" i="19"/>
  <c r="E317" i="19"/>
  <c r="E140" i="19"/>
  <c r="E322" i="19"/>
  <c r="E332" i="19"/>
  <c r="E333" i="19"/>
  <c r="E334" i="19"/>
  <c r="E285" i="19"/>
  <c r="E450" i="19"/>
  <c r="E340" i="19"/>
  <c r="E342" i="19"/>
  <c r="E466" i="19"/>
  <c r="E346" i="19"/>
  <c r="E347" i="19"/>
  <c r="E349" i="19"/>
  <c r="E351" i="19"/>
  <c r="E186" i="19"/>
  <c r="E353" i="19"/>
  <c r="E495" i="19"/>
  <c r="E355" i="19"/>
  <c r="E396" i="19"/>
  <c r="E357" i="19"/>
  <c r="E358" i="19"/>
  <c r="E359" i="19"/>
  <c r="E362" i="19"/>
  <c r="J362" i="19"/>
  <c r="E375" i="19"/>
  <c r="E365" i="19"/>
  <c r="E384" i="19"/>
  <c r="E371" i="19"/>
  <c r="E187" i="19"/>
  <c r="E130" i="19"/>
  <c r="E395" i="19"/>
  <c r="E378" i="19"/>
  <c r="E380" i="19"/>
  <c r="E381" i="19"/>
  <c r="E382" i="19"/>
  <c r="E383" i="19"/>
  <c r="E385" i="19"/>
  <c r="E386" i="19"/>
  <c r="E390" i="19"/>
  <c r="E393" i="19"/>
  <c r="E403" i="19"/>
  <c r="E410" i="19"/>
  <c r="E416" i="19"/>
  <c r="E419" i="19"/>
  <c r="E169" i="19"/>
  <c r="E420" i="19"/>
  <c r="E106" i="19"/>
  <c r="E425" i="19"/>
  <c r="E266" i="19"/>
  <c r="E430" i="19"/>
  <c r="E48" i="19"/>
  <c r="E431" i="19"/>
  <c r="E74" i="19"/>
  <c r="E432" i="19"/>
  <c r="E433" i="19"/>
  <c r="E436" i="19"/>
  <c r="E394" i="19"/>
  <c r="E443" i="19"/>
  <c r="E445" i="19"/>
  <c r="E449" i="19"/>
  <c r="E452" i="19"/>
  <c r="E453" i="19"/>
  <c r="E454" i="19"/>
  <c r="E455" i="19"/>
  <c r="E456" i="19"/>
  <c r="E459" i="19"/>
  <c r="E460" i="19"/>
  <c r="E461" i="19"/>
  <c r="E467" i="19"/>
  <c r="E470" i="19"/>
  <c r="E474" i="19"/>
  <c r="E476" i="19"/>
  <c r="E303" i="19"/>
  <c r="E480" i="19"/>
  <c r="E481" i="19"/>
  <c r="E485" i="19"/>
  <c r="E488" i="19"/>
  <c r="E21" i="19"/>
  <c r="E489" i="19"/>
  <c r="E498" i="19"/>
  <c r="E499" i="19"/>
  <c r="E501" i="19"/>
  <c r="E254" i="19"/>
  <c r="E502" i="19"/>
  <c r="E507" i="19"/>
  <c r="E20" i="19"/>
  <c r="E22" i="19"/>
  <c r="E49" i="19"/>
  <c r="E57" i="19"/>
  <c r="E62" i="19"/>
  <c r="E114" i="19"/>
  <c r="E126" i="19"/>
  <c r="E325" i="19"/>
  <c r="E279" i="19"/>
  <c r="E305" i="19"/>
  <c r="E311" i="19"/>
  <c r="E350" i="19"/>
  <c r="E363" i="19"/>
  <c r="E135" i="19"/>
  <c r="E426" i="19"/>
  <c r="E435" i="19"/>
  <c r="E442" i="19"/>
  <c r="E468" i="19"/>
  <c r="E37" i="19"/>
  <c r="E58" i="19"/>
  <c r="E458" i="19"/>
  <c r="E76" i="19"/>
  <c r="E41" i="19"/>
  <c r="E94" i="19"/>
  <c r="E100" i="19"/>
  <c r="I362" i="19" l="1"/>
  <c r="E31" i="19" l="1"/>
  <c r="F394" i="19" l="1"/>
  <c r="F357" i="19"/>
  <c r="F190" i="19"/>
  <c r="F167" i="19"/>
  <c r="F183" i="19"/>
  <c r="F22" i="19"/>
  <c r="F180" i="19"/>
  <c r="F515" i="19"/>
  <c r="F262" i="19"/>
  <c r="F392" i="19"/>
  <c r="F303" i="19"/>
  <c r="F458" i="19"/>
  <c r="F503" i="19"/>
  <c r="F91" i="19"/>
  <c r="F455" i="19"/>
  <c r="F340" i="19"/>
  <c r="F434" i="19"/>
  <c r="F131" i="19"/>
  <c r="F402" i="19"/>
  <c r="F416" i="19"/>
  <c r="F166" i="19"/>
  <c r="F368" i="19"/>
  <c r="F83" i="19"/>
  <c r="F477" i="19"/>
  <c r="F454" i="19"/>
  <c r="F466" i="19"/>
  <c r="F154" i="19"/>
  <c r="F341" i="19"/>
  <c r="F452" i="19"/>
  <c r="F334" i="19"/>
  <c r="F55" i="19"/>
  <c r="F335" i="19"/>
  <c r="F165" i="19"/>
  <c r="F72" i="19"/>
  <c r="F393" i="19"/>
  <c r="F292" i="19"/>
  <c r="F370" i="19"/>
  <c r="F399" i="19"/>
  <c r="F251" i="19"/>
  <c r="F283" i="19"/>
  <c r="F90" i="19"/>
  <c r="F316" i="19"/>
  <c r="F428" i="19"/>
  <c r="F493" i="19"/>
  <c r="F313" i="19"/>
  <c r="F297" i="19"/>
  <c r="F71" i="19"/>
  <c r="F440" i="19"/>
  <c r="F266" i="19"/>
  <c r="F308" i="19"/>
  <c r="F323" i="19"/>
  <c r="F379" i="19"/>
  <c r="F414" i="19"/>
  <c r="F352" i="19"/>
  <c r="F462" i="19"/>
  <c r="F378" i="19"/>
  <c r="F415" i="19"/>
  <c r="F506" i="19"/>
  <c r="F512" i="19"/>
  <c r="F201" i="19"/>
  <c r="F250" i="19"/>
  <c r="F27" i="19"/>
  <c r="F80" i="19"/>
  <c r="F418" i="19"/>
  <c r="F293" i="19"/>
  <c r="F288" i="19"/>
  <c r="F287" i="19"/>
  <c r="F504" i="19"/>
  <c r="F64" i="19"/>
  <c r="F358" i="19"/>
  <c r="F232" i="19"/>
  <c r="F491" i="19"/>
  <c r="F475" i="19"/>
  <c r="F495" i="19"/>
  <c r="F56" i="19"/>
  <c r="J56" i="19" s="1"/>
  <c r="F31" i="19"/>
  <c r="F442" i="19"/>
  <c r="F426" i="19"/>
  <c r="F502" i="19"/>
  <c r="F449" i="19"/>
  <c r="F76" i="19"/>
  <c r="F114" i="19"/>
  <c r="F460" i="19"/>
  <c r="F363" i="19"/>
  <c r="F453" i="19"/>
  <c r="F420" i="19"/>
  <c r="F365" i="19"/>
  <c r="F470" i="19"/>
  <c r="F350" i="19"/>
  <c r="F499" i="19"/>
  <c r="F431" i="19"/>
  <c r="F371" i="19"/>
  <c r="F317" i="19"/>
  <c r="F265" i="19"/>
  <c r="F231" i="19"/>
  <c r="F509" i="19"/>
  <c r="F429" i="19"/>
  <c r="F84" i="19"/>
  <c r="F54" i="19"/>
  <c r="F516" i="19"/>
  <c r="F52" i="19"/>
  <c r="F108" i="19"/>
  <c r="F35" i="19"/>
  <c r="F328" i="19"/>
  <c r="F421" i="19"/>
  <c r="F60" i="19"/>
  <c r="F417" i="19"/>
  <c r="F387" i="19"/>
  <c r="F406" i="19"/>
  <c r="F143" i="19"/>
  <c r="F427" i="19"/>
  <c r="F99" i="19"/>
  <c r="F106" i="19"/>
  <c r="F384" i="19"/>
  <c r="F450" i="19"/>
  <c r="F273" i="19"/>
  <c r="F229" i="19"/>
  <c r="F175" i="19"/>
  <c r="F127" i="19"/>
  <c r="F73" i="19"/>
  <c r="F259" i="19"/>
  <c r="F473" i="19"/>
  <c r="F270" i="19"/>
  <c r="F320" i="19"/>
  <c r="F496" i="19"/>
  <c r="F227" i="19"/>
  <c r="F95" i="19"/>
  <c r="F457" i="19"/>
  <c r="F408" i="19"/>
  <c r="F479" i="19"/>
  <c r="F93" i="19"/>
  <c r="F263" i="19"/>
  <c r="F367" i="19"/>
  <c r="F285" i="19"/>
  <c r="F277" i="19"/>
  <c r="F241" i="19"/>
  <c r="F196" i="19"/>
  <c r="F144" i="19"/>
  <c r="F211" i="19"/>
  <c r="F136" i="19"/>
  <c r="F28" i="19"/>
  <c r="F377" i="19"/>
  <c r="F203" i="19"/>
  <c r="F32" i="19"/>
  <c r="F422" i="19"/>
  <c r="F315" i="19"/>
  <c r="F109" i="19"/>
  <c r="F327" i="19"/>
  <c r="F226" i="19"/>
  <c r="F124" i="19"/>
  <c r="F401" i="19"/>
  <c r="F117" i="19"/>
  <c r="F321" i="19"/>
  <c r="F364" i="19"/>
  <c r="F74" i="19"/>
  <c r="F380" i="19"/>
  <c r="F342" i="19"/>
  <c r="F282" i="19"/>
  <c r="F326" i="19"/>
  <c r="F207" i="19"/>
  <c r="F134" i="19"/>
  <c r="F272" i="19"/>
  <c r="F20" i="19"/>
  <c r="F311" i="19"/>
  <c r="F485" i="19"/>
  <c r="F436" i="19"/>
  <c r="F468" i="19"/>
  <c r="F254" i="19"/>
  <c r="F445" i="19"/>
  <c r="F501" i="19"/>
  <c r="F443" i="19"/>
  <c r="F386" i="19"/>
  <c r="F359" i="19"/>
  <c r="F94" i="19"/>
  <c r="F325" i="19"/>
  <c r="F488" i="19"/>
  <c r="F425" i="19"/>
  <c r="F353" i="19"/>
  <c r="F306" i="19"/>
  <c r="F252" i="19"/>
  <c r="F219" i="19"/>
  <c r="F179" i="19"/>
  <c r="F88" i="19"/>
  <c r="F75" i="19"/>
  <c r="F15" i="19"/>
  <c r="F38" i="19"/>
  <c r="F389" i="19"/>
  <c r="F66" i="19"/>
  <c r="F343" i="19"/>
  <c r="F208" i="19"/>
  <c r="F448" i="19"/>
  <c r="F256" i="19"/>
  <c r="F161" i="19"/>
  <c r="F356" i="19"/>
  <c r="F336" i="19"/>
  <c r="F149" i="19"/>
  <c r="F107" i="19"/>
  <c r="F275" i="19"/>
  <c r="F390" i="19"/>
  <c r="F396" i="19"/>
  <c r="F332" i="19"/>
  <c r="F258" i="19"/>
  <c r="F216" i="19"/>
  <c r="F156" i="19"/>
  <c r="F118" i="19"/>
  <c r="F69" i="19"/>
  <c r="F245" i="19"/>
  <c r="F374" i="19"/>
  <c r="F483" i="19"/>
  <c r="F176" i="19"/>
  <c r="F304" i="19"/>
  <c r="F152" i="19"/>
  <c r="F513" i="19"/>
  <c r="F26" i="19"/>
  <c r="F86" i="19"/>
  <c r="F45" i="19"/>
  <c r="F314" i="19"/>
  <c r="F133" i="19"/>
  <c r="F235" i="19"/>
  <c r="F322" i="19"/>
  <c r="F230" i="19"/>
  <c r="F269" i="19"/>
  <c r="F181" i="19"/>
  <c r="F138" i="19"/>
  <c r="F96" i="19"/>
  <c r="F68" i="19"/>
  <c r="F44" i="19"/>
  <c r="F16" i="19"/>
  <c r="F103" i="19"/>
  <c r="F302" i="19"/>
  <c r="F463" i="19"/>
  <c r="F188" i="19"/>
  <c r="F212" i="19"/>
  <c r="F376" i="19"/>
  <c r="F30" i="19"/>
  <c r="F240" i="19"/>
  <c r="F164" i="19"/>
  <c r="F142" i="19"/>
  <c r="F514" i="19"/>
  <c r="F79" i="19"/>
  <c r="F169" i="19"/>
  <c r="F187" i="19"/>
  <c r="F140" i="19"/>
  <c r="F276" i="19"/>
  <c r="F239" i="19"/>
  <c r="F194" i="19"/>
  <c r="F128" i="19"/>
  <c r="F41" i="19"/>
  <c r="F126" i="19"/>
  <c r="F476" i="19"/>
  <c r="F100" i="19"/>
  <c r="F135" i="19"/>
  <c r="F481" i="19"/>
  <c r="F433" i="19"/>
  <c r="F480" i="19"/>
  <c r="F432" i="19"/>
  <c r="F381" i="19"/>
  <c r="F279" i="19"/>
  <c r="F58" i="19"/>
  <c r="F57" i="19"/>
  <c r="F467" i="19"/>
  <c r="F419" i="19"/>
  <c r="F347" i="19"/>
  <c r="F289" i="19"/>
  <c r="F439" i="19"/>
  <c r="F210" i="19"/>
  <c r="F168" i="19"/>
  <c r="F110" i="19"/>
  <c r="F70" i="19"/>
  <c r="F116" i="19"/>
  <c r="F312" i="19"/>
  <c r="F89" i="19"/>
  <c r="F300" i="19"/>
  <c r="F218" i="19"/>
  <c r="F104" i="19"/>
  <c r="F98" i="19"/>
  <c r="F53" i="19"/>
  <c r="F284" i="19"/>
  <c r="F441" i="19"/>
  <c r="F294" i="19"/>
  <c r="F261" i="19"/>
  <c r="F413" i="19"/>
  <c r="F382" i="19"/>
  <c r="F186" i="19"/>
  <c r="F248" i="19"/>
  <c r="F246" i="19"/>
  <c r="F209" i="19"/>
  <c r="F139" i="19"/>
  <c r="F102" i="19"/>
  <c r="F51" i="19"/>
  <c r="F278" i="19"/>
  <c r="F267" i="19"/>
  <c r="F172" i="19"/>
  <c r="F274" i="19"/>
  <c r="F160" i="19"/>
  <c r="F407" i="19"/>
  <c r="F46" i="19"/>
  <c r="F397" i="19"/>
  <c r="F482" i="19"/>
  <c r="F33" i="19"/>
  <c r="F202" i="19"/>
  <c r="F478" i="19"/>
  <c r="F299" i="19"/>
  <c r="F310" i="19"/>
  <c r="F260" i="19"/>
  <c r="F214" i="19"/>
  <c r="F174" i="19"/>
  <c r="F129" i="19"/>
  <c r="F87" i="19"/>
  <c r="F59" i="19"/>
  <c r="F115" i="19"/>
  <c r="F97" i="19"/>
  <c r="F112" i="19"/>
  <c r="F193" i="19"/>
  <c r="F510" i="19"/>
  <c r="F222" i="19"/>
  <c r="F206" i="19"/>
  <c r="F271" i="19"/>
  <c r="F424" i="19"/>
  <c r="F200" i="19"/>
  <c r="F388" i="19"/>
  <c r="F490" i="19"/>
  <c r="F500" i="19"/>
  <c r="F223" i="19"/>
  <c r="F403" i="19"/>
  <c r="F375" i="19"/>
  <c r="F295" i="19"/>
  <c r="F268" i="19"/>
  <c r="F221" i="19"/>
  <c r="F178" i="19"/>
  <c r="F123" i="19"/>
  <c r="F37" i="19"/>
  <c r="F49" i="19"/>
  <c r="F461" i="19"/>
  <c r="F62" i="19"/>
  <c r="F305" i="19"/>
  <c r="F474" i="19"/>
  <c r="F48" i="19"/>
  <c r="F459" i="19"/>
  <c r="F430" i="19"/>
  <c r="F130" i="19"/>
  <c r="F21" i="19"/>
  <c r="F435" i="19"/>
  <c r="F507" i="19"/>
  <c r="F456" i="19"/>
  <c r="F383" i="19"/>
  <c r="F333" i="19"/>
  <c r="F373" i="19"/>
  <c r="F237" i="19"/>
  <c r="F205" i="19"/>
  <c r="F157" i="19"/>
  <c r="F92" i="19"/>
  <c r="F63" i="19"/>
  <c r="F517" i="19"/>
  <c r="F220" i="19"/>
  <c r="F243" i="19"/>
  <c r="F182" i="19"/>
  <c r="F146" i="19"/>
  <c r="F291" i="19"/>
  <c r="F451" i="19"/>
  <c r="F204" i="19"/>
  <c r="F249" i="19"/>
  <c r="F50" i="19"/>
  <c r="F296" i="19"/>
  <c r="F471" i="19"/>
  <c r="F508" i="19"/>
  <c r="F369" i="19"/>
  <c r="F395" i="19"/>
  <c r="F346" i="19"/>
  <c r="F280" i="19"/>
  <c r="F233" i="19"/>
  <c r="F301" i="19"/>
  <c r="F132" i="19"/>
  <c r="F228" i="19"/>
  <c r="F29" i="19"/>
  <c r="F255" i="19"/>
  <c r="F217" i="19"/>
  <c r="F113" i="19"/>
  <c r="F472" i="19"/>
  <c r="F177" i="19"/>
  <c r="F247" i="19"/>
  <c r="F121" i="19"/>
  <c r="F329" i="19"/>
  <c r="F17" i="19"/>
  <c r="F225" i="19"/>
  <c r="F18" i="19"/>
  <c r="F398" i="19"/>
  <c r="F351" i="19"/>
  <c r="F173" i="19"/>
  <c r="F101" i="19"/>
  <c r="F344" i="19"/>
  <c r="F162" i="19"/>
  <c r="F125" i="19"/>
  <c r="F78" i="19"/>
  <c r="F242" i="19"/>
  <c r="F257" i="19"/>
  <c r="F43" i="19"/>
  <c r="F145" i="19"/>
  <c r="F324" i="19"/>
  <c r="F465" i="19"/>
  <c r="F150" i="19"/>
  <c r="F170" i="19"/>
  <c r="F339" i="19"/>
  <c r="F23" i="19"/>
  <c r="F105" i="19"/>
  <c r="F264" i="19"/>
  <c r="F36" i="19"/>
  <c r="F281" i="19"/>
  <c r="F195" i="19"/>
  <c r="F385" i="19"/>
  <c r="F349" i="19"/>
  <c r="F290" i="19"/>
  <c r="F253" i="19"/>
  <c r="F213" i="19"/>
  <c r="F158" i="19"/>
  <c r="F111" i="19"/>
  <c r="F85" i="19"/>
  <c r="F25" i="19"/>
  <c r="F318" i="19"/>
  <c r="F81" i="19"/>
  <c r="F215" i="19"/>
  <c r="F484" i="19"/>
  <c r="F199" i="19"/>
  <c r="F309" i="19"/>
  <c r="F119" i="19"/>
  <c r="F224" i="19"/>
  <c r="F391" i="19"/>
  <c r="F155" i="19"/>
  <c r="F330" i="19"/>
  <c r="F437" i="19"/>
  <c r="F189" i="19"/>
  <c r="F77" i="19"/>
  <c r="F236" i="19"/>
  <c r="F244" i="19"/>
  <c r="F298" i="19"/>
  <c r="F137" i="19"/>
  <c r="F404" i="19"/>
  <c r="F331" i="19"/>
  <c r="F412" i="19"/>
  <c r="F34" i="19"/>
  <c r="F24" i="19"/>
  <c r="F39" i="19"/>
  <c r="F47" i="19"/>
  <c r="F147" i="19"/>
  <c r="F348" i="19"/>
  <c r="F65" i="19"/>
  <c r="F345" i="19"/>
  <c r="F191" i="19"/>
  <c r="F159" i="19"/>
  <c r="F307" i="19"/>
  <c r="F487" i="19"/>
  <c r="F505" i="19"/>
  <c r="F163" i="19"/>
  <c r="F148" i="19"/>
  <c r="F423" i="19"/>
  <c r="F234" i="19"/>
  <c r="F82" i="19"/>
  <c r="F19" i="19"/>
  <c r="F238" i="19"/>
  <c r="F42" i="19"/>
  <c r="F61" i="19"/>
  <c r="F122" i="19"/>
  <c r="F153" i="19"/>
  <c r="F337" i="19"/>
  <c r="F151" i="19"/>
  <c r="F197" i="19"/>
  <c r="F319" i="19"/>
  <c r="F192" i="19"/>
  <c r="F40" i="19"/>
  <c r="F338" i="19"/>
  <c r="F361" i="19"/>
  <c r="F446" i="19"/>
  <c r="F198" i="19"/>
  <c r="J57" i="19"/>
  <c r="J379" i="19" l="1"/>
  <c r="I379" i="19"/>
  <c r="I517" i="19"/>
  <c r="J517" i="19"/>
  <c r="I516" i="19"/>
  <c r="J516" i="19"/>
  <c r="J95" i="19"/>
  <c r="I95" i="19"/>
  <c r="J103" i="19"/>
  <c r="I103" i="19"/>
  <c r="J240" i="19"/>
  <c r="I240" i="19"/>
  <c r="J291" i="19"/>
  <c r="I291" i="19"/>
  <c r="J77" i="19"/>
  <c r="I77" i="19"/>
  <c r="I100" i="19"/>
  <c r="J100" i="19"/>
  <c r="J324" i="19"/>
  <c r="I324" i="19"/>
  <c r="J91" i="19"/>
  <c r="I91" i="19"/>
  <c r="J361" i="19"/>
  <c r="I361" i="19"/>
  <c r="I433" i="19"/>
  <c r="J433" i="19"/>
  <c r="J262" i="19"/>
  <c r="I262" i="19"/>
  <c r="J290" i="19"/>
  <c r="I290" i="19"/>
  <c r="J260" i="19"/>
  <c r="I260" i="19"/>
  <c r="J510" i="19"/>
  <c r="I510" i="19"/>
  <c r="J437" i="19"/>
  <c r="I437" i="19"/>
  <c r="J493" i="19"/>
  <c r="I493" i="19"/>
  <c r="J478" i="19"/>
  <c r="I478" i="19"/>
  <c r="J42" i="19"/>
  <c r="I42" i="19"/>
  <c r="J187" i="19"/>
  <c r="I187" i="19"/>
  <c r="J358" i="19"/>
  <c r="I358" i="19"/>
  <c r="J128" i="19"/>
  <c r="I128" i="19"/>
  <c r="I168" i="19"/>
  <c r="J168" i="19"/>
  <c r="J58" i="19"/>
  <c r="I58" i="19"/>
  <c r="J169" i="19"/>
  <c r="I169" i="19"/>
  <c r="J373" i="19"/>
  <c r="I373" i="19"/>
  <c r="J215" i="19"/>
  <c r="I215" i="19"/>
  <c r="J268" i="19"/>
  <c r="I268" i="19"/>
  <c r="J301" i="19"/>
  <c r="I301" i="19"/>
  <c r="J198" i="19"/>
  <c r="I198" i="19"/>
  <c r="J16" i="19"/>
  <c r="I16" i="19"/>
  <c r="J125" i="19"/>
  <c r="I125" i="19"/>
  <c r="J131" i="19"/>
  <c r="I131" i="19"/>
  <c r="J246" i="19"/>
  <c r="I246" i="19"/>
  <c r="J14" i="19"/>
  <c r="I14" i="19"/>
  <c r="J151" i="19"/>
  <c r="I151" i="19"/>
  <c r="J347" i="19"/>
  <c r="I347" i="19"/>
  <c r="J415" i="19"/>
  <c r="I415" i="19"/>
  <c r="J434" i="19"/>
  <c r="I434" i="19"/>
  <c r="I36" i="19"/>
  <c r="J36" i="19"/>
  <c r="J397" i="19"/>
  <c r="I397" i="19"/>
  <c r="J147" i="19"/>
  <c r="I147" i="19"/>
  <c r="J395" i="19"/>
  <c r="I395" i="19"/>
  <c r="J123" i="19"/>
  <c r="I123" i="19"/>
  <c r="I467" i="19"/>
  <c r="J467" i="19"/>
  <c r="J273" i="19"/>
  <c r="I273" i="19"/>
  <c r="J418" i="19"/>
  <c r="I418" i="19"/>
  <c r="J421" i="19"/>
  <c r="I421" i="19"/>
  <c r="J212" i="19"/>
  <c r="I212" i="19"/>
  <c r="J97" i="19"/>
  <c r="I97" i="19"/>
  <c r="J292" i="19"/>
  <c r="I292" i="19"/>
  <c r="J248" i="19"/>
  <c r="I248" i="19"/>
  <c r="J308" i="19"/>
  <c r="I308" i="19"/>
  <c r="J331" i="19"/>
  <c r="I331" i="19"/>
  <c r="J87" i="19"/>
  <c r="I87" i="19"/>
  <c r="J138" i="19"/>
  <c r="I138" i="19"/>
  <c r="J243" i="19"/>
  <c r="I243" i="19"/>
  <c r="J258" i="19"/>
  <c r="I258" i="19"/>
  <c r="I411" i="19"/>
  <c r="J411" i="19"/>
  <c r="J61" i="19"/>
  <c r="I61" i="19"/>
  <c r="J460" i="19"/>
  <c r="I460" i="19"/>
  <c r="J132" i="19"/>
  <c r="I132" i="19"/>
  <c r="J501" i="19"/>
  <c r="I501" i="19"/>
  <c r="J507" i="19"/>
  <c r="I507" i="19"/>
  <c r="J430" i="19"/>
  <c r="I430" i="19"/>
  <c r="J72" i="19"/>
  <c r="I72" i="19"/>
  <c r="J407" i="19"/>
  <c r="I407" i="19"/>
  <c r="J157" i="19"/>
  <c r="I157" i="19"/>
  <c r="J186" i="19"/>
  <c r="I186" i="19"/>
  <c r="J274" i="19"/>
  <c r="I274" i="19"/>
  <c r="J73" i="19"/>
  <c r="I73" i="19"/>
  <c r="J351" i="19"/>
  <c r="I351" i="19"/>
  <c r="J202" i="19"/>
  <c r="I202" i="19"/>
  <c r="J163" i="19"/>
  <c r="I163" i="19"/>
  <c r="J28" i="19"/>
  <c r="I28" i="19"/>
  <c r="J438" i="19"/>
  <c r="I438" i="19"/>
  <c r="J257" i="19"/>
  <c r="I257" i="19"/>
  <c r="J335" i="19"/>
  <c r="I335" i="19"/>
  <c r="J111" i="19"/>
  <c r="I111" i="19"/>
  <c r="J81" i="19"/>
  <c r="I81" i="19"/>
  <c r="J486" i="19"/>
  <c r="I486" i="19"/>
  <c r="I330" i="19"/>
  <c r="J330" i="19"/>
  <c r="J18" i="19"/>
  <c r="I18" i="19"/>
  <c r="J219" i="19"/>
  <c r="I219" i="19"/>
  <c r="J179" i="19"/>
  <c r="I179" i="19"/>
  <c r="J266" i="19"/>
  <c r="I266" i="19"/>
  <c r="J420" i="19"/>
  <c r="I420" i="19"/>
  <c r="I41" i="19"/>
  <c r="J41" i="19"/>
  <c r="I203" i="19"/>
  <c r="J203" i="19"/>
  <c r="J230" i="19"/>
  <c r="I230" i="19"/>
  <c r="J134" i="19"/>
  <c r="I134" i="19"/>
  <c r="J102" i="19"/>
  <c r="I102" i="19"/>
  <c r="J298" i="19"/>
  <c r="I298" i="19"/>
  <c r="I31" i="19"/>
  <c r="J31" i="19"/>
  <c r="I38" i="19"/>
  <c r="J38" i="19"/>
  <c r="I503" i="19"/>
  <c r="J503" i="19"/>
  <c r="I385" i="19"/>
  <c r="J385" i="19"/>
  <c r="I191" i="19"/>
  <c r="J191" i="19"/>
  <c r="I63" i="19"/>
  <c r="J63" i="19"/>
  <c r="J439" i="19"/>
  <c r="I439" i="19"/>
  <c r="I74" i="19"/>
  <c r="J74" i="19"/>
  <c r="J278" i="19"/>
  <c r="I278" i="19"/>
  <c r="I436" i="19"/>
  <c r="J436" i="19"/>
  <c r="J178" i="19"/>
  <c r="I178" i="19"/>
  <c r="J345" i="19"/>
  <c r="I345" i="19"/>
  <c r="I443" i="19"/>
  <c r="J443" i="19"/>
  <c r="I431" i="19"/>
  <c r="J431" i="19"/>
  <c r="I56" i="19"/>
  <c r="I339" i="19"/>
  <c r="J339" i="19"/>
  <c r="I302" i="19"/>
  <c r="J302" i="19"/>
  <c r="I165" i="19"/>
  <c r="J165" i="19"/>
  <c r="I249" i="19"/>
  <c r="J249" i="19"/>
  <c r="I146" i="19"/>
  <c r="J146" i="19"/>
  <c r="J484" i="19"/>
  <c r="I484" i="19"/>
  <c r="J177" i="19"/>
  <c r="I177" i="19"/>
  <c r="J500" i="19"/>
  <c r="I500" i="19"/>
  <c r="J509" i="19"/>
  <c r="I509" i="19"/>
  <c r="I359" i="19"/>
  <c r="J359" i="19"/>
  <c r="J468" i="19"/>
  <c r="I468" i="19"/>
  <c r="I469" i="19"/>
  <c r="J469" i="19"/>
  <c r="I214" i="19"/>
  <c r="J214" i="19"/>
  <c r="I390" i="19"/>
  <c r="J390" i="19"/>
  <c r="J171" i="19"/>
  <c r="I171" i="19"/>
  <c r="J140" i="19"/>
  <c r="I140" i="19"/>
  <c r="J118" i="19"/>
  <c r="I118" i="19"/>
  <c r="I122" i="19"/>
  <c r="J122" i="19"/>
  <c r="I349" i="19"/>
  <c r="J349" i="19"/>
  <c r="J20" i="19"/>
  <c r="I20" i="19"/>
  <c r="I263" i="19"/>
  <c r="J263" i="19"/>
  <c r="I424" i="19"/>
  <c r="J424" i="19"/>
  <c r="I218" i="19"/>
  <c r="J218" i="19"/>
  <c r="I446" i="19"/>
  <c r="J446" i="19"/>
  <c r="I167" i="19"/>
  <c r="J167" i="19"/>
  <c r="I463" i="19"/>
  <c r="J463" i="19"/>
  <c r="J329" i="19"/>
  <c r="I329" i="19"/>
  <c r="J405" i="19"/>
  <c r="I405" i="19"/>
  <c r="J176" i="19"/>
  <c r="I176" i="19"/>
  <c r="I242" i="19"/>
  <c r="J242" i="19"/>
  <c r="I241" i="19"/>
  <c r="J241" i="19"/>
  <c r="I48" i="19"/>
  <c r="J48" i="19"/>
  <c r="I244" i="19"/>
  <c r="J244" i="19"/>
  <c r="I136" i="19"/>
  <c r="J136" i="19"/>
  <c r="I277" i="19"/>
  <c r="J277" i="19"/>
  <c r="J454" i="19"/>
  <c r="I454" i="19"/>
  <c r="J27" i="19"/>
  <c r="I27" i="19"/>
  <c r="I279" i="19"/>
  <c r="J279" i="19"/>
  <c r="J229" i="19"/>
  <c r="I229" i="19"/>
  <c r="J29" i="19"/>
  <c r="I29" i="19"/>
  <c r="I461" i="19"/>
  <c r="J461" i="19"/>
  <c r="I159" i="19"/>
  <c r="J159" i="19"/>
  <c r="I155" i="19"/>
  <c r="J155" i="19"/>
  <c r="I376" i="19"/>
  <c r="J376" i="19"/>
  <c r="I145" i="19"/>
  <c r="J145" i="19"/>
  <c r="I93" i="19"/>
  <c r="J93" i="19"/>
  <c r="J161" i="19"/>
  <c r="I161" i="19"/>
  <c r="I343" i="19"/>
  <c r="J343" i="19"/>
  <c r="J402" i="19"/>
  <c r="I402" i="19"/>
  <c r="J121" i="19"/>
  <c r="I121" i="19"/>
  <c r="J40" i="19"/>
  <c r="I40" i="19"/>
  <c r="I144" i="19"/>
  <c r="J144" i="19"/>
  <c r="I466" i="19"/>
  <c r="J466" i="19"/>
  <c r="J305" i="19"/>
  <c r="I305" i="19"/>
  <c r="I116" i="19"/>
  <c r="J116" i="19"/>
  <c r="I196" i="19"/>
  <c r="J196" i="19"/>
  <c r="I375" i="19"/>
  <c r="J375" i="19"/>
  <c r="J76" i="19"/>
  <c r="I76" i="19"/>
  <c r="J283" i="19"/>
  <c r="I283" i="19"/>
  <c r="J85" i="19"/>
  <c r="I85" i="19"/>
  <c r="I52" i="19"/>
  <c r="J52" i="19"/>
  <c r="I332" i="19"/>
  <c r="J332" i="19"/>
  <c r="I455" i="19"/>
  <c r="J455" i="19"/>
  <c r="I414" i="19"/>
  <c r="J414" i="19"/>
  <c r="I356" i="19"/>
  <c r="J356" i="19"/>
  <c r="I315" i="19"/>
  <c r="J315" i="19"/>
  <c r="I367" i="19"/>
  <c r="J367" i="19"/>
  <c r="I399" i="19"/>
  <c r="J399" i="19"/>
  <c r="I504" i="19"/>
  <c r="J504" i="19"/>
  <c r="J227" i="19"/>
  <c r="I227" i="19"/>
  <c r="J316" i="19"/>
  <c r="I316" i="19"/>
  <c r="J364" i="19"/>
  <c r="I364" i="19"/>
  <c r="I365" i="19"/>
  <c r="J365" i="19"/>
  <c r="J320" i="19"/>
  <c r="I320" i="19"/>
  <c r="J108" i="19"/>
  <c r="I108" i="19"/>
  <c r="J496" i="19"/>
  <c r="I496" i="19"/>
  <c r="J34" i="19"/>
  <c r="I34" i="19"/>
  <c r="J401" i="19"/>
  <c r="I401" i="19"/>
  <c r="J471" i="19"/>
  <c r="I471" i="19"/>
  <c r="J261" i="19"/>
  <c r="I261" i="19"/>
  <c r="J64" i="19"/>
  <c r="I64" i="19"/>
  <c r="J498" i="19"/>
  <c r="I498" i="19"/>
  <c r="J354" i="19"/>
  <c r="I354" i="19"/>
  <c r="J26" i="19"/>
  <c r="I26" i="19"/>
  <c r="J50" i="19"/>
  <c r="I50" i="19"/>
  <c r="J142" i="19"/>
  <c r="I142" i="19"/>
  <c r="J281" i="19"/>
  <c r="I281" i="19"/>
  <c r="J51" i="19"/>
  <c r="I51" i="19"/>
  <c r="I75" i="19"/>
  <c r="J75" i="19"/>
  <c r="I70" i="19"/>
  <c r="J70" i="19"/>
  <c r="J265" i="19"/>
  <c r="I265" i="19"/>
  <c r="J452" i="19"/>
  <c r="I452" i="19"/>
  <c r="I318" i="19"/>
  <c r="J318" i="19"/>
  <c r="I92" i="19"/>
  <c r="J92" i="19"/>
  <c r="I173" i="19"/>
  <c r="J173" i="19"/>
  <c r="J481" i="19"/>
  <c r="I481" i="19"/>
  <c r="J127" i="19"/>
  <c r="I127" i="19"/>
  <c r="J480" i="19"/>
  <c r="I480" i="19"/>
  <c r="J313" i="19"/>
  <c r="I313" i="19"/>
  <c r="J156" i="19"/>
  <c r="I156" i="19"/>
  <c r="J21" i="19"/>
  <c r="I21" i="19"/>
  <c r="J228" i="19"/>
  <c r="I228" i="19"/>
  <c r="I185" i="19"/>
  <c r="J185" i="19"/>
  <c r="I170" i="19"/>
  <c r="J170" i="19"/>
  <c r="I234" i="19"/>
  <c r="J234" i="19"/>
  <c r="I204" i="19"/>
  <c r="J204" i="19"/>
  <c r="I182" i="19"/>
  <c r="J182" i="19"/>
  <c r="J307" i="19"/>
  <c r="I307" i="19"/>
  <c r="J86" i="19"/>
  <c r="I86" i="19"/>
  <c r="J388" i="19"/>
  <c r="I388" i="19"/>
  <c r="I269" i="19"/>
  <c r="J269" i="19"/>
  <c r="I403" i="19"/>
  <c r="J403" i="19"/>
  <c r="I217" i="19"/>
  <c r="J217" i="19"/>
  <c r="I68" i="19"/>
  <c r="J68" i="19"/>
  <c r="I252" i="19"/>
  <c r="J252" i="19"/>
  <c r="I445" i="19"/>
  <c r="J445" i="19"/>
  <c r="J259" i="19"/>
  <c r="I259" i="19"/>
  <c r="J502" i="19"/>
  <c r="I502" i="19"/>
  <c r="J207" i="19"/>
  <c r="I207" i="19"/>
  <c r="J25" i="19"/>
  <c r="I25" i="19"/>
  <c r="I459" i="19"/>
  <c r="J459" i="19"/>
  <c r="I126" i="19"/>
  <c r="J126" i="19"/>
  <c r="I47" i="19"/>
  <c r="J47" i="19"/>
  <c r="J271" i="19"/>
  <c r="I271" i="19"/>
  <c r="I32" i="19"/>
  <c r="J32" i="19"/>
  <c r="I314" i="19"/>
  <c r="J314" i="19"/>
  <c r="J53" i="19"/>
  <c r="I53" i="19"/>
  <c r="I300" i="19"/>
  <c r="J300" i="19"/>
  <c r="J515" i="19"/>
  <c r="I515" i="19"/>
  <c r="J372" i="19"/>
  <c r="I372" i="19"/>
  <c r="J427" i="19"/>
  <c r="I427" i="19"/>
  <c r="I84" i="19"/>
  <c r="J84" i="19"/>
  <c r="I289" i="19"/>
  <c r="J289" i="19"/>
  <c r="J303" i="19"/>
  <c r="I303" i="19"/>
  <c r="I389" i="19"/>
  <c r="J389" i="19"/>
  <c r="I120" i="19"/>
  <c r="J120" i="19"/>
  <c r="J317" i="19"/>
  <c r="I317" i="19"/>
  <c r="J254" i="19"/>
  <c r="I254" i="19"/>
  <c r="J180" i="19"/>
  <c r="I180" i="19"/>
  <c r="J190" i="19"/>
  <c r="I190" i="19"/>
  <c r="I396" i="19"/>
  <c r="J396" i="19"/>
  <c r="J194" i="19"/>
  <c r="I194" i="19"/>
  <c r="I311" i="19"/>
  <c r="J311" i="19"/>
  <c r="J221" i="19"/>
  <c r="I221" i="19"/>
  <c r="I428" i="19"/>
  <c r="J428" i="19"/>
  <c r="I256" i="19"/>
  <c r="J256" i="19"/>
  <c r="I189" i="19"/>
  <c r="J189" i="19"/>
  <c r="I475" i="19"/>
  <c r="J475" i="19"/>
  <c r="I98" i="19"/>
  <c r="J98" i="19"/>
  <c r="J43" i="19"/>
  <c r="I43" i="19"/>
  <c r="J143" i="19"/>
  <c r="I143" i="19"/>
  <c r="I495" i="19"/>
  <c r="J495" i="19"/>
  <c r="J404" i="19"/>
  <c r="I404" i="19"/>
  <c r="J210" i="19"/>
  <c r="I210" i="19"/>
  <c r="I382" i="19"/>
  <c r="J382" i="19"/>
  <c r="I492" i="19"/>
  <c r="J492" i="19"/>
  <c r="I54" i="19"/>
  <c r="J54" i="19"/>
  <c r="I237" i="19"/>
  <c r="J237" i="19"/>
  <c r="I106" i="19"/>
  <c r="J106" i="19"/>
  <c r="J473" i="19"/>
  <c r="I473" i="19"/>
  <c r="I410" i="19"/>
  <c r="J410" i="19"/>
  <c r="J175" i="19"/>
  <c r="I175" i="19"/>
  <c r="J491" i="19"/>
  <c r="I491" i="19"/>
  <c r="I419" i="19"/>
  <c r="J419" i="19"/>
  <c r="I378" i="19"/>
  <c r="J378" i="19"/>
  <c r="I392" i="19"/>
  <c r="J392" i="19"/>
  <c r="I226" i="19"/>
  <c r="J226" i="19"/>
  <c r="I193" i="19"/>
  <c r="J193" i="19"/>
  <c r="I82" i="19"/>
  <c r="J82" i="19"/>
  <c r="I409" i="19"/>
  <c r="J409" i="19"/>
  <c r="I328" i="19"/>
  <c r="J328" i="19"/>
  <c r="J184" i="19"/>
  <c r="I184" i="19"/>
  <c r="J406" i="19"/>
  <c r="I406" i="19"/>
  <c r="J117" i="19"/>
  <c r="I117" i="19"/>
  <c r="I426" i="19"/>
  <c r="J426" i="19"/>
  <c r="J304" i="19"/>
  <c r="I304" i="19"/>
  <c r="J153" i="19"/>
  <c r="I153" i="19"/>
  <c r="J152" i="19"/>
  <c r="I152" i="19"/>
  <c r="J192" i="19"/>
  <c r="I192" i="19"/>
  <c r="J164" i="19"/>
  <c r="I164" i="19"/>
  <c r="J183" i="19"/>
  <c r="I183" i="19"/>
  <c r="J444" i="19"/>
  <c r="I444" i="19"/>
  <c r="J352" i="19"/>
  <c r="I352" i="19"/>
  <c r="J368" i="19"/>
  <c r="I368" i="19"/>
  <c r="J197" i="19"/>
  <c r="I197" i="19"/>
  <c r="J408" i="19"/>
  <c r="I408" i="19"/>
  <c r="J336" i="19"/>
  <c r="I336" i="19"/>
  <c r="J490" i="19"/>
  <c r="I490" i="19"/>
  <c r="J369" i="19"/>
  <c r="I369" i="19"/>
  <c r="J286" i="19"/>
  <c r="I286" i="19"/>
  <c r="I211" i="19"/>
  <c r="J211" i="19"/>
  <c r="I310" i="19"/>
  <c r="J310" i="19"/>
  <c r="J499" i="19"/>
  <c r="I499" i="19"/>
  <c r="I115" i="19"/>
  <c r="J115" i="19"/>
  <c r="I141" i="19"/>
  <c r="J141" i="19"/>
  <c r="I340" i="19"/>
  <c r="J340" i="19"/>
  <c r="J325" i="19"/>
  <c r="I325" i="19"/>
  <c r="J232" i="19"/>
  <c r="I232" i="19"/>
  <c r="J323" i="19"/>
  <c r="I323" i="19"/>
  <c r="I130" i="19"/>
  <c r="J130" i="19"/>
  <c r="J233" i="19"/>
  <c r="I233" i="19"/>
  <c r="I458" i="19"/>
  <c r="J458" i="19"/>
  <c r="I363" i="19"/>
  <c r="J363" i="19"/>
  <c r="I83" i="19"/>
  <c r="J83" i="19"/>
  <c r="I60" i="19"/>
  <c r="J60" i="19"/>
  <c r="I235" i="19"/>
  <c r="J235" i="19"/>
  <c r="I39" i="19"/>
  <c r="J39" i="19"/>
  <c r="I150" i="19"/>
  <c r="J150" i="19"/>
  <c r="J374" i="19"/>
  <c r="I374" i="19"/>
  <c r="J508" i="19"/>
  <c r="I508" i="19"/>
  <c r="J255" i="19"/>
  <c r="I255" i="19"/>
  <c r="J119" i="19"/>
  <c r="I119" i="19"/>
  <c r="J360" i="19"/>
  <c r="I360" i="19"/>
  <c r="J456" i="19"/>
  <c r="I456" i="19"/>
  <c r="I71" i="19"/>
  <c r="J71" i="19"/>
  <c r="I110" i="19"/>
  <c r="J110" i="19"/>
  <c r="I306" i="19"/>
  <c r="J306" i="19"/>
  <c r="J489" i="19"/>
  <c r="I489" i="19"/>
  <c r="J447" i="19"/>
  <c r="I447" i="19"/>
  <c r="J89" i="19"/>
  <c r="I89" i="19"/>
  <c r="I450" i="19"/>
  <c r="J450" i="19"/>
  <c r="J158" i="19"/>
  <c r="I158" i="19"/>
  <c r="I49" i="19"/>
  <c r="J49" i="19"/>
  <c r="J216" i="19"/>
  <c r="I216" i="19"/>
  <c r="I33" i="19"/>
  <c r="J33" i="19"/>
  <c r="I206" i="19"/>
  <c r="J206" i="19"/>
  <c r="I386" i="19"/>
  <c r="J386" i="19"/>
  <c r="I511" i="19"/>
  <c r="J511" i="19"/>
  <c r="I506" i="19"/>
  <c r="J506" i="19"/>
  <c r="J239" i="19"/>
  <c r="I239" i="19"/>
  <c r="J253" i="19"/>
  <c r="I253" i="19"/>
  <c r="J224" i="19"/>
  <c r="I224" i="19"/>
  <c r="J497" i="19"/>
  <c r="I497" i="19"/>
  <c r="I429" i="19"/>
  <c r="J429" i="19"/>
  <c r="I285" i="19"/>
  <c r="J285" i="19"/>
  <c r="J114" i="19"/>
  <c r="I114" i="19"/>
  <c r="I154" i="19"/>
  <c r="J154" i="19"/>
  <c r="I181" i="19"/>
  <c r="J181" i="19"/>
  <c r="I357" i="19"/>
  <c r="J357" i="19"/>
  <c r="J435" i="19"/>
  <c r="I435" i="19"/>
  <c r="J280" i="19"/>
  <c r="I280" i="19"/>
  <c r="J55" i="19"/>
  <c r="I55" i="19"/>
  <c r="I113" i="19"/>
  <c r="J113" i="19"/>
  <c r="J282" i="19"/>
  <c r="I282" i="19"/>
  <c r="I432" i="19"/>
  <c r="J432" i="19"/>
  <c r="I366" i="19"/>
  <c r="J366" i="19"/>
  <c r="I200" i="19"/>
  <c r="J200" i="19"/>
  <c r="I104" i="19"/>
  <c r="J104" i="19"/>
  <c r="I293" i="19"/>
  <c r="J293" i="19"/>
  <c r="I512" i="19"/>
  <c r="J512" i="19"/>
  <c r="I188" i="19"/>
  <c r="J188" i="19"/>
  <c r="J319" i="19"/>
  <c r="I319" i="19"/>
  <c r="J80" i="19"/>
  <c r="I80" i="19"/>
  <c r="J79" i="19"/>
  <c r="I79" i="19"/>
  <c r="I59" i="19"/>
  <c r="J59" i="19"/>
  <c r="I101" i="19"/>
  <c r="J101" i="19"/>
  <c r="I394" i="19"/>
  <c r="J394" i="19"/>
  <c r="I267" i="19"/>
  <c r="J267" i="19"/>
  <c r="I78" i="19"/>
  <c r="J78" i="19"/>
  <c r="I287" i="19"/>
  <c r="J287" i="19"/>
  <c r="J474" i="19"/>
  <c r="I474" i="19"/>
  <c r="J272" i="19"/>
  <c r="I272" i="19"/>
  <c r="I393" i="19"/>
  <c r="J393" i="19"/>
  <c r="J276" i="19"/>
  <c r="I276" i="19"/>
  <c r="J65" i="19"/>
  <c r="I65" i="19"/>
  <c r="I470" i="19"/>
  <c r="J470" i="19"/>
  <c r="J69" i="19"/>
  <c r="I69" i="19"/>
  <c r="I225" i="19"/>
  <c r="J225" i="19"/>
  <c r="I327" i="19"/>
  <c r="J327" i="19"/>
  <c r="I112" i="19"/>
  <c r="J112" i="19"/>
  <c r="I338" i="19"/>
  <c r="J338" i="19"/>
  <c r="I417" i="19"/>
  <c r="J417" i="19"/>
  <c r="I35" i="19"/>
  <c r="J35" i="19"/>
  <c r="J413" i="19"/>
  <c r="I413" i="19"/>
  <c r="J472" i="19"/>
  <c r="I472" i="19"/>
  <c r="J148" i="19"/>
  <c r="I148" i="19"/>
  <c r="I449" i="19"/>
  <c r="J449" i="19"/>
  <c r="J195" i="19"/>
  <c r="I195" i="19"/>
  <c r="J137" i="19"/>
  <c r="I137" i="19"/>
  <c r="J247" i="19"/>
  <c r="I247" i="19"/>
  <c r="J24" i="19"/>
  <c r="I24" i="19"/>
  <c r="J264" i="19"/>
  <c r="I264" i="19"/>
  <c r="J107" i="19"/>
  <c r="I107" i="19"/>
  <c r="J440" i="19"/>
  <c r="I440" i="19"/>
  <c r="J223" i="19"/>
  <c r="I223" i="19"/>
  <c r="J462" i="19"/>
  <c r="I462" i="19"/>
  <c r="J46" i="19"/>
  <c r="I46" i="19"/>
  <c r="J482" i="19"/>
  <c r="I482" i="19"/>
  <c r="J296" i="19"/>
  <c r="I296" i="19"/>
  <c r="J341" i="19"/>
  <c r="I341" i="19"/>
  <c r="J251" i="19"/>
  <c r="I251" i="19"/>
  <c r="J487" i="19"/>
  <c r="I487" i="19"/>
  <c r="I174" i="19"/>
  <c r="J174" i="19"/>
  <c r="I355" i="19"/>
  <c r="J355" i="19"/>
  <c r="J135" i="19"/>
  <c r="I135" i="19"/>
  <c r="I44" i="19"/>
  <c r="J44" i="19"/>
  <c r="I344" i="19"/>
  <c r="J344" i="19"/>
  <c r="I380" i="19"/>
  <c r="J380" i="19"/>
  <c r="I270" i="19"/>
  <c r="J270" i="19"/>
  <c r="J295" i="19"/>
  <c r="I295" i="19"/>
  <c r="J90" i="19"/>
  <c r="I90" i="19"/>
  <c r="J66" i="19"/>
  <c r="I66" i="19"/>
  <c r="I346" i="19"/>
  <c r="J346" i="19"/>
  <c r="J485" i="19"/>
  <c r="I485" i="19"/>
  <c r="I19" i="19"/>
  <c r="J19" i="19"/>
  <c r="I23" i="19"/>
  <c r="J23" i="19"/>
  <c r="I465" i="19"/>
  <c r="J465" i="19"/>
  <c r="I398" i="19"/>
  <c r="J398" i="19"/>
  <c r="I124" i="19"/>
  <c r="J124" i="19"/>
  <c r="I448" i="19"/>
  <c r="J448" i="19"/>
  <c r="J423" i="19"/>
  <c r="I423" i="19"/>
  <c r="J17" i="19"/>
  <c r="I17" i="19"/>
  <c r="J199" i="19"/>
  <c r="I199" i="19"/>
  <c r="I88" i="19"/>
  <c r="J88" i="19"/>
  <c r="I322" i="19"/>
  <c r="J322" i="19"/>
  <c r="J22" i="19"/>
  <c r="I22" i="19"/>
  <c r="I220" i="19"/>
  <c r="J220" i="19"/>
  <c r="I162" i="19"/>
  <c r="J162" i="19"/>
  <c r="I353" i="19"/>
  <c r="J353" i="19"/>
  <c r="J350" i="19"/>
  <c r="I350" i="19"/>
  <c r="J326" i="19"/>
  <c r="I326" i="19"/>
  <c r="J236" i="19"/>
  <c r="I236" i="19"/>
  <c r="I453" i="19"/>
  <c r="J453" i="19"/>
  <c r="J250" i="19"/>
  <c r="I250" i="19"/>
  <c r="I381" i="19"/>
  <c r="J381" i="19"/>
  <c r="I348" i="19"/>
  <c r="J348" i="19"/>
  <c r="I105" i="19"/>
  <c r="J105" i="19"/>
  <c r="I451" i="19"/>
  <c r="J451" i="19"/>
  <c r="I238" i="19"/>
  <c r="J238" i="19"/>
  <c r="I284" i="19"/>
  <c r="J284" i="19"/>
  <c r="I222" i="19"/>
  <c r="J222" i="19"/>
  <c r="I172" i="19"/>
  <c r="J172" i="19"/>
  <c r="J67" i="19"/>
  <c r="I67" i="19"/>
  <c r="J166" i="19"/>
  <c r="I166" i="19"/>
  <c r="J505" i="19"/>
  <c r="I505" i="19"/>
  <c r="I205" i="19"/>
  <c r="J205" i="19"/>
  <c r="I384" i="19"/>
  <c r="J384" i="19"/>
  <c r="J94" i="19"/>
  <c r="I94" i="19"/>
  <c r="I15" i="19"/>
  <c r="J15" i="19"/>
  <c r="J231" i="19"/>
  <c r="I231" i="19"/>
  <c r="I416" i="19"/>
  <c r="J416" i="19"/>
  <c r="J312" i="19"/>
  <c r="I312" i="19"/>
  <c r="I342" i="19"/>
  <c r="J342" i="19"/>
  <c r="J139" i="19"/>
  <c r="I139" i="19"/>
  <c r="J377" i="19"/>
  <c r="I377" i="19"/>
  <c r="I383" i="19"/>
  <c r="J383" i="19"/>
  <c r="I442" i="19"/>
  <c r="J442" i="19"/>
  <c r="I477" i="19"/>
  <c r="J477" i="19"/>
  <c r="I30" i="19"/>
  <c r="J30" i="19"/>
  <c r="I208" i="19"/>
  <c r="J208" i="19"/>
  <c r="I133" i="19"/>
  <c r="J133" i="19"/>
  <c r="I387" i="19"/>
  <c r="J387" i="19"/>
  <c r="I422" i="19"/>
  <c r="J422" i="19"/>
  <c r="J412" i="19"/>
  <c r="I412" i="19"/>
  <c r="I334" i="19"/>
  <c r="J334" i="19"/>
  <c r="J294" i="19"/>
  <c r="I294" i="19"/>
  <c r="I96" i="19"/>
  <c r="J96" i="19"/>
  <c r="I297" i="19"/>
  <c r="J297" i="19"/>
  <c r="J488" i="19"/>
  <c r="I488" i="19"/>
  <c r="I464" i="19"/>
  <c r="J464" i="19"/>
  <c r="I129" i="19"/>
  <c r="J129" i="19"/>
  <c r="I333" i="19"/>
  <c r="J333" i="19"/>
  <c r="I57" i="19"/>
  <c r="J209" i="19"/>
  <c r="I209" i="19"/>
  <c r="I483" i="19"/>
  <c r="J483" i="19"/>
  <c r="I371" i="19"/>
  <c r="J371" i="19"/>
  <c r="J213" i="19"/>
  <c r="I213" i="19"/>
  <c r="I37" i="19"/>
  <c r="J37" i="19"/>
  <c r="J288" i="19"/>
  <c r="I288" i="19"/>
  <c r="I45" i="19"/>
  <c r="J45" i="19"/>
  <c r="I370" i="19"/>
  <c r="J370" i="19"/>
  <c r="I299" i="19"/>
  <c r="J299" i="19"/>
  <c r="I400" i="19"/>
  <c r="J400" i="19"/>
  <c r="I109" i="19"/>
  <c r="J109" i="19"/>
  <c r="J514" i="19"/>
  <c r="I514" i="19"/>
  <c r="J441" i="19"/>
  <c r="I441" i="19"/>
  <c r="J513" i="19"/>
  <c r="I513" i="19"/>
  <c r="J476" i="19"/>
  <c r="I476" i="19"/>
  <c r="J245" i="19"/>
  <c r="I245" i="19"/>
  <c r="I62" i="19"/>
  <c r="J62" i="19"/>
  <c r="J337" i="19"/>
  <c r="I337" i="19"/>
  <c r="J309" i="19"/>
  <c r="I309" i="19"/>
  <c r="J391" i="19"/>
  <c r="I391" i="19"/>
  <c r="J494" i="19"/>
  <c r="I494" i="19"/>
  <c r="J321" i="19"/>
  <c r="I321" i="19"/>
  <c r="J275" i="19"/>
  <c r="I275" i="19"/>
  <c r="J201" i="19"/>
  <c r="I201" i="19"/>
  <c r="J160" i="19"/>
  <c r="I160" i="19"/>
  <c r="J457" i="19"/>
  <c r="I457" i="19"/>
  <c r="J479" i="19"/>
  <c r="I479" i="19"/>
  <c r="J149" i="19"/>
  <c r="I149" i="19"/>
  <c r="J99" i="19"/>
  <c r="I99" i="19"/>
  <c r="I425" i="19"/>
  <c r="J425" i="19"/>
  <c r="K10" i="16"/>
  <c r="C8" i="19" l="1"/>
  <c r="E8" i="19"/>
  <c r="H10" i="16"/>
  <c r="J10" i="16"/>
  <c r="D10" i="16"/>
  <c r="F15" i="16"/>
  <c r="D15" i="16"/>
  <c r="J15" i="16"/>
  <c r="H15" i="16"/>
  <c r="F10" i="16"/>
  <c r="D8" i="19" l="1"/>
  <c r="F8" i="19" s="1"/>
  <c r="C9" i="32" l="1"/>
  <c r="E9" i="32" s="1"/>
  <c r="G9" i="32" s="1"/>
  <c r="I9" i="32" s="1"/>
  <c r="K9" i="32" s="1"/>
  <c r="C13" i="32"/>
  <c r="C15" i="32"/>
  <c r="C10" i="32"/>
  <c r="C14" i="32"/>
  <c r="C11" i="32"/>
  <c r="C12" i="32"/>
  <c r="K14" i="16"/>
  <c r="G10" i="6"/>
  <c r="G15" i="6"/>
  <c r="G10" i="7"/>
  <c r="G15" i="7"/>
  <c r="F62" i="3"/>
  <c r="H62" i="3" s="1"/>
  <c r="F61" i="3"/>
  <c r="H61" i="3" s="1"/>
  <c r="F60" i="3"/>
  <c r="H60" i="3" s="1"/>
  <c r="H59" i="3"/>
  <c r="H58" i="3"/>
  <c r="H57" i="3"/>
  <c r="E10" i="32" l="1"/>
  <c r="G10" i="32" s="1"/>
  <c r="I10" i="32" s="1"/>
  <c r="K10" i="32" s="1"/>
  <c r="F14" i="16"/>
  <c r="J14" i="16"/>
  <c r="D14" i="16"/>
  <c r="H14" i="16"/>
  <c r="H15" i="3"/>
  <c r="F14" i="4"/>
  <c r="G14" i="4" s="1"/>
  <c r="S14" i="4" s="1"/>
  <c r="D14" i="24" s="1"/>
  <c r="E14" i="24" s="1"/>
  <c r="E14" i="6" s="1"/>
  <c r="E11" i="32" l="1"/>
  <c r="G11" i="32" s="1"/>
  <c r="C10" i="7"/>
  <c r="C10" i="6"/>
  <c r="I11" i="32" l="1"/>
  <c r="K11" i="32" s="1"/>
  <c r="E12" i="32"/>
  <c r="G12" i="32" s="1"/>
  <c r="I12" i="32" s="1"/>
  <c r="K12" i="32" s="1"/>
  <c r="D10" i="7"/>
  <c r="F10" i="7" s="1"/>
  <c r="H10" i="7" s="1"/>
  <c r="E13" i="32" l="1"/>
  <c r="G13" i="32" s="1"/>
  <c r="I13" i="32" s="1"/>
  <c r="D10" i="6"/>
  <c r="F10" i="6" s="1"/>
  <c r="H10" i="6" s="1"/>
  <c r="F34" i="13"/>
  <c r="F33" i="13"/>
  <c r="K13" i="32" l="1"/>
  <c r="E15" i="32"/>
  <c r="G15" i="32" s="1"/>
  <c r="I15" i="32" s="1"/>
  <c r="K15" i="32" s="1"/>
  <c r="E14" i="32"/>
  <c r="G14" i="32" s="1"/>
  <c r="I14" i="32" s="1"/>
  <c r="K14" i="32" s="1"/>
  <c r="F19" i="10"/>
  <c r="H17" i="10"/>
  <c r="I18" i="32" l="1"/>
  <c r="K19" i="32"/>
  <c r="K18" i="32"/>
  <c r="K17" i="32"/>
  <c r="I19" i="32"/>
  <c r="I17" i="32"/>
  <c r="H26" i="10"/>
  <c r="D26" i="10"/>
  <c r="F26" i="10"/>
  <c r="F69" i="3" l="1"/>
  <c r="F52" i="3"/>
  <c r="F68" i="3" l="1"/>
  <c r="H68" i="3" s="1"/>
  <c r="F51" i="3"/>
  <c r="H51" i="3" s="1"/>
  <c r="H65" i="3"/>
  <c r="F53" i="3"/>
  <c r="H53" i="3" s="1"/>
  <c r="F66" i="3"/>
  <c r="H66" i="3" s="1"/>
  <c r="H52" i="3"/>
  <c r="H49" i="3"/>
  <c r="F54" i="3"/>
  <c r="H54" i="3" s="1"/>
  <c r="F50" i="3"/>
  <c r="H50" i="3" s="1"/>
  <c r="F70" i="3"/>
  <c r="H70" i="3" s="1"/>
  <c r="F67" i="3"/>
  <c r="H67" i="3" s="1"/>
  <c r="H69" i="3"/>
  <c r="H71" i="3" l="1"/>
  <c r="H16" i="3"/>
  <c r="H55" i="3"/>
  <c r="H14" i="3" s="1"/>
  <c r="H20" i="3" l="1"/>
  <c r="C14" i="7"/>
  <c r="C14" i="6"/>
  <c r="C12" i="6"/>
  <c r="C12" i="7"/>
  <c r="D12" i="7" s="1"/>
  <c r="F12" i="7" s="1"/>
  <c r="H12" i="7" s="1"/>
  <c r="H19" i="3"/>
  <c r="C13" i="7"/>
  <c r="C13" i="6"/>
  <c r="C15" i="6"/>
  <c r="C15" i="7"/>
  <c r="D15" i="7" s="1"/>
  <c r="F15" i="7" s="1"/>
  <c r="H15" i="7" s="1"/>
  <c r="F10" i="13" l="1"/>
  <c r="F31" i="13"/>
  <c r="F26" i="13" l="1"/>
  <c r="F25" i="13"/>
  <c r="F20" i="13"/>
  <c r="F14" i="13"/>
  <c r="K13" i="16" l="1"/>
  <c r="D13" i="16" l="1"/>
  <c r="J13" i="16"/>
  <c r="F13" i="16"/>
  <c r="H13" i="16"/>
  <c r="G13" i="7" l="1"/>
  <c r="G14" i="7"/>
  <c r="G9" i="7"/>
  <c r="G13" i="6"/>
  <c r="G14" i="6"/>
  <c r="G9" i="6"/>
  <c r="F32" i="13"/>
  <c r="F30" i="13"/>
  <c r="F29" i="13"/>
  <c r="F28" i="13"/>
  <c r="F27" i="13"/>
  <c r="F24" i="13"/>
  <c r="F23" i="13"/>
  <c r="F22" i="13"/>
  <c r="F21" i="13"/>
  <c r="F19" i="13"/>
  <c r="F18" i="13"/>
  <c r="F17" i="13"/>
  <c r="F16" i="13"/>
  <c r="F15" i="13"/>
  <c r="F13" i="13"/>
  <c r="F12" i="13"/>
  <c r="F11" i="13"/>
  <c r="F9" i="13"/>
  <c r="F12" i="4" l="1"/>
  <c r="G12" i="4" s="1"/>
  <c r="S12" i="4" s="1"/>
  <c r="F13" i="4"/>
  <c r="G13" i="4" s="1"/>
  <c r="S13" i="4" s="1"/>
  <c r="D13" i="24" s="1"/>
  <c r="E13" i="24" s="1"/>
  <c r="E13" i="6" s="1"/>
  <c r="F15" i="4"/>
  <c r="G15" i="4" s="1"/>
  <c r="S15" i="4" s="1"/>
  <c r="D15" i="24" s="1"/>
  <c r="E15" i="24" s="1"/>
  <c r="E15" i="6" s="1"/>
  <c r="S18" i="4" l="1"/>
  <c r="S17" i="4"/>
  <c r="D12" i="24"/>
  <c r="E12" i="24" s="1"/>
  <c r="E12" i="6" s="1"/>
  <c r="D15" i="6"/>
  <c r="F15" i="6" s="1"/>
  <c r="H15" i="6" s="1"/>
  <c r="C9" i="6"/>
  <c r="D14" i="7"/>
  <c r="F14" i="7" s="1"/>
  <c r="H14" i="7" s="1"/>
  <c r="C9" i="7"/>
  <c r="D18" i="24" l="1"/>
  <c r="D12" i="6"/>
  <c r="F12" i="6" s="1"/>
  <c r="H12" i="6" s="1"/>
  <c r="D17" i="24"/>
  <c r="D13" i="6"/>
  <c r="F13" i="6" s="1"/>
  <c r="H13" i="6" s="1"/>
  <c r="D13" i="7"/>
  <c r="F13" i="7" s="1"/>
  <c r="H13" i="7" s="1"/>
  <c r="E9" i="5"/>
  <c r="D14" i="6"/>
  <c r="F14" i="6" s="1"/>
  <c r="H14" i="6" s="1"/>
  <c r="E9" i="7" l="1"/>
  <c r="C9" i="24"/>
  <c r="E9" i="24" s="1"/>
  <c r="E18" i="5"/>
  <c r="D9" i="7"/>
  <c r="F9" i="7" s="1"/>
  <c r="H9" i="7" s="1"/>
  <c r="F19" i="7" l="1"/>
  <c r="F17" i="7"/>
  <c r="F18" i="7"/>
  <c r="F20" i="7"/>
  <c r="F21" i="7"/>
  <c r="C17" i="24"/>
  <c r="C18" i="24"/>
  <c r="F9" i="16"/>
  <c r="F17" i="16" s="1"/>
  <c r="E9" i="6" l="1"/>
  <c r="E17" i="24"/>
  <c r="H9" i="16"/>
  <c r="H17" i="16" s="1"/>
  <c r="D9" i="16"/>
  <c r="D17" i="16" s="1"/>
  <c r="H21" i="7"/>
  <c r="H18" i="7"/>
  <c r="H17" i="7"/>
  <c r="H20" i="7"/>
  <c r="H19" i="7"/>
  <c r="D9" i="6"/>
  <c r="F9" i="6" s="1"/>
  <c r="E18" i="24"/>
  <c r="J9" i="16"/>
  <c r="J17" i="16" s="1"/>
  <c r="F20" i="6" l="1"/>
  <c r="F18" i="6"/>
  <c r="F19" i="6"/>
  <c r="H9" i="6"/>
  <c r="F21" i="6"/>
  <c r="F17" i="6"/>
  <c r="F17" i="2" l="1"/>
  <c r="H21" i="6"/>
  <c r="H18" i="6"/>
  <c r="H17" i="6"/>
  <c r="H20" i="6"/>
  <c r="H19" i="6"/>
</calcChain>
</file>

<file path=xl/sharedStrings.xml><?xml version="1.0" encoding="utf-8"?>
<sst xmlns="http://schemas.openxmlformats.org/spreadsheetml/2006/main" count="2222" uniqueCount="1401">
  <si>
    <t>High</t>
  </si>
  <si>
    <t>Median</t>
  </si>
  <si>
    <t>Low</t>
  </si>
  <si>
    <t>MDU Resources Group, Inc.</t>
  </si>
  <si>
    <t>Moody's</t>
  </si>
  <si>
    <t>A3</t>
  </si>
  <si>
    <t>A2</t>
  </si>
  <si>
    <t>Average</t>
  </si>
  <si>
    <t>Dividend</t>
  </si>
  <si>
    <t>Yield</t>
  </si>
  <si>
    <t>NWN</t>
  </si>
  <si>
    <t>EPS</t>
  </si>
  <si>
    <t>DPS</t>
  </si>
  <si>
    <t>ROE</t>
  </si>
  <si>
    <t>Investor
Required
Return</t>
  </si>
  <si>
    <t>Flotation
Cost Adjustment</t>
  </si>
  <si>
    <t>Cost of Capital</t>
  </si>
  <si>
    <t>Flotation Cost Adjustment</t>
  </si>
  <si>
    <t>%</t>
  </si>
  <si>
    <t>Baa1</t>
  </si>
  <si>
    <t>NJR</t>
  </si>
  <si>
    <t>Long-Term Debt</t>
  </si>
  <si>
    <t>Baa2</t>
  </si>
  <si>
    <t>SWX</t>
  </si>
  <si>
    <t>A-</t>
  </si>
  <si>
    <t>BBB</t>
  </si>
  <si>
    <t>BBB+</t>
  </si>
  <si>
    <t>A+</t>
  </si>
  <si>
    <t>A</t>
  </si>
  <si>
    <t>1/</t>
  </si>
  <si>
    <t>Short-Term 
Debt</t>
  </si>
  <si>
    <t>AGL Resources Inc.</t>
  </si>
  <si>
    <t>Selected Natural Gas Distribution Companies</t>
  </si>
  <si>
    <t>Standard &amp; Poor's</t>
  </si>
  <si>
    <t>AAA</t>
  </si>
  <si>
    <t>AA+</t>
  </si>
  <si>
    <t>AA</t>
  </si>
  <si>
    <t>Aaa</t>
  </si>
  <si>
    <t>Aa1</t>
  </si>
  <si>
    <t>Aa2</t>
  </si>
  <si>
    <t>A1</t>
  </si>
  <si>
    <t>Dividend Yields</t>
  </si>
  <si>
    <t>Retention Rate</t>
  </si>
  <si>
    <t>Weighted Average</t>
  </si>
  <si>
    <t>--</t>
  </si>
  <si>
    <t>Dividend Yield</t>
  </si>
  <si>
    <t>Expected Growth Rate (g)</t>
  </si>
  <si>
    <t>Investor Required Return</t>
  </si>
  <si>
    <t>Secondary Market:</t>
  </si>
  <si>
    <t>Primary Market:</t>
  </si>
  <si>
    <t>Dividend Yield x
(1 + 0.625g)</t>
  </si>
  <si>
    <t>Basic DCF Calculation</t>
  </si>
  <si>
    <t>Preferred Stock</t>
  </si>
  <si>
    <t>Common Equity</t>
  </si>
  <si>
    <t>Total Capital</t>
  </si>
  <si>
    <t>Issuer</t>
  </si>
  <si>
    <t>Date of Offering</t>
  </si>
  <si>
    <t>Number of Shares</t>
  </si>
  <si>
    <t>Issue Price</t>
  </si>
  <si>
    <t>Net Proceeds Per Share</t>
  </si>
  <si>
    <t>Financing Costs as a Percent of Net Proceeds</t>
  </si>
  <si>
    <t>Vectren Corporation</t>
  </si>
  <si>
    <t>Sempra Energy</t>
  </si>
  <si>
    <t>NiSource Inc.</t>
  </si>
  <si>
    <t>Gas Natural Inc.</t>
  </si>
  <si>
    <t>Selected Flotation Costs for Cost of Equity:</t>
  </si>
  <si>
    <t>General Economic Statistics</t>
  </si>
  <si>
    <t>Percentage Price Changes</t>
  </si>
  <si>
    <t>Consumer</t>
  </si>
  <si>
    <t>GDP</t>
  </si>
  <si>
    <t>Real</t>
  </si>
  <si>
    <t>Nominal</t>
  </si>
  <si>
    <t>Price</t>
  </si>
  <si>
    <t>Implicit Price</t>
  </si>
  <si>
    <t>Year</t>
  </si>
  <si>
    <t>Growth</t>
  </si>
  <si>
    <t>Bond Yield Averages</t>
  </si>
  <si>
    <t>[1]</t>
  </si>
  <si>
    <t>[2]</t>
  </si>
  <si>
    <t>[3]</t>
  </si>
  <si>
    <t>[4]</t>
  </si>
  <si>
    <t>[5]</t>
  </si>
  <si>
    <t>[6]</t>
  </si>
  <si>
    <t>Public Utility Bonds</t>
  </si>
  <si>
    <t>Credit Spreads</t>
  </si>
  <si>
    <t>Corporate</t>
  </si>
  <si>
    <t>A-Rated</t>
  </si>
  <si>
    <t>Baa-Rated</t>
  </si>
  <si>
    <t>JAN</t>
  </si>
  <si>
    <t>FEB</t>
  </si>
  <si>
    <t>MAR</t>
  </si>
  <si>
    <t>APR</t>
  </si>
  <si>
    <t>MAY</t>
  </si>
  <si>
    <t>JUN</t>
  </si>
  <si>
    <t>JUL</t>
  </si>
  <si>
    <t>AUG</t>
  </si>
  <si>
    <t>SEP</t>
  </si>
  <si>
    <t>OCT</t>
  </si>
  <si>
    <t>NOV</t>
  </si>
  <si>
    <t>DEC</t>
  </si>
  <si>
    <t>AVG</t>
  </si>
  <si>
    <t>Notes:</t>
  </si>
  <si>
    <t>Deflator</t>
  </si>
  <si>
    <t>Index</t>
  </si>
  <si>
    <t>2/</t>
  </si>
  <si>
    <t>MO</t>
  </si>
  <si>
    <t>Northwest Natural Gas Company</t>
  </si>
  <si>
    <t>Piedmont Natural Gas Company, Inc.</t>
  </si>
  <si>
    <t>CA</t>
  </si>
  <si>
    <t>SEMCO Energy, Inc.</t>
  </si>
  <si>
    <t>Southern Union Company</t>
  </si>
  <si>
    <t>Atmos Energy Corporation</t>
  </si>
  <si>
    <t>Unitil Corporation</t>
  </si>
  <si>
    <t>UGI Corporation</t>
  </si>
  <si>
    <t>The Laclede Group, Inc.</t>
  </si>
  <si>
    <t>Chesapeake Utilities Corporation</t>
  </si>
  <si>
    <t>Aquila, Inc.</t>
  </si>
  <si>
    <t>Cinergy Corporation</t>
  </si>
  <si>
    <t>Blended Growth Rate Estimates</t>
  </si>
  <si>
    <t>Blended Growth Rate DCF Calculation</t>
  </si>
  <si>
    <t>1/2</t>
  </si>
  <si>
    <t>Natural Gas Distribution Companies</t>
  </si>
  <si>
    <t>CenterPoint Energy, Inc.</t>
  </si>
  <si>
    <t>[5] Equals annual percent change of Column [4]</t>
  </si>
  <si>
    <t>[6] Nominal GDP growth rates based on geometric average rate of change</t>
  </si>
  <si>
    <t>[5] Equals Column [3] − Column [1]</t>
  </si>
  <si>
    <t>[6] Equals Column [4] − Column [1]</t>
  </si>
  <si>
    <t>Treasury</t>
  </si>
  <si>
    <t>Bond</t>
  </si>
  <si>
    <t>$ millions</t>
  </si>
  <si>
    <t>Common Equity Flotation Costs of</t>
  </si>
  <si>
    <t>Annualized</t>
  </si>
  <si>
    <t>Company</t>
  </si>
  <si>
    <t>Ticker</t>
  </si>
  <si>
    <t>Credit Ratings</t>
  </si>
  <si>
    <t>ATO</t>
  </si>
  <si>
    <t>South Jersey Industries, Inc.</t>
  </si>
  <si>
    <t>SJI</t>
  </si>
  <si>
    <t>MS</t>
  </si>
  <si>
    <t>[12] Equals Column [8] x Column [10]</t>
  </si>
  <si>
    <t>[11] Equals Column [8] x Column [9]</t>
  </si>
  <si>
    <t>[7] Equals Column [5] x Column [6]</t>
  </si>
  <si>
    <t>[4] Equals Column [2] + Column [3]</t>
  </si>
  <si>
    <t>[3] Equals sum of Column [12]</t>
  </si>
  <si>
    <t>[2] Equals Column [1] x (1 + 0.625 x Column [3])</t>
  </si>
  <si>
    <t>[1] Equals sum of Column [11]</t>
  </si>
  <si>
    <t>Market Capitalization-Weighted Dividend Yield</t>
  </si>
  <si>
    <t>Current Dividend
Yield</t>
  </si>
  <si>
    <t>Percent of Total Market Capitalization</t>
  </si>
  <si>
    <t>Market Capitalization ($million)</t>
  </si>
  <si>
    <t>Shares Outstanding (million)</t>
  </si>
  <si>
    <t>[12]</t>
  </si>
  <si>
    <t>[11]</t>
  </si>
  <si>
    <t>[10]</t>
  </si>
  <si>
    <t>[9]</t>
  </si>
  <si>
    <t>[8]</t>
  </si>
  <si>
    <t>[7]</t>
  </si>
  <si>
    <t>S&amp;P 500</t>
  </si>
  <si>
    <t>Secondary Market Investor Required Return</t>
  </si>
  <si>
    <t>Dividend
Yield x
(1 + 0.625g)</t>
  </si>
  <si>
    <t>Dividend
Yield</t>
  </si>
  <si>
    <t>[1] Bloomberg Finance L.P., 30-Year U.S. Treasury Bond</t>
  </si>
  <si>
    <t>[2] Bloomberg Finance L.P., Moody's Average Corporate Bond Index</t>
  </si>
  <si>
    <t>[3] Bloomberg Finance L.P., Moody's A-Rated Utility Bond Index</t>
  </si>
  <si>
    <t>[4] Bloomberg Finance L.P., Moody's Baa-Rated Utility Bond Index</t>
  </si>
  <si>
    <t>Source: Bloomberg Finance L.P.</t>
  </si>
  <si>
    <t>[5] Source: Bloomberg Finance L.P.</t>
  </si>
  <si>
    <t>[6] Source: Bloomberg Finance L.P.</t>
  </si>
  <si>
    <t>[9] Source: Bloomberg Finance L.P.</t>
  </si>
  <si>
    <t>[10] Source: Bloomberg Finance L.P.</t>
  </si>
  <si>
    <t>[8] Equals percent of sum of Column [7] if Current Dividend Yield does not equal "n/a" and BEst Long-Term Growth Estimate does not equal "n/a" and is greater than 0%</t>
  </si>
  <si>
    <t>($ billions)</t>
  </si>
  <si>
    <t>Total Assets
($ millions)</t>
  </si>
  <si>
    <t>Operating
Revenues
($ millions)</t>
  </si>
  <si>
    <t>Operating
Income
($ millions)</t>
  </si>
  <si>
    <t>New Jersey Resources Corporation</t>
  </si>
  <si>
    <t>Southwest Gas Corporation</t>
  </si>
  <si>
    <t>3M Co</t>
  </si>
  <si>
    <t>Abbott Laboratories</t>
  </si>
  <si>
    <t>AbbVie Inc</t>
  </si>
  <si>
    <t>Accenture PLC</t>
  </si>
  <si>
    <t>Adobe Systems Inc</t>
  </si>
  <si>
    <t>AES Corp/VA</t>
  </si>
  <si>
    <t>Aetna Inc</t>
  </si>
  <si>
    <t>Aflac Inc</t>
  </si>
  <si>
    <t>Agilent Technologies Inc</t>
  </si>
  <si>
    <t>Air Products &amp; Chemicals Inc</t>
  </si>
  <si>
    <t>Akamai Technologies Inc</t>
  </si>
  <si>
    <t>Alexion Pharmaceuticals Inc</t>
  </si>
  <si>
    <t>Allegion PLC</t>
  </si>
  <si>
    <t>Alliance Data Systems Corp</t>
  </si>
  <si>
    <t>Allstate Corp/The</t>
  </si>
  <si>
    <t>Altria Group Inc</t>
  </si>
  <si>
    <t>Amazon.com Inc</t>
  </si>
  <si>
    <t>Ameren Corp</t>
  </si>
  <si>
    <t>American Electric Power Co Inc</t>
  </si>
  <si>
    <t>American Express Co</t>
  </si>
  <si>
    <t>American International Group Inc</t>
  </si>
  <si>
    <t>American Tower Corp</t>
  </si>
  <si>
    <t>Ameriprise Financial Inc</t>
  </si>
  <si>
    <t>AmerisourceBergen Corp</t>
  </si>
  <si>
    <t>AMETEK Inc</t>
  </si>
  <si>
    <t>Amgen Inc</t>
  </si>
  <si>
    <t>Amphenol Corp</t>
  </si>
  <si>
    <t>Anadarko Petroleum Corp</t>
  </si>
  <si>
    <t>Analog Devices Inc</t>
  </si>
  <si>
    <t>Aon PLC</t>
  </si>
  <si>
    <t>Apache Corp</t>
  </si>
  <si>
    <t>Apartment Investment &amp; Management Co</t>
  </si>
  <si>
    <t>Apple Inc</t>
  </si>
  <si>
    <t>Applied Materials Inc</t>
  </si>
  <si>
    <t>Archer-Daniels-Midland Co</t>
  </si>
  <si>
    <t>Assurant Inc</t>
  </si>
  <si>
    <t>AT&amp;T Inc</t>
  </si>
  <si>
    <t>Autodesk Inc</t>
  </si>
  <si>
    <t>Automatic Data Processing Inc</t>
  </si>
  <si>
    <t>AutoNation Inc</t>
  </si>
  <si>
    <t>AutoZone Inc</t>
  </si>
  <si>
    <t>AvalonBay Communities Inc</t>
  </si>
  <si>
    <t>Avery Dennison Corp</t>
  </si>
  <si>
    <t>Baker Hughes Inc</t>
  </si>
  <si>
    <t>Ball Corp</t>
  </si>
  <si>
    <t>Bank of America Corp</t>
  </si>
  <si>
    <t>Bank of New York Mellon Corp/The</t>
  </si>
  <si>
    <t>Baxter International Inc</t>
  </si>
  <si>
    <t>BB&amp;T Corp</t>
  </si>
  <si>
    <t>Becton Dickinson and Co</t>
  </si>
  <si>
    <t>Bed Bath &amp; Beyond Inc</t>
  </si>
  <si>
    <t>Berkshire Hathaway Inc</t>
  </si>
  <si>
    <t>Best Buy Co Inc</t>
  </si>
  <si>
    <t>BlackRock Inc</t>
  </si>
  <si>
    <t>Boeing Co/The</t>
  </si>
  <si>
    <t>BorgWarner Inc</t>
  </si>
  <si>
    <t>Boston Properties Inc</t>
  </si>
  <si>
    <t>Boston Scientific Corp</t>
  </si>
  <si>
    <t>Bristol-Myers Squibb Co</t>
  </si>
  <si>
    <t>Brown-Forman Corp</t>
  </si>
  <si>
    <t>CA Inc</t>
  </si>
  <si>
    <t>Cabot Oil &amp; Gas Corp</t>
  </si>
  <si>
    <t>Campbell Soup Co</t>
  </si>
  <si>
    <t>Capital One Financial Corp</t>
  </si>
  <si>
    <t>Cardinal Health Inc</t>
  </si>
  <si>
    <t>CarMax Inc</t>
  </si>
  <si>
    <t>Carnival Corp</t>
  </si>
  <si>
    <t>Caterpillar Inc</t>
  </si>
  <si>
    <t>CBRE Group Inc</t>
  </si>
  <si>
    <t>CBS Corp</t>
  </si>
  <si>
    <t>Celgene Corp</t>
  </si>
  <si>
    <t>CenterPoint Energy Inc</t>
  </si>
  <si>
    <t>CenturyLink Inc</t>
  </si>
  <si>
    <t>Cerner Corp</t>
  </si>
  <si>
    <t>CF Industries Holdings Inc</t>
  </si>
  <si>
    <t>CH Robinson Worldwide Inc</t>
  </si>
  <si>
    <t>Charles Schwab Corp/The</t>
  </si>
  <si>
    <t>Chesapeake Energy Corp</t>
  </si>
  <si>
    <t>Chevron Corp</t>
  </si>
  <si>
    <t>Chipotle Mexican Grill Inc</t>
  </si>
  <si>
    <t>Cigna Corp</t>
  </si>
  <si>
    <t>Cincinnati Financial Corp</t>
  </si>
  <si>
    <t>Cintas Corp</t>
  </si>
  <si>
    <t>Cisco Systems Inc</t>
  </si>
  <si>
    <t>Citigroup Inc</t>
  </si>
  <si>
    <t>Citrix Systems Inc</t>
  </si>
  <si>
    <t>Clorox Co/The</t>
  </si>
  <si>
    <t>CMS Energy Corp</t>
  </si>
  <si>
    <t>Coach Inc</t>
  </si>
  <si>
    <t>Coca-Cola Co/The</t>
  </si>
  <si>
    <t>Cognizant Technology Solutions Corp</t>
  </si>
  <si>
    <t>Colgate-Palmolive Co</t>
  </si>
  <si>
    <t>Comcast Corp</t>
  </si>
  <si>
    <t>Comerica Inc</t>
  </si>
  <si>
    <t>ConocoPhillips</t>
  </si>
  <si>
    <t>Consolidated Edison Inc</t>
  </si>
  <si>
    <t>Constellation Brands Inc</t>
  </si>
  <si>
    <t>Corning Inc</t>
  </si>
  <si>
    <t>Costco Wholesale Corp</t>
  </si>
  <si>
    <t>CR Bard Inc</t>
  </si>
  <si>
    <t>Crown Castle International Corp</t>
  </si>
  <si>
    <t>CSX Corp</t>
  </si>
  <si>
    <t>Cummins Inc</t>
  </si>
  <si>
    <t>Danaher Corp</t>
  </si>
  <si>
    <t>Darden Restaurants Inc</t>
  </si>
  <si>
    <t>Deere &amp; Co</t>
  </si>
  <si>
    <t>Delphi Automotive PLC</t>
  </si>
  <si>
    <t>Delta Air Lines Inc</t>
  </si>
  <si>
    <t>Devon Energy Corp</t>
  </si>
  <si>
    <t>Discover Financial Services</t>
  </si>
  <si>
    <t>Discovery Communications Inc</t>
  </si>
  <si>
    <t>Dollar General Corp</t>
  </si>
  <si>
    <t>Dollar Tree Inc</t>
  </si>
  <si>
    <t>Dominion Resources Inc/VA</t>
  </si>
  <si>
    <t>Dover Corp</t>
  </si>
  <si>
    <t>Dow Chemical Co/The</t>
  </si>
  <si>
    <t>DR Horton Inc</t>
  </si>
  <si>
    <t>Dr Pepper Snapple Group Inc</t>
  </si>
  <si>
    <t>DTE Energy Co</t>
  </si>
  <si>
    <t>Duke Energy Corp</t>
  </si>
  <si>
    <t>E*TRADE Financial Corp</t>
  </si>
  <si>
    <t>Eastman Chemical Co</t>
  </si>
  <si>
    <t>Eaton Corp PLC</t>
  </si>
  <si>
    <t>eBay Inc</t>
  </si>
  <si>
    <t>Ecolab Inc</t>
  </si>
  <si>
    <t>Edison International</t>
  </si>
  <si>
    <t>Edwards Lifesciences Corp</t>
  </si>
  <si>
    <t>EI du Pont de Nemours &amp; Co</t>
  </si>
  <si>
    <t>Electronic Arts Inc</t>
  </si>
  <si>
    <t>Eli Lilly &amp; Co</t>
  </si>
  <si>
    <t>Emerson Electric Co</t>
  </si>
  <si>
    <t>Entergy Corp</t>
  </si>
  <si>
    <t>EOG Resources Inc</t>
  </si>
  <si>
    <t>EQT Corp</t>
  </si>
  <si>
    <t>Equifax Inc</t>
  </si>
  <si>
    <t>Equity Residential</t>
  </si>
  <si>
    <t>Essex Property Trust Inc</t>
  </si>
  <si>
    <t>Estee Lauder Cos Inc/The</t>
  </si>
  <si>
    <t>Exelon Corp</t>
  </si>
  <si>
    <t>Expedia Inc</t>
  </si>
  <si>
    <t>Expeditors International of Washington Inc</t>
  </si>
  <si>
    <t>Express Scripts Holding Co</t>
  </si>
  <si>
    <t>Exxon Mobil Corp</t>
  </si>
  <si>
    <t>F5 Networks Inc</t>
  </si>
  <si>
    <t>Facebook Inc</t>
  </si>
  <si>
    <t>Fastenal Co</t>
  </si>
  <si>
    <t>FedEx Corp</t>
  </si>
  <si>
    <t>Fidelity National Information Services Inc</t>
  </si>
  <si>
    <t>Fifth Third Bancorp</t>
  </si>
  <si>
    <t>FirstEnergy Corp</t>
  </si>
  <si>
    <t>Fiserv Inc</t>
  </si>
  <si>
    <t>FLIR Systems Inc</t>
  </si>
  <si>
    <t>Flowserve Corp</t>
  </si>
  <si>
    <t>Fluor Corp</t>
  </si>
  <si>
    <t>FMC Corp</t>
  </si>
  <si>
    <t>Ford Motor Co</t>
  </si>
  <si>
    <t>Franklin Resources Inc</t>
  </si>
  <si>
    <t>Gap Inc/The</t>
  </si>
  <si>
    <t>Garmin Ltd</t>
  </si>
  <si>
    <t>General Dynamics Corp</t>
  </si>
  <si>
    <t>General Electric Co</t>
  </si>
  <si>
    <t>General Mills Inc</t>
  </si>
  <si>
    <t>General Motors Co</t>
  </si>
  <si>
    <t>Genuine Parts Co</t>
  </si>
  <si>
    <t>Gilead Sciences Inc</t>
  </si>
  <si>
    <t>Goldman Sachs Group Inc/The</t>
  </si>
  <si>
    <t>Goodyear Tire &amp; Rubber Co/The</t>
  </si>
  <si>
    <t>H&amp;R Block Inc</t>
  </si>
  <si>
    <t>Halliburton Co</t>
  </si>
  <si>
    <t>Harley-Davidson Inc</t>
  </si>
  <si>
    <t>Harris Corp</t>
  </si>
  <si>
    <t>Hartford Financial Services Group Inc/The</t>
  </si>
  <si>
    <t>Hasbro Inc</t>
  </si>
  <si>
    <t>HCP Inc</t>
  </si>
  <si>
    <t>Helmerich &amp; Payne Inc</t>
  </si>
  <si>
    <t>Hershey Co/The</t>
  </si>
  <si>
    <t>Hess Corp</t>
  </si>
  <si>
    <t>Home Depot Inc/The</t>
  </si>
  <si>
    <t>Honeywell International Inc</t>
  </si>
  <si>
    <t>Hormel Foods Corp</t>
  </si>
  <si>
    <t>Host Hotels &amp; Resorts Inc</t>
  </si>
  <si>
    <t>Humana Inc</t>
  </si>
  <si>
    <t>Huntington Bancshares Inc/OH</t>
  </si>
  <si>
    <t>Illinois Tool Works Inc</t>
  </si>
  <si>
    <t>Ingersoll-Rand PLC</t>
  </si>
  <si>
    <t>Intel Corp</t>
  </si>
  <si>
    <t>Intercontinental Exchange Inc</t>
  </si>
  <si>
    <t>International Business Machines Corp</t>
  </si>
  <si>
    <t>International Flavors &amp; Fragrances Inc</t>
  </si>
  <si>
    <t>International Paper Co</t>
  </si>
  <si>
    <t>Interpublic Group of Cos Inc/The</t>
  </si>
  <si>
    <t>Intuit Inc</t>
  </si>
  <si>
    <t>Intuitive Surgical Inc</t>
  </si>
  <si>
    <t>Invesco Ltd</t>
  </si>
  <si>
    <t>Iron Mountain Inc</t>
  </si>
  <si>
    <t>Jacobs Engineering Group Inc</t>
  </si>
  <si>
    <t>JM Smucker Co/The</t>
  </si>
  <si>
    <t>Johnson &amp; Johnson</t>
  </si>
  <si>
    <t>JPMorgan Chase &amp; Co</t>
  </si>
  <si>
    <t>Juniper Networks Inc</t>
  </si>
  <si>
    <t>Kansas City Southern</t>
  </si>
  <si>
    <t>Kellogg Co</t>
  </si>
  <si>
    <t>KeyCorp</t>
  </si>
  <si>
    <t>Kimberly-Clark Corp</t>
  </si>
  <si>
    <t>Kimco Realty Corp</t>
  </si>
  <si>
    <t>Kinder Morgan Inc/DE</t>
  </si>
  <si>
    <t>KLA-Tencor Corp</t>
  </si>
  <si>
    <t>Kohl's Corp</t>
  </si>
  <si>
    <t>Kroger Co/The</t>
  </si>
  <si>
    <t>L Brands Inc</t>
  </si>
  <si>
    <t>Laboratory Corp of America Holdings</t>
  </si>
  <si>
    <t>Lam Research Corp</t>
  </si>
  <si>
    <t>Leggett &amp; Platt Inc</t>
  </si>
  <si>
    <t>Lennar Corp</t>
  </si>
  <si>
    <t>Leucadia National Corp</t>
  </si>
  <si>
    <t>Lincoln National Corp</t>
  </si>
  <si>
    <t>Lockheed Martin Corp</t>
  </si>
  <si>
    <t>Loews Corp</t>
  </si>
  <si>
    <t>Lowe's Cos Inc</t>
  </si>
  <si>
    <t>LyondellBasell Industries NV</t>
  </si>
  <si>
    <t>M&amp;T Bank Corp</t>
  </si>
  <si>
    <t>Macerich Co/The</t>
  </si>
  <si>
    <t>Macy's Inc</t>
  </si>
  <si>
    <t>Marathon Oil Corp</t>
  </si>
  <si>
    <t>Marathon Petroleum Corp</t>
  </si>
  <si>
    <t>Marsh &amp; McLennan Cos Inc</t>
  </si>
  <si>
    <t>Masco Corp</t>
  </si>
  <si>
    <t>Mattel Inc</t>
  </si>
  <si>
    <t>McCormick &amp; Co Inc/MD</t>
  </si>
  <si>
    <t>McDonald's Corp</t>
  </si>
  <si>
    <t>McKesson Corp</t>
  </si>
  <si>
    <t>Mead Johnson Nutrition Co</t>
  </si>
  <si>
    <t>Merck &amp; Co Inc</t>
  </si>
  <si>
    <t>MetLife Inc</t>
  </si>
  <si>
    <t>Michael Kors Holdings Ltd</t>
  </si>
  <si>
    <t>Microchip Technology Inc</t>
  </si>
  <si>
    <t>Micron Technology Inc</t>
  </si>
  <si>
    <t>Microsoft Corp</t>
  </si>
  <si>
    <t>Mohawk Industries Inc</t>
  </si>
  <si>
    <t>Molson Coors Brewing Co</t>
  </si>
  <si>
    <t>Mondelez International Inc</t>
  </si>
  <si>
    <t>Monsanto Co</t>
  </si>
  <si>
    <t>Monster Beverage Corp</t>
  </si>
  <si>
    <t>Moody's Corp</t>
  </si>
  <si>
    <t>Morgan Stanley</t>
  </si>
  <si>
    <t>Mosaic Co/The</t>
  </si>
  <si>
    <t>Motorola Solutions Inc</t>
  </si>
  <si>
    <t>Murphy Oil Corp</t>
  </si>
  <si>
    <t>National Oilwell Varco Inc</t>
  </si>
  <si>
    <t>Navient Corp</t>
  </si>
  <si>
    <t>NetApp Inc</t>
  </si>
  <si>
    <t>Netflix Inc</t>
  </si>
  <si>
    <t>Newfield Exploration Co</t>
  </si>
  <si>
    <t>Newmont Mining Corp</t>
  </si>
  <si>
    <t>News Corp</t>
  </si>
  <si>
    <t>NextEra Energy Inc</t>
  </si>
  <si>
    <t>NIKE Inc</t>
  </si>
  <si>
    <t>NiSource Inc</t>
  </si>
  <si>
    <t>Noble Energy Inc</t>
  </si>
  <si>
    <t>Nordstrom Inc</t>
  </si>
  <si>
    <t>Norfolk Southern Corp</t>
  </si>
  <si>
    <t>Northern Trust Corp</t>
  </si>
  <si>
    <t>Northrop Grumman Corp</t>
  </si>
  <si>
    <t>NRG Energy Inc</t>
  </si>
  <si>
    <t>Nucor Corp</t>
  </si>
  <si>
    <t>NVIDIA Corp</t>
  </si>
  <si>
    <t>O'Reilly Automotive Inc</t>
  </si>
  <si>
    <t>Occidental Petroleum Corp</t>
  </si>
  <si>
    <t>Omnicom Group Inc</t>
  </si>
  <si>
    <t>ONEOK Inc</t>
  </si>
  <si>
    <t>Oracle Corp</t>
  </si>
  <si>
    <t>PACCAR Inc</t>
  </si>
  <si>
    <t>Patterson Cos Inc</t>
  </si>
  <si>
    <t>Paychex Inc</t>
  </si>
  <si>
    <t>Pentair PLC</t>
  </si>
  <si>
    <t>People's United Financial Inc</t>
  </si>
  <si>
    <t>PepsiCo Inc</t>
  </si>
  <si>
    <t>PerkinElmer Inc</t>
  </si>
  <si>
    <t>Perrigo Co PLC</t>
  </si>
  <si>
    <t>Pfizer Inc</t>
  </si>
  <si>
    <t>PG&amp;E Corp</t>
  </si>
  <si>
    <t>Philip Morris International Inc</t>
  </si>
  <si>
    <t>Phillips 66</t>
  </si>
  <si>
    <t>Pinnacle West Capital Corp</t>
  </si>
  <si>
    <t>Pioneer Natural Resources Co</t>
  </si>
  <si>
    <t>PNC Financial Services Group Inc/The</t>
  </si>
  <si>
    <t>PPG Industries Inc</t>
  </si>
  <si>
    <t>PPL Corp</t>
  </si>
  <si>
    <t>Praxair Inc</t>
  </si>
  <si>
    <t>Priceline Group Inc/The</t>
  </si>
  <si>
    <t>Principal Financial Group Inc</t>
  </si>
  <si>
    <t>Procter &amp; Gamble Co/The</t>
  </si>
  <si>
    <t>Progressive Corp/The</t>
  </si>
  <si>
    <t>Prologis Inc</t>
  </si>
  <si>
    <t>Prudential Financial Inc</t>
  </si>
  <si>
    <t>Public Service Enterprise Group Inc</t>
  </si>
  <si>
    <t>Public Storage</t>
  </si>
  <si>
    <t>PulteGroup Inc</t>
  </si>
  <si>
    <t>PVH Corp</t>
  </si>
  <si>
    <t>QUALCOMM Inc</t>
  </si>
  <si>
    <t>Quanta Services Inc</t>
  </si>
  <si>
    <t>Quest Diagnostics Inc</t>
  </si>
  <si>
    <t>Ralph Lauren Corp</t>
  </si>
  <si>
    <t>Range Resources Corp</t>
  </si>
  <si>
    <t>Raytheon Co</t>
  </si>
  <si>
    <t>Red Hat Inc</t>
  </si>
  <si>
    <t>Regeneron Pharmaceuticals Inc</t>
  </si>
  <si>
    <t>Regions Financial Corp</t>
  </si>
  <si>
    <t>Republic Services Inc</t>
  </si>
  <si>
    <t>Reynolds American Inc</t>
  </si>
  <si>
    <t>Robert Half International Inc</t>
  </si>
  <si>
    <t>Rockwell Automation Inc</t>
  </si>
  <si>
    <t>Rockwell Collins Inc</t>
  </si>
  <si>
    <t>Ross Stores Inc</t>
  </si>
  <si>
    <t>Ryder System Inc</t>
  </si>
  <si>
    <t>SCANA Corp</t>
  </si>
  <si>
    <t>Schlumberger Ltd</t>
  </si>
  <si>
    <t>Scripps Networks Interactive Inc</t>
  </si>
  <si>
    <t>Seagate Technology PLC</t>
  </si>
  <si>
    <t>Sealed Air Corp</t>
  </si>
  <si>
    <t>Sherwin-Williams Co/The</t>
  </si>
  <si>
    <t>Simon Property Group Inc</t>
  </si>
  <si>
    <t>Snap-on Inc</t>
  </si>
  <si>
    <t>Southern Co/The</t>
  </si>
  <si>
    <t>Southwest Airlines Co</t>
  </si>
  <si>
    <t>Stanley Black &amp; Decker Inc</t>
  </si>
  <si>
    <t>Staples Inc</t>
  </si>
  <si>
    <t>Starbucks Corp</t>
  </si>
  <si>
    <t>State Street Corp</t>
  </si>
  <si>
    <t>Stericycle Inc</t>
  </si>
  <si>
    <t>Stryker Corp</t>
  </si>
  <si>
    <t>SunTrust Banks Inc</t>
  </si>
  <si>
    <t>Symantec Corp</t>
  </si>
  <si>
    <t>Sysco Corp</t>
  </si>
  <si>
    <t>T Rowe Price Group Inc</t>
  </si>
  <si>
    <t>Target Corp</t>
  </si>
  <si>
    <t>TE Connectivity Ltd</t>
  </si>
  <si>
    <t>Teradata Corp</t>
  </si>
  <si>
    <t>Tesoro Corp</t>
  </si>
  <si>
    <t>Texas Instruments Inc</t>
  </si>
  <si>
    <t>Textron Inc</t>
  </si>
  <si>
    <t>Thermo Fisher Scientific Inc</t>
  </si>
  <si>
    <t>Tiffany &amp; Co</t>
  </si>
  <si>
    <t>Time Warner Inc</t>
  </si>
  <si>
    <t>TJX Cos Inc/The</t>
  </si>
  <si>
    <t>Torchmark Corp</t>
  </si>
  <si>
    <t>Total System Services Inc</t>
  </si>
  <si>
    <t>Tractor Supply Co</t>
  </si>
  <si>
    <t>Transocean Ltd</t>
  </si>
  <si>
    <t>Travelers Cos Inc/The</t>
  </si>
  <si>
    <t>TripAdvisor Inc</t>
  </si>
  <si>
    <t>Twenty-First Century Fox Inc</t>
  </si>
  <si>
    <t>Tyson Foods Inc</t>
  </si>
  <si>
    <t>Under Armour Inc</t>
  </si>
  <si>
    <t>Union Pacific Corp</t>
  </si>
  <si>
    <t>United Parcel Service Inc</t>
  </si>
  <si>
    <t>United Technologies Corp</t>
  </si>
  <si>
    <t>UnitedHealth Group Inc</t>
  </si>
  <si>
    <t>Unum Group</t>
  </si>
  <si>
    <t>Valero Energy Corp</t>
  </si>
  <si>
    <t>Varian Medical Systems Inc</t>
  </si>
  <si>
    <t>Ventas Inc</t>
  </si>
  <si>
    <t>VeriSign Inc</t>
  </si>
  <si>
    <t>Verizon Communications Inc</t>
  </si>
  <si>
    <t>Vertex Pharmaceuticals Inc</t>
  </si>
  <si>
    <t>VF Corp</t>
  </si>
  <si>
    <t>Viacom Inc</t>
  </si>
  <si>
    <t>Visa Inc</t>
  </si>
  <si>
    <t>Vornado Realty Trust</t>
  </si>
  <si>
    <t>Vulcan Materials Co</t>
  </si>
  <si>
    <t>Wal-Mart Stores Inc</t>
  </si>
  <si>
    <t>Walt Disney Co/The</t>
  </si>
  <si>
    <t>Waste Management Inc</t>
  </si>
  <si>
    <t>Waters Corp</t>
  </si>
  <si>
    <t>Wells Fargo &amp; Co</t>
  </si>
  <si>
    <t>Western Digital Corp</t>
  </si>
  <si>
    <t>Western Union Co/The</t>
  </si>
  <si>
    <t>Weyerhaeuser Co</t>
  </si>
  <si>
    <t>Whirlpool Corp</t>
  </si>
  <si>
    <t>Whole Foods Market Inc</t>
  </si>
  <si>
    <t>Williams Cos Inc/The</t>
  </si>
  <si>
    <t>WW Grainger Inc</t>
  </si>
  <si>
    <t>Wyndham Worldwide Corp</t>
  </si>
  <si>
    <t>Wynn Resorts Ltd</t>
  </si>
  <si>
    <t>Xcel Energy Inc</t>
  </si>
  <si>
    <t>Xerox Corp</t>
  </si>
  <si>
    <t>Xilinx Inc</t>
  </si>
  <si>
    <t>Xylem Inc/NY</t>
  </si>
  <si>
    <t>Yahoo! Inc</t>
  </si>
  <si>
    <t>Yum! Brands Inc</t>
  </si>
  <si>
    <t>Zions Bancorporation</t>
  </si>
  <si>
    <t>Zoetis Inc</t>
  </si>
  <si>
    <t>MMM</t>
  </si>
  <si>
    <t>ABT</t>
  </si>
  <si>
    <t>ABBV</t>
  </si>
  <si>
    <t>ACN</t>
  </si>
  <si>
    <t>AES</t>
  </si>
  <si>
    <t>AET</t>
  </si>
  <si>
    <t>AFL</t>
  </si>
  <si>
    <t>APD</t>
  </si>
  <si>
    <t>ALLE</t>
  </si>
  <si>
    <t>ADS</t>
  </si>
  <si>
    <t>ALL</t>
  </si>
  <si>
    <t>AEE</t>
  </si>
  <si>
    <t>AEP</t>
  </si>
  <si>
    <t>AXP</t>
  </si>
  <si>
    <t>AIG</t>
  </si>
  <si>
    <t>AMT</t>
  </si>
  <si>
    <t>AMP</t>
  </si>
  <si>
    <t>ABC</t>
  </si>
  <si>
    <t>AME</t>
  </si>
  <si>
    <t>APH</t>
  </si>
  <si>
    <t>APC</t>
  </si>
  <si>
    <t>AON</t>
  </si>
  <si>
    <t>APA</t>
  </si>
  <si>
    <t>AIV</t>
  </si>
  <si>
    <t>ADM</t>
  </si>
  <si>
    <t>AIZ</t>
  </si>
  <si>
    <t>T</t>
  </si>
  <si>
    <t>AN</t>
  </si>
  <si>
    <t>AZO</t>
  </si>
  <si>
    <t>AVB</t>
  </si>
  <si>
    <t>AVY</t>
  </si>
  <si>
    <t>BHI</t>
  </si>
  <si>
    <t>BLL</t>
  </si>
  <si>
    <t>BAC</t>
  </si>
  <si>
    <t>BK</t>
  </si>
  <si>
    <t>BAX</t>
  </si>
  <si>
    <t>BBT</t>
  </si>
  <si>
    <t>BDX</t>
  </si>
  <si>
    <t>BRK/B</t>
  </si>
  <si>
    <t>BBY</t>
  </si>
  <si>
    <t>BLK</t>
  </si>
  <si>
    <t>BA</t>
  </si>
  <si>
    <t>BWA</t>
  </si>
  <si>
    <t>BXP</t>
  </si>
  <si>
    <t>BSX</t>
  </si>
  <si>
    <t>BMY</t>
  </si>
  <si>
    <t>BF/B</t>
  </si>
  <si>
    <t>COG</t>
  </si>
  <si>
    <t>CPB</t>
  </si>
  <si>
    <t>COF</t>
  </si>
  <si>
    <t>CAH</t>
  </si>
  <si>
    <t>KMX</t>
  </si>
  <si>
    <t>CCL</t>
  </si>
  <si>
    <t>CAT</t>
  </si>
  <si>
    <t>CBG</t>
  </si>
  <si>
    <t>CBS</t>
  </si>
  <si>
    <t>CNP</t>
  </si>
  <si>
    <t>CTL</t>
  </si>
  <si>
    <t>CF</t>
  </si>
  <si>
    <t>SCHW</t>
  </si>
  <si>
    <t>CHK</t>
  </si>
  <si>
    <t>CVX</t>
  </si>
  <si>
    <t>CMG</t>
  </si>
  <si>
    <t>CB</t>
  </si>
  <si>
    <t>CI</t>
  </si>
  <si>
    <t>C</t>
  </si>
  <si>
    <t>CLX</t>
  </si>
  <si>
    <t>CMS</t>
  </si>
  <si>
    <t>COH</t>
  </si>
  <si>
    <t>KO</t>
  </si>
  <si>
    <t>CL</t>
  </si>
  <si>
    <t>CMA</t>
  </si>
  <si>
    <t>CAG</t>
  </si>
  <si>
    <t>COP</t>
  </si>
  <si>
    <t>ED</t>
  </si>
  <si>
    <t>STZ</t>
  </si>
  <si>
    <t>GLW</t>
  </si>
  <si>
    <t>BCR</t>
  </si>
  <si>
    <t>CCI</t>
  </si>
  <si>
    <t>CSX</t>
  </si>
  <si>
    <t>CMI</t>
  </si>
  <si>
    <t>CVS</t>
  </si>
  <si>
    <t>DHR</t>
  </si>
  <si>
    <t>DRI</t>
  </si>
  <si>
    <t>DVA</t>
  </si>
  <si>
    <t>DE</t>
  </si>
  <si>
    <t>DLPH</t>
  </si>
  <si>
    <t>DAL</t>
  </si>
  <si>
    <t>DVN</t>
  </si>
  <si>
    <t>DFS</t>
  </si>
  <si>
    <t>DG</t>
  </si>
  <si>
    <t>D</t>
  </si>
  <si>
    <t>DOV</t>
  </si>
  <si>
    <t>DOW</t>
  </si>
  <si>
    <t>DHI</t>
  </si>
  <si>
    <t>DTE</t>
  </si>
  <si>
    <t>DUK</t>
  </si>
  <si>
    <t>EMN</t>
  </si>
  <si>
    <t>ETN</t>
  </si>
  <si>
    <t>ECL</t>
  </si>
  <si>
    <t>EIX</t>
  </si>
  <si>
    <t>EW</t>
  </si>
  <si>
    <t>DD</t>
  </si>
  <si>
    <t>LLY</t>
  </si>
  <si>
    <t>EMR</t>
  </si>
  <si>
    <t>ETR</t>
  </si>
  <si>
    <t>EOG</t>
  </si>
  <si>
    <t>EQT</t>
  </si>
  <si>
    <t>EFX</t>
  </si>
  <si>
    <t>EQR</t>
  </si>
  <si>
    <t>ESS</t>
  </si>
  <si>
    <t>EL</t>
  </si>
  <si>
    <t>EXC</t>
  </si>
  <si>
    <t>XOM</t>
  </si>
  <si>
    <t>FDX</t>
  </si>
  <si>
    <t>FIS</t>
  </si>
  <si>
    <t>FE</t>
  </si>
  <si>
    <t>FLS</t>
  </si>
  <si>
    <t>FLR</t>
  </si>
  <si>
    <t>FMC</t>
  </si>
  <si>
    <t>FTI</t>
  </si>
  <si>
    <t>F</t>
  </si>
  <si>
    <t>BEN</t>
  </si>
  <si>
    <t>FCX</t>
  </si>
  <si>
    <t>GPS</t>
  </si>
  <si>
    <t>GD</t>
  </si>
  <si>
    <t>GE</t>
  </si>
  <si>
    <t>GGP</t>
  </si>
  <si>
    <t>GIS</t>
  </si>
  <si>
    <t>GM</t>
  </si>
  <si>
    <t>GPC</t>
  </si>
  <si>
    <t>GS</t>
  </si>
  <si>
    <t>HRB</t>
  </si>
  <si>
    <t>HAL</t>
  </si>
  <si>
    <t>HOG</t>
  </si>
  <si>
    <t>HRS</t>
  </si>
  <si>
    <t>HIG</t>
  </si>
  <si>
    <t>HCP</t>
  </si>
  <si>
    <t>HCN</t>
  </si>
  <si>
    <t>HP</t>
  </si>
  <si>
    <t>HSY</t>
  </si>
  <si>
    <t>HES</t>
  </si>
  <si>
    <t>HPQ</t>
  </si>
  <si>
    <t>HD</t>
  </si>
  <si>
    <t>HON</t>
  </si>
  <si>
    <t>HRL</t>
  </si>
  <si>
    <t>HST</t>
  </si>
  <si>
    <t>HUM</t>
  </si>
  <si>
    <t>ITW</t>
  </si>
  <si>
    <t>IR</t>
  </si>
  <si>
    <t>ICE</t>
  </si>
  <si>
    <t>IBM</t>
  </si>
  <si>
    <t>IFF</t>
  </si>
  <si>
    <t>IP</t>
  </si>
  <si>
    <t>IPG</t>
  </si>
  <si>
    <t>IVZ</t>
  </si>
  <si>
    <t>IRM</t>
  </si>
  <si>
    <t>JEC</t>
  </si>
  <si>
    <t>SJM</t>
  </si>
  <si>
    <t>JNJ</t>
  </si>
  <si>
    <t>JCI</t>
  </si>
  <si>
    <t>JPM</t>
  </si>
  <si>
    <t>JNPR</t>
  </si>
  <si>
    <t>KSU</t>
  </si>
  <si>
    <t>K</t>
  </si>
  <si>
    <t>KEY</t>
  </si>
  <si>
    <t>KMB</t>
  </si>
  <si>
    <t>KIM</t>
  </si>
  <si>
    <t>KMI</t>
  </si>
  <si>
    <t>KSS</t>
  </si>
  <si>
    <t>KR</t>
  </si>
  <si>
    <t>LB</t>
  </si>
  <si>
    <t>LLL</t>
  </si>
  <si>
    <t>LH</t>
  </si>
  <si>
    <t>LEG</t>
  </si>
  <si>
    <t>LEN</t>
  </si>
  <si>
    <t>LUK</t>
  </si>
  <si>
    <t>LNC</t>
  </si>
  <si>
    <t>LMT</t>
  </si>
  <si>
    <t>L</t>
  </si>
  <si>
    <t>LOW</t>
  </si>
  <si>
    <t>LYB</t>
  </si>
  <si>
    <t>MTB</t>
  </si>
  <si>
    <t>MAC</t>
  </si>
  <si>
    <t>M</t>
  </si>
  <si>
    <t>MRO</t>
  </si>
  <si>
    <t>MPC</t>
  </si>
  <si>
    <t>MMC</t>
  </si>
  <si>
    <t>MAS</t>
  </si>
  <si>
    <t>MA</t>
  </si>
  <si>
    <t>MKC</t>
  </si>
  <si>
    <t>MCD</t>
  </si>
  <si>
    <t>MCK</t>
  </si>
  <si>
    <t>MJN</t>
  </si>
  <si>
    <t>MDT</t>
  </si>
  <si>
    <t>MRK</t>
  </si>
  <si>
    <t>MET</t>
  </si>
  <si>
    <t>KORS</t>
  </si>
  <si>
    <t>MHK</t>
  </si>
  <si>
    <t>TAP</t>
  </si>
  <si>
    <t>MON</t>
  </si>
  <si>
    <t>MCO</t>
  </si>
  <si>
    <t>MOS</t>
  </si>
  <si>
    <t>MSI</t>
  </si>
  <si>
    <t>MUR</t>
  </si>
  <si>
    <t>NWL</t>
  </si>
  <si>
    <t>NFX</t>
  </si>
  <si>
    <t>NEM</t>
  </si>
  <si>
    <t>NEE</t>
  </si>
  <si>
    <t>NLSN</t>
  </si>
  <si>
    <t>NKE</t>
  </si>
  <si>
    <t>NI</t>
  </si>
  <si>
    <t>NBL</t>
  </si>
  <si>
    <t>JWN</t>
  </si>
  <si>
    <t>NSC</t>
  </si>
  <si>
    <t>NOC</t>
  </si>
  <si>
    <t>NRG</t>
  </si>
  <si>
    <t>NUE</t>
  </si>
  <si>
    <t>OXY</t>
  </si>
  <si>
    <t>OMC</t>
  </si>
  <si>
    <t>OKE</t>
  </si>
  <si>
    <t>ORCL</t>
  </si>
  <si>
    <t>PH</t>
  </si>
  <si>
    <t>PNR</t>
  </si>
  <si>
    <t>PEP</t>
  </si>
  <si>
    <t>PKI</t>
  </si>
  <si>
    <t>PRGO</t>
  </si>
  <si>
    <t>PFE</t>
  </si>
  <si>
    <t>PCG</t>
  </si>
  <si>
    <t>PM</t>
  </si>
  <si>
    <t>PSX</t>
  </si>
  <si>
    <t>PNW</t>
  </si>
  <si>
    <t>PXD</t>
  </si>
  <si>
    <t>PNC</t>
  </si>
  <si>
    <t>PPG</t>
  </si>
  <si>
    <t>PPL</t>
  </si>
  <si>
    <t>PX</t>
  </si>
  <si>
    <t>PFG</t>
  </si>
  <si>
    <t>PG</t>
  </si>
  <si>
    <t>PGR</t>
  </si>
  <si>
    <t>PLD</t>
  </si>
  <si>
    <t>PRU</t>
  </si>
  <si>
    <t>PEG</t>
  </si>
  <si>
    <t>PSA</t>
  </si>
  <si>
    <t>PHM</t>
  </si>
  <si>
    <t>PVH</t>
  </si>
  <si>
    <t>PWR</t>
  </si>
  <si>
    <t>DGX</t>
  </si>
  <si>
    <t>RL</t>
  </si>
  <si>
    <t>RRC</t>
  </si>
  <si>
    <t>RTN</t>
  </si>
  <si>
    <t>RHT</t>
  </si>
  <si>
    <t>RF</t>
  </si>
  <si>
    <t>RSG</t>
  </si>
  <si>
    <t>RAI</t>
  </si>
  <si>
    <t>RHI</t>
  </si>
  <si>
    <t>ROK</t>
  </si>
  <si>
    <t>COL</t>
  </si>
  <si>
    <t>ROP</t>
  </si>
  <si>
    <t>R</t>
  </si>
  <si>
    <t>CRM</t>
  </si>
  <si>
    <t>SCG</t>
  </si>
  <si>
    <t>SLB</t>
  </si>
  <si>
    <t>SNI</t>
  </si>
  <si>
    <t>SEE</t>
  </si>
  <si>
    <t>SRE</t>
  </si>
  <si>
    <t>SHW</t>
  </si>
  <si>
    <t>SPG</t>
  </si>
  <si>
    <t>SNA</t>
  </si>
  <si>
    <t>SO</t>
  </si>
  <si>
    <t>LUV</t>
  </si>
  <si>
    <t>SWK</t>
  </si>
  <si>
    <t>STT</t>
  </si>
  <si>
    <t>SYK</t>
  </si>
  <si>
    <t>STI</t>
  </si>
  <si>
    <t>SYY</t>
  </si>
  <si>
    <t>TGT</t>
  </si>
  <si>
    <t>TEL</t>
  </si>
  <si>
    <t>TDC</t>
  </si>
  <si>
    <t>TSO</t>
  </si>
  <si>
    <t>TXT</t>
  </si>
  <si>
    <t>TMO</t>
  </si>
  <si>
    <t>TIF</t>
  </si>
  <si>
    <t>TWX</t>
  </si>
  <si>
    <t>TJX</t>
  </si>
  <si>
    <t>TMK</t>
  </si>
  <si>
    <t>TSS</t>
  </si>
  <si>
    <t>RIG</t>
  </si>
  <si>
    <t>TRV</t>
  </si>
  <si>
    <t>TSN</t>
  </si>
  <si>
    <t>UA</t>
  </si>
  <si>
    <t>UNP</t>
  </si>
  <si>
    <t>UPS</t>
  </si>
  <si>
    <t>UTX</t>
  </si>
  <si>
    <t>UNH</t>
  </si>
  <si>
    <t>UNM</t>
  </si>
  <si>
    <t>USB</t>
  </si>
  <si>
    <t>VLO</t>
  </si>
  <si>
    <t>VAR</t>
  </si>
  <si>
    <t>VTR</t>
  </si>
  <si>
    <t>VZ</t>
  </si>
  <si>
    <t>VFC</t>
  </si>
  <si>
    <t>V</t>
  </si>
  <si>
    <t>VNO</t>
  </si>
  <si>
    <t>VMC</t>
  </si>
  <si>
    <t>WMT</t>
  </si>
  <si>
    <t>DIS</t>
  </si>
  <si>
    <t>WM</t>
  </si>
  <si>
    <t>WAT</t>
  </si>
  <si>
    <t>WFC</t>
  </si>
  <si>
    <t>WU</t>
  </si>
  <si>
    <t>WY</t>
  </si>
  <si>
    <t>WHR</t>
  </si>
  <si>
    <t>WMB</t>
  </si>
  <si>
    <t>WEC</t>
  </si>
  <si>
    <t>GWW</t>
  </si>
  <si>
    <t>WYN</t>
  </si>
  <si>
    <t>XEL</t>
  </si>
  <si>
    <t>XRX</t>
  </si>
  <si>
    <t>XL</t>
  </si>
  <si>
    <t>XYL</t>
  </si>
  <si>
    <t>YUM</t>
  </si>
  <si>
    <t>ZTS</t>
  </si>
  <si>
    <t>ADBE</t>
  </si>
  <si>
    <t>AKAM</t>
  </si>
  <si>
    <t>ALXN</t>
  </si>
  <si>
    <t>AMZN</t>
  </si>
  <si>
    <t>AMGN</t>
  </si>
  <si>
    <t>ADI</t>
  </si>
  <si>
    <t>AAPL</t>
  </si>
  <si>
    <t>AMAT</t>
  </si>
  <si>
    <t>ADSK</t>
  </si>
  <si>
    <t>ADP</t>
  </si>
  <si>
    <t>AVGO</t>
  </si>
  <si>
    <t>BBBY</t>
  </si>
  <si>
    <t>BIIB</t>
  </si>
  <si>
    <t>CELG</t>
  </si>
  <si>
    <t>CERN</t>
  </si>
  <si>
    <t>CHRW</t>
  </si>
  <si>
    <t>CINF</t>
  </si>
  <si>
    <t>CTAS</t>
  </si>
  <si>
    <t>CSCO</t>
  </si>
  <si>
    <t>CTXS</t>
  </si>
  <si>
    <t>CME</t>
  </si>
  <si>
    <t>CTSH</t>
  </si>
  <si>
    <t>CMCSA</t>
  </si>
  <si>
    <t>COST</t>
  </si>
  <si>
    <t>XRAY</t>
  </si>
  <si>
    <t>DISCA</t>
  </si>
  <si>
    <t>DLTR</t>
  </si>
  <si>
    <t>ETFC</t>
  </si>
  <si>
    <t>EBAY</t>
  </si>
  <si>
    <t>EA</t>
  </si>
  <si>
    <t>EXPE</t>
  </si>
  <si>
    <t>EXPD</t>
  </si>
  <si>
    <t>ESRX</t>
  </si>
  <si>
    <t>FFIV</t>
  </si>
  <si>
    <t>FB</t>
  </si>
  <si>
    <t>FAST</t>
  </si>
  <si>
    <t>FITB</t>
  </si>
  <si>
    <t>FISV</t>
  </si>
  <si>
    <t>FLIR</t>
  </si>
  <si>
    <t>GRMN</t>
  </si>
  <si>
    <t>GILD</t>
  </si>
  <si>
    <t>GT</t>
  </si>
  <si>
    <t>GOOGL</t>
  </si>
  <si>
    <t>GOOG</t>
  </si>
  <si>
    <t>HAS</t>
  </si>
  <si>
    <t>HBAN</t>
  </si>
  <si>
    <t>INTC</t>
  </si>
  <si>
    <t>INTU</t>
  </si>
  <si>
    <t>ISRG</t>
  </si>
  <si>
    <t>KLAC</t>
  </si>
  <si>
    <t>LRCX</t>
  </si>
  <si>
    <t>MAT</t>
  </si>
  <si>
    <t>MCHP</t>
  </si>
  <si>
    <t>MU</t>
  </si>
  <si>
    <t>MSFT</t>
  </si>
  <si>
    <t>MDLZ</t>
  </si>
  <si>
    <t>MNST</t>
  </si>
  <si>
    <t>MYL</t>
  </si>
  <si>
    <t>NDAQ</t>
  </si>
  <si>
    <t>NAVI</t>
  </si>
  <si>
    <t>NTAP</t>
  </si>
  <si>
    <t>NFLX</t>
  </si>
  <si>
    <t>NWSA</t>
  </si>
  <si>
    <t>NTRS</t>
  </si>
  <si>
    <t>NVDA</t>
  </si>
  <si>
    <t>ORLY</t>
  </si>
  <si>
    <t>PCAR</t>
  </si>
  <si>
    <t>PDCO</t>
  </si>
  <si>
    <t>PAYX</t>
  </si>
  <si>
    <t>PBCT</t>
  </si>
  <si>
    <t>PCLN</t>
  </si>
  <si>
    <t>QCOM</t>
  </si>
  <si>
    <t>REGN</t>
  </si>
  <si>
    <t>ROST</t>
  </si>
  <si>
    <t>STX</t>
  </si>
  <si>
    <t>SPLS</t>
  </si>
  <si>
    <t>SBUX</t>
  </si>
  <si>
    <t>SRCL</t>
  </si>
  <si>
    <t>SYMC</t>
  </si>
  <si>
    <t>TROW</t>
  </si>
  <si>
    <t>TXN</t>
  </si>
  <si>
    <t>TSCO</t>
  </si>
  <si>
    <t>TRIP</t>
  </si>
  <si>
    <t>FOXA</t>
  </si>
  <si>
    <t>VRSN</t>
  </si>
  <si>
    <t>VRTX</t>
  </si>
  <si>
    <t>VIAB</t>
  </si>
  <si>
    <t>WDC</t>
  </si>
  <si>
    <t>WFM</t>
  </si>
  <si>
    <t>WYNN</t>
  </si>
  <si>
    <t>XLNX</t>
  </si>
  <si>
    <t>YHOO</t>
  </si>
  <si>
    <t>ZION</t>
  </si>
  <si>
    <t>Cimarex Energy Co</t>
  </si>
  <si>
    <t>XEC</t>
  </si>
  <si>
    <t>Affiliated Managers Group Inc</t>
  </si>
  <si>
    <t>AMG</t>
  </si>
  <si>
    <t>DISCK</t>
  </si>
  <si>
    <t>Freeport-McMoRan Inc</t>
  </si>
  <si>
    <t>Mallinckrodt PLC</t>
  </si>
  <si>
    <t>MNK</t>
  </si>
  <si>
    <t>Martin Marietta Materials Inc</t>
  </si>
  <si>
    <t>MLM</t>
  </si>
  <si>
    <t>Parker-Hannifin Corp</t>
  </si>
  <si>
    <t>n/a</t>
  </si>
  <si>
    <t>- Proxy Company Median</t>
  </si>
  <si>
    <t>CVS Health Corp</t>
  </si>
  <si>
    <t>Level 3 Communications Inc</t>
  </si>
  <si>
    <t>United Rentals Inc</t>
  </si>
  <si>
    <t>Universal Health Services Inc</t>
  </si>
  <si>
    <t>LVLT</t>
  </si>
  <si>
    <t>URI</t>
  </si>
  <si>
    <t>UHS</t>
  </si>
  <si>
    <t>HCA Holdings Inc</t>
  </si>
  <si>
    <t>HCA</t>
  </si>
  <si>
    <t>Royal Caribbean Cruises Ltd</t>
  </si>
  <si>
    <t>RCL</t>
  </si>
  <si>
    <t>SL Green Realty Corp</t>
  </si>
  <si>
    <t>SLG</t>
  </si>
  <si>
    <t>Hanesbrands Inc</t>
  </si>
  <si>
    <t>HBI</t>
  </si>
  <si>
    <t>Medtronic PLC</t>
  </si>
  <si>
    <t>Mylan NV</t>
  </si>
  <si>
    <t>Eversource Energy</t>
  </si>
  <si>
    <t>ES</t>
  </si>
  <si>
    <t>Marriott International Inc/MD</t>
  </si>
  <si>
    <t>American Airlines Group Inc</t>
  </si>
  <si>
    <t>AAL</t>
  </si>
  <si>
    <t>Biogen Inc</t>
  </si>
  <si>
    <t>Roper Technologies Inc</t>
  </si>
  <si>
    <t>Walgreens Boots Alliance Inc</t>
  </si>
  <si>
    <t>WBA</t>
  </si>
  <si>
    <t>Skyworks Solutions Inc</t>
  </si>
  <si>
    <t>SWKS</t>
  </si>
  <si>
    <t>Henry Schein Inc</t>
  </si>
  <si>
    <t>HSIC</t>
  </si>
  <si>
    <t>Anthem Inc</t>
  </si>
  <si>
    <t>ANTM</t>
  </si>
  <si>
    <t>Realty Income Corp</t>
  </si>
  <si>
    <t>O</t>
  </si>
  <si>
    <t>Equinix Inc</t>
  </si>
  <si>
    <t>EQIX</t>
  </si>
  <si>
    <t>Average for Companies Paying Dividends with Positive Best Long-Term Growth Estimates</t>
  </si>
  <si>
    <t>Yahoo Finance! Earnings Growth</t>
  </si>
  <si>
    <t>Zacks 5-Yr Earnings Growth</t>
  </si>
  <si>
    <t xml:space="preserve"> </t>
  </si>
  <si>
    <t>Earnings Growth Rate Estimates</t>
  </si>
  <si>
    <t>Earnings Growth</t>
  </si>
  <si>
    <t>Utility</t>
  </si>
  <si>
    <t>State</t>
  </si>
  <si>
    <t>Y</t>
  </si>
  <si>
    <t>TN</t>
  </si>
  <si>
    <t>NJ</t>
  </si>
  <si>
    <t>N</t>
  </si>
  <si>
    <t>VA</t>
  </si>
  <si>
    <t>CO</t>
  </si>
  <si>
    <t>KS</t>
  </si>
  <si>
    <t>KY</t>
  </si>
  <si>
    <t>LA</t>
  </si>
  <si>
    <t>OR</t>
  </si>
  <si>
    <t>WA</t>
  </si>
  <si>
    <t>AZ</t>
  </si>
  <si>
    <t>NV</t>
  </si>
  <si>
    <t>AL</t>
  </si>
  <si>
    <t>Missouri Gas Energy</t>
  </si>
  <si>
    <t>Qorvo Inc</t>
  </si>
  <si>
    <t>QRVO</t>
  </si>
  <si>
    <t>TEGNA Inc</t>
  </si>
  <si>
    <t>TGNA</t>
  </si>
  <si>
    <t>WEC Energy Group Inc</t>
  </si>
  <si>
    <t>US Bancorp</t>
  </si>
  <si>
    <t>AGN</t>
  </si>
  <si>
    <t>Kraft Heinz Co/The</t>
  </si>
  <si>
    <t>KHC</t>
  </si>
  <si>
    <t>Zimmer Biomet Holdings Inc</t>
  </si>
  <si>
    <t>ZBH</t>
  </si>
  <si>
    <t>Signet Jewelers Ltd</t>
  </si>
  <si>
    <t>SIG</t>
  </si>
  <si>
    <t>WestRock Co</t>
  </si>
  <si>
    <t>WRK</t>
  </si>
  <si>
    <t>JB Hunt Transport Services Inc</t>
  </si>
  <si>
    <t>JBHT</t>
  </si>
  <si>
    <t>PayPal Holdings Inc</t>
  </si>
  <si>
    <t>PYPL</t>
  </si>
  <si>
    <t>Advance Auto Parts Inc</t>
  </si>
  <si>
    <t>AAP</t>
  </si>
  <si>
    <t>Decoupling</t>
  </si>
  <si>
    <t>Mechanism</t>
  </si>
  <si>
    <t>Value Line</t>
  </si>
  <si>
    <t>Mean</t>
  </si>
  <si>
    <t>Beta</t>
  </si>
  <si>
    <t>Activision Blizzard Inc</t>
  </si>
  <si>
    <t>ATVI</t>
  </si>
  <si>
    <t>Nielsen Holdings PLC</t>
  </si>
  <si>
    <t>Cascade Natural Gas Corp.</t>
  </si>
  <si>
    <t>Cascade Natural Gas Distribution % of:</t>
  </si>
  <si>
    <t>3/</t>
  </si>
  <si>
    <t>Verisk Analytics Inc</t>
  </si>
  <si>
    <t>VRSK</t>
  </si>
  <si>
    <t>Welltower Inc</t>
  </si>
  <si>
    <t>Alphabet Inc</t>
  </si>
  <si>
    <t>Nasdaq Inc</t>
  </si>
  <si>
    <t>FOX</t>
  </si>
  <si>
    <t>United Continental Holdings Inc</t>
  </si>
  <si>
    <t>UAL</t>
  </si>
  <si>
    <t>NWS</t>
  </si>
  <si>
    <t>Cascade Natural Gas Company</t>
  </si>
  <si>
    <r>
      <t xml:space="preserve">Sources: </t>
    </r>
    <r>
      <rPr>
        <i/>
        <sz val="11"/>
        <rFont val="Times New Roman"/>
        <family val="1"/>
      </rPr>
      <t>SNL Financial</t>
    </r>
  </si>
  <si>
    <r>
      <t>3</t>
    </r>
    <r>
      <rPr>
        <vertAlign val="superscript"/>
        <sz val="12"/>
        <rFont val="Times New Roman"/>
        <family val="1"/>
      </rPr>
      <t>rd</t>
    </r>
    <r>
      <rPr>
        <sz val="12"/>
        <rFont val="Times New Roman"/>
        <family val="1"/>
      </rPr>
      <t xml:space="preserve"> Quartile</t>
    </r>
  </si>
  <si>
    <r>
      <t>2</t>
    </r>
    <r>
      <rPr>
        <b/>
        <vertAlign val="superscript"/>
        <sz val="12"/>
        <rFont val="Times New Roman"/>
        <family val="1"/>
      </rPr>
      <t>nd</t>
    </r>
    <r>
      <rPr>
        <b/>
        <sz val="12"/>
        <rFont val="Times New Roman"/>
        <family val="1"/>
      </rPr>
      <t xml:space="preserve"> Quartile (Median)</t>
    </r>
  </si>
  <si>
    <r>
      <t>1</t>
    </r>
    <r>
      <rPr>
        <vertAlign val="superscript"/>
        <sz val="12"/>
        <rFont val="Times New Roman"/>
        <family val="1"/>
      </rPr>
      <t>st</t>
    </r>
    <r>
      <rPr>
        <sz val="12"/>
        <rFont val="Times New Roman"/>
        <family val="1"/>
      </rPr>
      <t xml:space="preserve"> Quartile</t>
    </r>
  </si>
  <si>
    <t>3/ Source:   Cascade Exhibit MPP-2, based on test year revenue requirement and rate base</t>
  </si>
  <si>
    <t>允䅁䅁䅕䅁䍁䅁䅁䅁䅁䅁䅁䅊䅁䕁䅫杢穂䡁䅑兡あ䡁䅕䅤灂䝁䄸杢杁䕁䄴兙瑂䝁䅕䅉䅁䅁䅍䅁捁䅁䅁兓あ䝁䅕兢杁䙁䅉党瑂䝁䄸杤求䝁䅑䅉䅁䅁䅉䅁⭁䅁䅁睔睂䡁䅑兡療䝁䄴督㙁䕁䅍兤祂䡁䅉児獁䕁䄰兙湂䑁䄰䅌䑂䝁䄸杢㉂䕁䄰党あ䝁䅧睢歂䑁䄰䅁䉁䅁䅁杋䅁䙁䅍杔䵂䍁䅁兓畂䡁䅍䅤灂䡁䅑兤あ䝁䅫睢畂䍁䅁睓求䡁䅫䅉䅁䅁䅑䅁䅁䅁䅁</t>
  </si>
  <si>
    <t xml:space="preserve">Cascade Natural Gas Corporation </t>
  </si>
  <si>
    <t>Cascade Natural Gas</t>
  </si>
  <si>
    <t>Cascade Natural Gas Corporation</t>
  </si>
  <si>
    <t>2/ Source: Cascade Natural Gas Corp. - Washington Natural Gas Operations</t>
  </si>
  <si>
    <t>[1] U.S. Department of Labor, Bureau of Labor Statistics; U.S. city average, all urban consumers, all items, not seasonally adjusted</t>
  </si>
  <si>
    <t>[2] U.S. Department of Commerce, Bureau of Economic Analysis; NIPA Tables 1.1.9, Revised on January 27, 2017</t>
  </si>
  <si>
    <t>[3] U.S. Department of Commerce, Bureau of Economic Analysis; NIPA Tables 1.1.1, Revised on January 27, 2017</t>
  </si>
  <si>
    <t>[4] U.S. Department of Commerce, Bureau of Economic Analysis; NIPA Tables 1.1.5, Revised on January 27, 2017</t>
  </si>
  <si>
    <t>1987-2016</t>
  </si>
  <si>
    <t>1997-2016</t>
  </si>
  <si>
    <t>2007-2016</t>
  </si>
  <si>
    <t>Average Rate of Change:</t>
  </si>
  <si>
    <t>30-year U.S.</t>
  </si>
  <si>
    <t>TTM</t>
  </si>
  <si>
    <t>Spire Inc.</t>
  </si>
  <si>
    <t>SR</t>
  </si>
  <si>
    <t>Broadcom Ltd</t>
  </si>
  <si>
    <t>Extra Space Storage Inc</t>
  </si>
  <si>
    <t>EXR</t>
  </si>
  <si>
    <t>HP Inc</t>
  </si>
  <si>
    <t>Concho Resources Inc</t>
  </si>
  <si>
    <t>CXO</t>
  </si>
  <si>
    <t>American Water Works Co Inc</t>
  </si>
  <si>
    <t>AWK</t>
  </si>
  <si>
    <t>CSRA Inc</t>
  </si>
  <si>
    <t>CSRA</t>
  </si>
  <si>
    <t>UAA</t>
  </si>
  <si>
    <t>Hewlett Packard Enterprise Co</t>
  </si>
  <si>
    <t>HPE</t>
  </si>
  <si>
    <t>Fortune Brands Home &amp; Security Inc</t>
  </si>
  <si>
    <t>FBHS</t>
  </si>
  <si>
    <t>UDR Inc</t>
  </si>
  <si>
    <t>UDR</t>
  </si>
  <si>
    <t>Conagra Brands Inc</t>
  </si>
  <si>
    <t>XL Group Ltd</t>
  </si>
  <si>
    <t>Fortive Corp</t>
  </si>
  <si>
    <t>FTV</t>
  </si>
  <si>
    <t>Synchrony Financial</t>
  </si>
  <si>
    <t>SYF</t>
  </si>
  <si>
    <t>Arthur J Gallagher &amp; Co</t>
  </si>
  <si>
    <t>AJG</t>
  </si>
  <si>
    <t>Willis Towers Watson PLC</t>
  </si>
  <si>
    <t>WLTW</t>
  </si>
  <si>
    <t>Foot Locker Inc</t>
  </si>
  <si>
    <t>FL</t>
  </si>
  <si>
    <t>Charter Communications Inc</t>
  </si>
  <si>
    <t>CHTR</t>
  </si>
  <si>
    <t>S&amp;P Global Inc</t>
  </si>
  <si>
    <t>SPGI</t>
  </si>
  <si>
    <t>Newell Brands Inc</t>
  </si>
  <si>
    <t>Johnson Controls International plc</t>
  </si>
  <si>
    <t>Ulta Beauty Inc</t>
  </si>
  <si>
    <t>ULTA</t>
  </si>
  <si>
    <t>IDEXX Laboratories Inc</t>
  </si>
  <si>
    <t>IDXX</t>
  </si>
  <si>
    <t>Allergan PLC</t>
  </si>
  <si>
    <t>DENTSPLY SIRONA Inc</t>
  </si>
  <si>
    <t>Alaska Air Group Inc</t>
  </si>
  <si>
    <t>ALK</t>
  </si>
  <si>
    <t>Chubb Ltd</t>
  </si>
  <si>
    <t>Hologic Inc</t>
  </si>
  <si>
    <t>HOLX</t>
  </si>
  <si>
    <t>Citizens Financial Group Inc</t>
  </si>
  <si>
    <t>CFG</t>
  </si>
  <si>
    <t>DaVita Inc</t>
  </si>
  <si>
    <t>Arconic Inc</t>
  </si>
  <si>
    <t>ARNC</t>
  </si>
  <si>
    <t>L3 Technologies Inc</t>
  </si>
  <si>
    <t>TransDigm Group Inc</t>
  </si>
  <si>
    <t>TDG</t>
  </si>
  <si>
    <t>CME Group Inc</t>
  </si>
  <si>
    <t>salesforce.com Inc</t>
  </si>
  <si>
    <t>TechnipFMC PLC</t>
  </si>
  <si>
    <t>Mastercard Inc</t>
  </si>
  <si>
    <t>Cooper Cos Inc/The</t>
  </si>
  <si>
    <t>COO</t>
  </si>
  <si>
    <t>Mid-America Apartment Communities Inc</t>
  </si>
  <si>
    <t>MAA</t>
  </si>
  <si>
    <t>Mettler-Toledo International Inc</t>
  </si>
  <si>
    <t>MTD</t>
  </si>
  <si>
    <t>Albemarle Corp</t>
  </si>
  <si>
    <t>ALB</t>
  </si>
  <si>
    <t>GGP Inc</t>
  </si>
  <si>
    <t>Church &amp; Dwight Co Inc</t>
  </si>
  <si>
    <t>CHD</t>
  </si>
  <si>
    <t>Federal Realty Investment Trust</t>
  </si>
  <si>
    <t>FRT</t>
  </si>
  <si>
    <t>Alliant Energy Corp</t>
  </si>
  <si>
    <t>LNT</t>
  </si>
  <si>
    <t>Centene Corp</t>
  </si>
  <si>
    <t>CNC</t>
  </si>
  <si>
    <t>Envision Healthcare Corp</t>
  </si>
  <si>
    <t>EVHC</t>
  </si>
  <si>
    <t>Coty Inc</t>
  </si>
  <si>
    <t>COTY</t>
  </si>
  <si>
    <t>Global Payments Inc</t>
  </si>
  <si>
    <t>GPN</t>
  </si>
  <si>
    <t>Illumina Inc</t>
  </si>
  <si>
    <t>ILMN</t>
  </si>
  <si>
    <t>Acuity Brands Inc</t>
  </si>
  <si>
    <t>AYI</t>
  </si>
  <si>
    <t>LKQ Corp</t>
  </si>
  <si>
    <t>LKQ</t>
  </si>
  <si>
    <t>Digital Realty Trust Inc</t>
  </si>
  <si>
    <t>DLR</t>
  </si>
  <si>
    <t>BOND YIELD PLUS RISK PREMIUM</t>
  </si>
  <si>
    <t>Average Authorized Natural Gas ROE</t>
  </si>
  <si>
    <t>30-year U.S. Treasury Bond</t>
  </si>
  <si>
    <t>Risk Premium</t>
  </si>
  <si>
    <t>SUMMARY OUTPUT</t>
  </si>
  <si>
    <t>Regression Statistics</t>
  </si>
  <si>
    <t>Multiple R</t>
  </si>
  <si>
    <t>R Square</t>
  </si>
  <si>
    <t>Adjusted R Square</t>
  </si>
  <si>
    <t>Standard Error</t>
  </si>
  <si>
    <t>Observations</t>
  </si>
  <si>
    <t>ANOVA</t>
  </si>
  <si>
    <t>df</t>
  </si>
  <si>
    <t>SS</t>
  </si>
  <si>
    <t>Significance F</t>
  </si>
  <si>
    <t>Regression</t>
  </si>
  <si>
    <t>Residual</t>
  </si>
  <si>
    <t>Total</t>
  </si>
  <si>
    <t>Coefficients</t>
  </si>
  <si>
    <t>t Stat</t>
  </si>
  <si>
    <t>P-value</t>
  </si>
  <si>
    <t>Lower 95%</t>
  </si>
  <si>
    <t>Upper 95%</t>
  </si>
  <si>
    <t>Lower 95.0%</t>
  </si>
  <si>
    <t>Upper 95.0%</t>
  </si>
  <si>
    <t>Intercept</t>
  </si>
  <si>
    <t>Current 30-day average of 30-year U.S. Treasury bond yield [4]</t>
  </si>
  <si>
    <t>MEAN</t>
  </si>
  <si>
    <t>[2] Source: Bloomberg Professional, quarterly bond yields are the daily average of each trading day in the quarter</t>
  </si>
  <si>
    <t>[3] Equals [1] − [2]</t>
  </si>
  <si>
    <t>[7] See Notes [4], [5] and [6]</t>
  </si>
  <si>
    <t>[9] Equals [7] + [8]</t>
  </si>
  <si>
    <t>2016.1</t>
  </si>
  <si>
    <t>2016.2</t>
  </si>
  <si>
    <t>2016.3</t>
  </si>
  <si>
    <t>2016.4</t>
  </si>
  <si>
    <t>New Jersey Resources Corporation rating is for New Jersey Natural Gas Company</t>
  </si>
  <si>
    <t>AA-</t>
  </si>
  <si>
    <t>Aa3</t>
  </si>
  <si>
    <t>Fiscal Year 2016 Operating Data</t>
  </si>
  <si>
    <t>1/ Source: SNL Financial LC; data as of September 30, 2016</t>
  </si>
  <si>
    <t>Spire, Inc.</t>
  </si>
  <si>
    <t>Ba1</t>
  </si>
  <si>
    <t>Baa3</t>
  </si>
  <si>
    <t>BBB-</t>
  </si>
  <si>
    <t>BB+</t>
  </si>
  <si>
    <t>NMF</t>
  </si>
  <si>
    <t xml:space="preserve">Northern Indiana Public Service </t>
  </si>
  <si>
    <t>IN</t>
  </si>
  <si>
    <t>Columbia Gas of Kentucky</t>
  </si>
  <si>
    <t>Columbia Gas of Maryland</t>
  </si>
  <si>
    <t>MD</t>
  </si>
  <si>
    <t>Columbia Gas of Ohio</t>
  </si>
  <si>
    <t>OH</t>
  </si>
  <si>
    <t>Columbia Gas of Pennsylvania</t>
  </si>
  <si>
    <t>PA</t>
  </si>
  <si>
    <t>Columbia Gas of Virginia</t>
  </si>
  <si>
    <t>Cascade Gas Corporation</t>
  </si>
  <si>
    <t>Non-Volumetric Rate Design</t>
  </si>
  <si>
    <t>Revenue</t>
  </si>
  <si>
    <t>Formula</t>
  </si>
  <si>
    <t>Straight</t>
  </si>
  <si>
    <t>Non-Volumetric</t>
  </si>
  <si>
    <t>Rate</t>
  </si>
  <si>
    <t>Fixed-Variable</t>
  </si>
  <si>
    <t>Plan</t>
  </si>
  <si>
    <t>Rate Design</t>
  </si>
  <si>
    <t>Design</t>
  </si>
  <si>
    <t>Atmos Energy Corporation (Mid-Tex)</t>
  </si>
  <si>
    <t>TX</t>
  </si>
  <si>
    <t xml:space="preserve">New Jersey Natural Gas Company </t>
  </si>
  <si>
    <t>Columbia Gas of Massachusetts</t>
  </si>
  <si>
    <t>South Jersey Gas Company</t>
  </si>
  <si>
    <t xml:space="preserve">Laclede Gas Company </t>
  </si>
  <si>
    <t>Total Number of Jurisdictions (Y)</t>
  </si>
  <si>
    <t>Total Number of Jurisdictions</t>
  </si>
  <si>
    <t>Percent of Jurisdictions</t>
  </si>
  <si>
    <t>[2] Identifies companies with either a formula rate plan, revenue decoupling mechanism or straight fixed-variable rate design.</t>
  </si>
  <si>
    <t>Common Shares Outstanding</t>
  </si>
  <si>
    <t>"S"</t>
  </si>
  <si>
    <t>"V"</t>
  </si>
  <si>
    <t>S*V</t>
  </si>
  <si>
    <t>BR + SV</t>
  </si>
  <si>
    <t>B*R</t>
  </si>
  <si>
    <t>Market/Book Ratio</t>
  </si>
  <si>
    <t>Long-Term Growth Estimate</t>
  </si>
  <si>
    <t>Market Capitalization-Weighted Long-Term Growth Estimate</t>
  </si>
  <si>
    <t>Adjusted CAPM Return</t>
  </si>
  <si>
    <t>S&amp;P Current Market DCF Return</t>
  </si>
  <si>
    <t>Near-term projected T-Bond Yield</t>
  </si>
  <si>
    <t>Market Risk Premium</t>
  </si>
  <si>
    <t>Value Line Beta</t>
  </si>
  <si>
    <t>B*RP</t>
  </si>
  <si>
    <t>Plus: Projected T-Bond Yield</t>
  </si>
  <si>
    <t>Biased CAPM Return</t>
  </si>
  <si>
    <t>Ibbotson CAPM Adjustment</t>
  </si>
  <si>
    <t>Unbiased CAPM</t>
  </si>
  <si>
    <t xml:space="preserve">   High</t>
  </si>
  <si>
    <t xml:space="preserve">   Median</t>
  </si>
  <si>
    <t xml:space="preserve">   Low</t>
  </si>
  <si>
    <t>Notes</t>
  </si>
  <si>
    <t>[3] = [1] - [2]</t>
  </si>
  <si>
    <t>[5] = [3] x [4] (For NI, use average Value Line Beta)</t>
  </si>
  <si>
    <t>[6] = [2]</t>
  </si>
  <si>
    <t>[7] = [5] + [6]</t>
  </si>
  <si>
    <t>[9] = [7] + [8]</t>
  </si>
  <si>
    <t>[13]</t>
  </si>
  <si>
    <t>[14]</t>
  </si>
  <si>
    <t>Shares 
(million)</t>
  </si>
  <si>
    <t>Market Capitalization
(million)</t>
  </si>
  <si>
    <t>Size Decile</t>
  </si>
  <si>
    <t>Ibbotson CAPM Size Adjustment</t>
  </si>
  <si>
    <t>Decile</t>
  </si>
  <si>
    <t>Adj.</t>
  </si>
  <si>
    <t>[12] = [10] x [11]</t>
  </si>
  <si>
    <t>January 2010 - April 2017</t>
  </si>
  <si>
    <t>2/ Source: SNL Financial LC; data as of December 31, 2016</t>
  </si>
  <si>
    <t>Source: SNL Financial as of April 28, 2017</t>
  </si>
  <si>
    <t>November 2016 -  April 2017</t>
  </si>
  <si>
    <t>Source: Yahoo Finance! and Zacks Investment Research as of April 28, 2017.</t>
  </si>
  <si>
    <t>As of April 28, 2017</t>
  </si>
  <si>
    <t>Source: Value Line; dated March 3, 2017</t>
  </si>
  <si>
    <t>Value Line Forecast 2020-22</t>
  </si>
  <si>
    <t>Price 2020-22</t>
  </si>
  <si>
    <t>2020-22</t>
  </si>
  <si>
    <t>Book Value Per Share 2020-22</t>
  </si>
  <si>
    <t>Source: Value Line, dated March 3, 2017.</t>
  </si>
  <si>
    <t>30-year U.S. T-Bond</t>
  </si>
  <si>
    <t>Near-term projected 30-year U.S. Treasury bond yield (Q2 2017 - Q3 2018) [5]</t>
  </si>
  <si>
    <t>[1] Source: Regulatory Research Associates, accessed April 28, 2017</t>
  </si>
  <si>
    <t>[4] Source: Bloomberg Professional, as of April 28, 2017</t>
  </si>
  <si>
    <t>Market DCF Calculation as of April 28, 2017</t>
  </si>
  <si>
    <t>Advanced Micro Devices Inc</t>
  </si>
  <si>
    <t>AMD</t>
  </si>
  <si>
    <t>CBOE Holdings Inc</t>
  </si>
  <si>
    <t>CBOE</t>
  </si>
  <si>
    <t>Gartner Inc</t>
  </si>
  <si>
    <t>IT</t>
  </si>
  <si>
    <t>Raymond James Financial Inc</t>
  </si>
  <si>
    <t>RJF</t>
  </si>
  <si>
    <t>Incyte Corp</t>
  </si>
  <si>
    <t>INCY</t>
  </si>
  <si>
    <t>DXC Technology Co</t>
  </si>
  <si>
    <t>DXC</t>
  </si>
  <si>
    <t>Synopsys Inc</t>
  </si>
  <si>
    <t>SNPS</t>
  </si>
  <si>
    <t>Alexandria Real Estate Equities Inc</t>
  </si>
  <si>
    <t>ARE</t>
  </si>
  <si>
    <t>Regency Centers Corp</t>
  </si>
  <si>
    <t>REG</t>
  </si>
  <si>
    <t>DISH Network Corp</t>
  </si>
  <si>
    <t>DISH</t>
  </si>
  <si>
    <t>[1] S&amp;P 500 Market Return as of 4/28/2017; dividend yield adjustment factor sets at (1+0.625g); excludes companies with zero dividend and negative growth rate.</t>
  </si>
  <si>
    <t>[2] Near-term projected 30-year U.S. Treasury bond yield (Q2 2017 - Q3 2018); Blue Chip Financial Forecasts, Vol.36, No.4, April 1, 2017 at 2.</t>
  </si>
  <si>
    <t>[4] Value Line; dated March 3, 2017</t>
  </si>
  <si>
    <t>Price/Share</t>
  </si>
  <si>
    <t>[13] Duff &amp; Phelps 2017 Valuation Hand Book – U.S. Guide to Cost of Capital Exhibit 7.2.</t>
  </si>
  <si>
    <t>[14] Duff &amp; Phelps 2017 Valuation Hand Book – U.S. Guide to Cost of Capital Exhibit 4.7.</t>
  </si>
  <si>
    <t>[8] See Schedule 8 page 2</t>
  </si>
  <si>
    <t>Market Cap ($M)</t>
  </si>
  <si>
    <t>Alabama Gas Company</t>
  </si>
  <si>
    <t>Mobile Gas Service Corporation</t>
  </si>
  <si>
    <t>Willmut Gas &amp; Oil Company</t>
  </si>
  <si>
    <t>[1] Source: American Gas Association, Innovative Rates, Non-Volumetric Rates, and Tracking Mechanisms: Current List, December 2016.</t>
  </si>
  <si>
    <t>Capital Structures as of March 31, 2017</t>
  </si>
  <si>
    <t>2004-2017</t>
  </si>
  <si>
    <t>Average 2004-2017:</t>
  </si>
  <si>
    <t>1/ Source: SNL Financial; quarterly data as of March 31, 2017.</t>
  </si>
  <si>
    <t>[10] Bloomberg; dated April 28, 2017.</t>
  </si>
  <si>
    <t>[11] Bloomberg; dated April 28, 2017.</t>
  </si>
  <si>
    <t>Sustainable Growth</t>
  </si>
  <si>
    <t>Source:  Schedule 4, page 2 &amp; 3</t>
  </si>
  <si>
    <t>Source:  Schedule 2 and Schedule 4, page 1 &amp; 2</t>
  </si>
  <si>
    <t>Source:  Schedule 2 and Schedule 4, page 1 &amp; 4</t>
  </si>
  <si>
    <t>Projected Sustainable Earnings Growth Rates</t>
  </si>
  <si>
    <t>Projected 30-year U.S. Treasury bond yield (2019 - 2023) [6]</t>
  </si>
  <si>
    <t>[15]</t>
  </si>
  <si>
    <t>[16]</t>
  </si>
  <si>
    <t>[17]</t>
  </si>
  <si>
    <t>[5] Source: Blue Chip Financial Forecasts, Vol. 36, No. 6, June 1, 2017, at 2</t>
  </si>
  <si>
    <t>[6] Source: Blue Chip Financial Forecasts, Vol. 36, No. 6, June 1, 2017, at 14.</t>
  </si>
  <si>
    <t>T-Bond [7]</t>
  </si>
  <si>
    <t>Premium [8]</t>
  </si>
  <si>
    <t>ROE [9]</t>
  </si>
  <si>
    <t>Exhibit No. __ (JSG-2)</t>
  </si>
  <si>
    <t>Docket No. UG-17____</t>
  </si>
  <si>
    <t>Witness: J. Stephen Gaske</t>
  </si>
  <si>
    <t>DOCKET UG-17_____</t>
  </si>
  <si>
    <t>CASCADE NATURAL GAS CORPORATION</t>
  </si>
  <si>
    <t>EXHIBIT OF J. STEPHEN GASKE</t>
  </si>
  <si>
    <t>GENERAL ECONOMIC STATISCS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</si>
</sst>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4" formatCode="_(&quot;$&quot;* #,##0.00_);_(&quot;$&quot;* \(#,##0.00\);_(&quot;$&quot;* &quot;-&quot;??_);_(@_)"/>
    <numFmt numFmtId="43" formatCode="_(* #,##0.00_);_(* \(#,##0.00\);_(* &quot;-&quot;??_);_(@_)"/>
    <numFmt numFmtId="164" formatCode="0.0%"/>
    <numFmt numFmtId="165" formatCode="0.0000"/>
    <numFmt numFmtId="166" formatCode="&quot;$&quot;#,##0.0_);\(&quot;$&quot;#,##0.0\)"/>
    <numFmt numFmtId="167" formatCode="&quot;$&quot;#,##0.000"/>
    <numFmt numFmtId="168" formatCode="#,##0.0_);\(#,##0.0\)"/>
    <numFmt numFmtId="169" formatCode="_(* #,##0.0_);_(* \(#,##0.0\);_(* &quot;-&quot;?_);_(@_)"/>
    <numFmt numFmtId="170" formatCode="0.0000%"/>
    <numFmt numFmtId="171" formatCode="&quot;$&quot;#,##0.00"/>
    <numFmt numFmtId="172" formatCode="#,##0.0"/>
    <numFmt numFmtId="173" formatCode="[$-409]mmm\-yy;@"/>
    <numFmt numFmtId="174" formatCode="_(&quot;$&quot;* #,##0_);_(&quot;$&quot;* \(#,##0\);_(&quot;$&quot;* &quot;-&quot;?_);_(@_)"/>
    <numFmt numFmtId="175" formatCode="_(&quot;$&quot;* #,##0.0_);_(&quot;$&quot;* \(#,##0.0\);_(&quot;$&quot;* &quot;-&quot;??_);_(@_)"/>
    <numFmt numFmtId="176" formatCode="0.000000"/>
    <numFmt numFmtId="177" formatCode="_(&quot;$&quot;* #,##0_);_(&quot;$&quot;* \(#,##0\);_(&quot;$&quot;* &quot;-&quot;??_);_(@_)"/>
    <numFmt numFmtId="178" formatCode="_(* #,##0_);_(* \(#,##0\);_(* &quot;-&quot;??_);_(@_)"/>
  </numFmts>
  <fonts count="35" x14ac:knownFonts="1">
    <font>
      <sz val="12"/>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6"/>
      <name val="Times New Roman"/>
      <family val="1"/>
    </font>
    <font>
      <b/>
      <sz val="14"/>
      <name val="Times New Roman"/>
      <family val="1"/>
    </font>
    <font>
      <sz val="12"/>
      <name val="Times New Roman"/>
      <family val="1"/>
    </font>
    <font>
      <b/>
      <sz val="12"/>
      <name val="Times New Roman"/>
      <family val="1"/>
    </font>
    <font>
      <sz val="12"/>
      <color rgb="FF0000FF"/>
      <name val="Times New Roman"/>
      <family val="1"/>
    </font>
    <font>
      <i/>
      <sz val="14"/>
      <name val="Times New Roman"/>
      <family val="1"/>
    </font>
    <font>
      <sz val="12"/>
      <color rgb="FFFF0000"/>
      <name val="Times New Roman"/>
      <family val="1"/>
    </font>
    <font>
      <sz val="10"/>
      <color theme="1"/>
      <name val="Arial"/>
      <family val="2"/>
    </font>
    <font>
      <u/>
      <sz val="12"/>
      <color theme="10"/>
      <name val="Times New Roman"/>
      <family val="1"/>
    </font>
    <font>
      <sz val="12"/>
      <name val="Century Gothic"/>
      <family val="2"/>
    </font>
    <font>
      <sz val="11"/>
      <name val="Times New Roman"/>
      <family val="1"/>
    </font>
    <font>
      <i/>
      <sz val="11"/>
      <name val="Times New Roman"/>
      <family val="1"/>
    </font>
    <font>
      <b/>
      <sz val="8"/>
      <color rgb="FF000000"/>
      <name val="Times New Roman"/>
      <family val="1"/>
    </font>
    <font>
      <b/>
      <sz val="12"/>
      <color rgb="FF0000FF"/>
      <name val="Times New Roman"/>
      <family val="1"/>
    </font>
    <font>
      <sz val="12"/>
      <color theme="1"/>
      <name val="Times New Roman"/>
      <family val="1"/>
    </font>
    <font>
      <vertAlign val="superscript"/>
      <sz val="12"/>
      <name val="Times New Roman"/>
      <family val="1"/>
    </font>
    <font>
      <b/>
      <vertAlign val="superscript"/>
      <sz val="12"/>
      <name val="Times New Roman"/>
      <family val="1"/>
    </font>
    <font>
      <b/>
      <sz val="14"/>
      <color theme="1"/>
      <name val="Times New Roman"/>
      <family val="1"/>
    </font>
    <font>
      <b/>
      <sz val="12"/>
      <color theme="1"/>
      <name val="Times New Roman"/>
      <family val="1"/>
    </font>
    <font>
      <sz val="10"/>
      <color theme="1"/>
      <name val="Times New Roman"/>
      <family val="1"/>
    </font>
    <font>
      <sz val="12"/>
      <color rgb="FFC00000"/>
      <name val="Times New Roman"/>
      <family val="1"/>
    </font>
    <font>
      <i/>
      <sz val="12"/>
      <name val="Times New Roman"/>
      <family val="1"/>
    </font>
    <font>
      <i/>
      <sz val="10"/>
      <color theme="1"/>
      <name val="Arial"/>
      <family val="2"/>
    </font>
    <font>
      <b/>
      <sz val="16"/>
      <color theme="1"/>
      <name val="Times New Roman"/>
      <family val="1"/>
    </font>
    <font>
      <b/>
      <sz val="10"/>
      <color theme="1"/>
      <name val="Times New Roman"/>
      <family val="1"/>
    </font>
    <font>
      <sz val="10"/>
      <name val="Times New Roman"/>
      <family val="1"/>
    </font>
    <font>
      <u/>
      <sz val="10"/>
      <color theme="1"/>
      <name val="Times New Roman"/>
      <family val="1"/>
    </font>
    <font>
      <sz val="12"/>
      <color rgb="FF7030A0"/>
      <name val="Times New Roman"/>
      <family val="1"/>
    </font>
    <font>
      <b/>
      <u/>
      <sz val="12"/>
      <color theme="1"/>
      <name val="Times New Roman"/>
      <family val="1"/>
    </font>
    <font>
      <sz val="11"/>
      <color theme="1"/>
      <name val="Arial"/>
      <family val="2"/>
    </font>
  </fonts>
  <fills count="2">
    <fill>
      <patternFill patternType="none"/>
    </fill>
    <fill>
      <patternFill patternType="gray125"/>
    </fill>
  </fills>
  <borders count="20">
    <border>
      <left/>
      <right/>
      <top/>
      <bottom/>
      <diagonal/>
    </border>
    <border>
      <left/>
      <right/>
      <top/>
      <bottom style="thin">
        <color indexed="64"/>
      </bottom>
      <diagonal/>
    </border>
    <border>
      <left/>
      <right/>
      <top style="medium">
        <color auto="1"/>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thin">
        <color theme="0" tint="-0.14999847407452621"/>
      </bottom>
      <diagonal/>
    </border>
    <border>
      <left/>
      <right/>
      <top/>
      <bottom style="medium">
        <color auto="1"/>
      </bottom>
      <diagonal/>
    </border>
    <border>
      <left/>
      <right/>
      <top style="thin">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9" fontId="4" fillId="0" borderId="0" applyFont="0" applyFill="0" applyBorder="0" applyAlignment="0" applyProtection="0"/>
    <xf numFmtId="0" fontId="12" fillId="0" borderId="0"/>
    <xf numFmtId="0" fontId="13" fillId="0" borderId="0" applyNumberFormat="0" applyFill="0" applyBorder="0" applyAlignment="0" applyProtection="0"/>
    <xf numFmtId="44" fontId="7" fillId="0" borderId="0" applyFont="0" applyFill="0" applyBorder="0" applyAlignment="0" applyProtection="0"/>
    <xf numFmtId="0" fontId="12" fillId="0" borderId="0"/>
    <xf numFmtId="43" fontId="12" fillId="0" borderId="0" applyFont="0" applyFill="0" applyBorder="0" applyAlignment="0" applyProtection="0"/>
    <xf numFmtId="9" fontId="3" fillId="0" borderId="0" applyFont="0" applyFill="0" applyBorder="0" applyAlignment="0" applyProtection="0"/>
    <xf numFmtId="0" fontId="2" fillId="0" borderId="0"/>
    <xf numFmtId="0" fontId="12" fillId="0" borderId="0"/>
    <xf numFmtId="43" fontId="7" fillId="0" borderId="0" applyFont="0" applyFill="0" applyBorder="0" applyAlignment="0" applyProtection="0"/>
    <xf numFmtId="0" fontId="1" fillId="0" borderId="0"/>
  </cellStyleXfs>
  <cellXfs count="313">
    <xf numFmtId="0" fontId="0" fillId="0" borderId="0" xfId="0"/>
    <xf numFmtId="0" fontId="0" fillId="0" borderId="0" xfId="0" applyAlignment="1">
      <alignment horizontal="centerContinuous"/>
    </xf>
    <xf numFmtId="0" fontId="8" fillId="0" borderId="0" xfId="0" applyFont="1"/>
    <xf numFmtId="10" fontId="7" fillId="0" borderId="0" xfId="1" applyNumberFormat="1" applyFont="1" applyAlignment="1">
      <alignment horizontal="center"/>
    </xf>
    <xf numFmtId="10" fontId="8" fillId="0" borderId="0" xfId="1" applyNumberFormat="1" applyFont="1" applyAlignment="1">
      <alignment horizontal="center"/>
    </xf>
    <xf numFmtId="0" fontId="0" fillId="0" borderId="0" xfId="0" applyAlignment="1">
      <alignment horizontal="center"/>
    </xf>
    <xf numFmtId="0" fontId="0" fillId="0" borderId="0" xfId="0" applyFont="1"/>
    <xf numFmtId="0" fontId="0" fillId="0" borderId="0" xfId="0" applyFont="1" applyAlignment="1">
      <alignment horizontal="center"/>
    </xf>
    <xf numFmtId="0" fontId="6" fillId="0" borderId="0" xfId="0" applyFont="1" applyAlignment="1">
      <alignment horizontal="centerContinuous"/>
    </xf>
    <xf numFmtId="0" fontId="0" fillId="0" borderId="1" xfId="0" applyFont="1" applyBorder="1" applyAlignment="1">
      <alignment horizontal="center" wrapText="1"/>
    </xf>
    <xf numFmtId="0" fontId="0" fillId="0" borderId="1" xfId="0" applyBorder="1" applyAlignment="1">
      <alignment horizontal="center"/>
    </xf>
    <xf numFmtId="0" fontId="0" fillId="0" borderId="1" xfId="0" applyBorder="1" applyAlignment="1">
      <alignment horizontal="centerContinuous"/>
    </xf>
    <xf numFmtId="0" fontId="0" fillId="0" borderId="3" xfId="0" applyBorder="1" applyAlignment="1">
      <alignment horizontal="center"/>
    </xf>
    <xf numFmtId="0" fontId="0" fillId="0" borderId="1" xfId="0" applyBorder="1" applyAlignment="1">
      <alignment horizontal="center" wrapText="1"/>
    </xf>
    <xf numFmtId="10" fontId="8" fillId="0" borderId="0" xfId="0" applyNumberFormat="1" applyFont="1" applyAlignment="1">
      <alignment horizontal="center"/>
    </xf>
    <xf numFmtId="0" fontId="0" fillId="0" borderId="1" xfId="0" applyBorder="1"/>
    <xf numFmtId="0" fontId="6" fillId="0" borderId="0" xfId="0" applyFont="1" applyAlignment="1">
      <alignment horizontal="centerContinuous"/>
    </xf>
    <xf numFmtId="0" fontId="0" fillId="0" borderId="0" xfId="0"/>
    <xf numFmtId="0" fontId="10" fillId="0" borderId="0" xfId="0" applyFont="1" applyAlignment="1">
      <alignment horizontal="centerContinuous"/>
    </xf>
    <xf numFmtId="0" fontId="0" fillId="0" borderId="0" xfId="0" applyBorder="1"/>
    <xf numFmtId="0" fontId="0" fillId="0" borderId="0" xfId="0" applyBorder="1" applyAlignment="1">
      <alignment horizontal="center"/>
    </xf>
    <xf numFmtId="164" fontId="0" fillId="0" borderId="0" xfId="1" applyNumberFormat="1" applyFont="1" applyAlignment="1">
      <alignment horizontal="center"/>
    </xf>
    <xf numFmtId="2" fontId="0" fillId="0" borderId="0" xfId="0" applyNumberFormat="1" applyAlignment="1">
      <alignment horizontal="center"/>
    </xf>
    <xf numFmtId="0" fontId="0" fillId="0" borderId="0" xfId="0" applyFont="1" applyFill="1"/>
    <xf numFmtId="0" fontId="5" fillId="0" borderId="0" xfId="0" applyFont="1" applyAlignment="1">
      <alignment horizontal="centerContinuous"/>
    </xf>
    <xf numFmtId="0" fontId="6" fillId="0" borderId="0" xfId="0" applyFont="1" applyAlignment="1">
      <alignment horizontal="centerContinuous"/>
    </xf>
    <xf numFmtId="10" fontId="0" fillId="0" borderId="0" xfId="1" applyNumberFormat="1" applyFont="1" applyFill="1" applyAlignment="1">
      <alignment horizontal="center"/>
    </xf>
    <xf numFmtId="0" fontId="0" fillId="0" borderId="0" xfId="0" applyFill="1" applyBorder="1" applyAlignment="1">
      <alignment horizontal="center" wrapText="1"/>
    </xf>
    <xf numFmtId="10" fontId="0" fillId="0" borderId="0" xfId="0" applyNumberFormat="1"/>
    <xf numFmtId="0" fontId="0" fillId="0" borderId="0" xfId="0" applyFill="1"/>
    <xf numFmtId="0" fontId="6" fillId="0" borderId="0" xfId="0" applyFont="1" applyFill="1" applyAlignment="1">
      <alignment horizontal="centerContinuous"/>
    </xf>
    <xf numFmtId="0" fontId="0" fillId="0" borderId="2" xfId="0" applyBorder="1"/>
    <xf numFmtId="0" fontId="0" fillId="0" borderId="2" xfId="0" applyBorder="1" applyAlignment="1">
      <alignment horizontal="center"/>
    </xf>
    <xf numFmtId="0" fontId="0" fillId="0" borderId="4" xfId="0" applyBorder="1" applyAlignment="1">
      <alignment horizontal="centerContinuous"/>
    </xf>
    <xf numFmtId="0" fontId="10" fillId="0" borderId="0" xfId="0" applyFont="1" applyFill="1" applyAlignment="1">
      <alignment horizontal="centerContinuous"/>
    </xf>
    <xf numFmtId="2" fontId="9" fillId="0" borderId="0" xfId="0" applyNumberFormat="1" applyFont="1" applyAlignment="1">
      <alignment horizontal="center"/>
    </xf>
    <xf numFmtId="164" fontId="9" fillId="0" borderId="0" xfId="1" applyNumberFormat="1" applyFont="1" applyAlignment="1">
      <alignment horizontal="center"/>
    </xf>
    <xf numFmtId="164" fontId="9" fillId="0" borderId="0" xfId="1" applyNumberFormat="1" applyFont="1" applyFill="1" applyAlignment="1">
      <alignment horizontal="center"/>
    </xf>
    <xf numFmtId="164" fontId="0" fillId="0" borderId="5" xfId="1" applyNumberFormat="1" applyFont="1" applyBorder="1" applyAlignment="1">
      <alignment horizontal="center"/>
    </xf>
    <xf numFmtId="164" fontId="0" fillId="0" borderId="0" xfId="1" applyNumberFormat="1" applyFont="1" applyBorder="1" applyAlignment="1">
      <alignment horizontal="center"/>
    </xf>
    <xf numFmtId="164" fontId="0" fillId="0" borderId="1" xfId="1" applyNumberFormat="1" applyFont="1" applyBorder="1" applyAlignment="1">
      <alignment horizontal="center"/>
    </xf>
    <xf numFmtId="164" fontId="0" fillId="0" borderId="5" xfId="1" applyNumberFormat="1" applyFont="1" applyFill="1" applyBorder="1" applyAlignment="1">
      <alignment horizontal="center"/>
    </xf>
    <xf numFmtId="164" fontId="0" fillId="0" borderId="0" xfId="0" applyNumberFormat="1" applyFill="1"/>
    <xf numFmtId="0" fontId="11" fillId="0" borderId="0" xfId="0" applyFont="1" applyFill="1"/>
    <xf numFmtId="2" fontId="0" fillId="0" borderId="0" xfId="0" applyNumberFormat="1"/>
    <xf numFmtId="44" fontId="0" fillId="0" borderId="0" xfId="0" applyNumberFormat="1" applyFont="1" applyFill="1"/>
    <xf numFmtId="43" fontId="0" fillId="0" borderId="0" xfId="0" applyNumberFormat="1" applyFont="1" applyFill="1"/>
    <xf numFmtId="0" fontId="0" fillId="0" borderId="0" xfId="0" applyFill="1" applyAlignment="1">
      <alignment horizontal="centerContinuous"/>
    </xf>
    <xf numFmtId="2" fontId="9" fillId="0" borderId="0" xfId="0" applyNumberFormat="1" applyFont="1" applyFill="1" applyAlignment="1">
      <alignment horizontal="center"/>
    </xf>
    <xf numFmtId="0" fontId="0" fillId="0" borderId="0" xfId="0" applyFill="1" applyAlignment="1">
      <alignment horizontal="center"/>
    </xf>
    <xf numFmtId="2" fontId="0" fillId="0" borderId="0" xfId="0" applyNumberFormat="1" applyFill="1" applyAlignment="1">
      <alignment horizontal="center"/>
    </xf>
    <xf numFmtId="165" fontId="0" fillId="0" borderId="0" xfId="0" applyNumberFormat="1"/>
    <xf numFmtId="0" fontId="0" fillId="0" borderId="0" xfId="0"/>
    <xf numFmtId="0" fontId="0" fillId="0" borderId="1" xfId="0" applyBorder="1"/>
    <xf numFmtId="0" fontId="0" fillId="0" borderId="0" xfId="0" applyAlignment="1">
      <alignment horizontal="center"/>
    </xf>
    <xf numFmtId="0" fontId="0" fillId="0" borderId="0" xfId="0" applyAlignment="1">
      <alignment horizontal="centerContinuous"/>
    </xf>
    <xf numFmtId="16" fontId="0" fillId="0" borderId="4" xfId="0" quotePrefix="1" applyNumberFormat="1" applyBorder="1" applyAlignment="1">
      <alignment horizontal="center"/>
    </xf>
    <xf numFmtId="0" fontId="0" fillId="0" borderId="4" xfId="0" quotePrefix="1" applyBorder="1" applyAlignment="1">
      <alignment horizontal="center"/>
    </xf>
    <xf numFmtId="0" fontId="8" fillId="0" borderId="0" xfId="0" applyFont="1" applyFill="1"/>
    <xf numFmtId="0" fontId="0" fillId="0" borderId="1" xfId="0" applyFill="1" applyBorder="1"/>
    <xf numFmtId="0" fontId="0" fillId="0" borderId="0" xfId="0" applyFont="1" applyFill="1" applyAlignment="1">
      <alignment horizontal="center"/>
    </xf>
    <xf numFmtId="10" fontId="7" fillId="0" borderId="0" xfId="1" applyNumberFormat="1" applyFont="1" applyFill="1" applyAlignment="1">
      <alignment horizontal="center"/>
    </xf>
    <xf numFmtId="171" fontId="0" fillId="0" borderId="0" xfId="0" applyNumberFormat="1" applyFont="1" applyFill="1" applyAlignment="1">
      <alignment horizontal="center"/>
    </xf>
    <xf numFmtId="0" fontId="0" fillId="0" borderId="5" xfId="0" applyFill="1" applyBorder="1" applyAlignment="1">
      <alignment horizontal="center"/>
    </xf>
    <xf numFmtId="0" fontId="0" fillId="0" borderId="0" xfId="0" applyFill="1"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center" wrapText="1"/>
    </xf>
    <xf numFmtId="0" fontId="11" fillId="0" borderId="0" xfId="0" applyFont="1"/>
    <xf numFmtId="0" fontId="6" fillId="0" borderId="0" xfId="0" applyFont="1" applyFill="1" applyAlignment="1">
      <alignment horizontal="centerContinuous" wrapText="1"/>
    </xf>
    <xf numFmtId="10" fontId="8" fillId="0" borderId="0" xfId="1" applyNumberFormat="1" applyFont="1" applyFill="1" applyAlignment="1">
      <alignment horizontal="center"/>
    </xf>
    <xf numFmtId="10" fontId="0" fillId="0" borderId="0" xfId="1" applyNumberFormat="1" applyFont="1" applyFill="1" applyBorder="1" applyAlignment="1">
      <alignment horizontal="center"/>
    </xf>
    <xf numFmtId="10" fontId="0" fillId="0" borderId="1" xfId="1" applyNumberFormat="1" applyFont="1" applyFill="1" applyBorder="1" applyAlignment="1">
      <alignment horizontal="center"/>
    </xf>
    <xf numFmtId="10" fontId="8" fillId="0" borderId="0" xfId="0" applyNumberFormat="1" applyFont="1" applyFill="1" applyAlignment="1">
      <alignment horizontal="center"/>
    </xf>
    <xf numFmtId="173" fontId="0" fillId="0" borderId="0" xfId="0" applyNumberFormat="1" applyFont="1"/>
    <xf numFmtId="0" fontId="14" fillId="0" borderId="0" xfId="0" applyFont="1"/>
    <xf numFmtId="2" fontId="14" fillId="0" borderId="0" xfId="0" applyNumberFormat="1" applyFont="1" applyAlignment="1">
      <alignment horizontal="center"/>
    </xf>
    <xf numFmtId="0" fontId="0" fillId="0" borderId="0" xfId="0" applyFont="1" applyFill="1" applyAlignment="1">
      <alignment horizontal="centerContinuous"/>
    </xf>
    <xf numFmtId="0" fontId="13" fillId="0" borderId="0" xfId="3" applyFont="1" applyFill="1"/>
    <xf numFmtId="0" fontId="0" fillId="0" borderId="4" xfId="0" applyFont="1" applyFill="1" applyBorder="1" applyAlignment="1">
      <alignment horizontal="center"/>
    </xf>
    <xf numFmtId="0" fontId="0" fillId="0" borderId="4" xfId="0" applyFont="1" applyFill="1" applyBorder="1" applyAlignment="1">
      <alignment horizontal="center" wrapText="1"/>
    </xf>
    <xf numFmtId="14" fontId="0" fillId="0" borderId="0" xfId="0" applyNumberFormat="1" applyFont="1" applyFill="1"/>
    <xf numFmtId="3" fontId="0" fillId="0" borderId="0" xfId="0" applyNumberFormat="1" applyFont="1" applyFill="1"/>
    <xf numFmtId="0" fontId="0" fillId="0" borderId="0" xfId="0" applyFont="1" applyFill="1" applyAlignment="1">
      <alignment horizontal="right"/>
    </xf>
    <xf numFmtId="167" fontId="0" fillId="0" borderId="0" xfId="0" applyNumberFormat="1" applyFont="1" applyFill="1"/>
    <xf numFmtId="171" fontId="0" fillId="0" borderId="0" xfId="0" applyNumberFormat="1" applyFont="1" applyFill="1"/>
    <xf numFmtId="0" fontId="15" fillId="0" borderId="0" xfId="0" applyFont="1" applyFill="1"/>
    <xf numFmtId="0" fontId="0" fillId="0" borderId="0" xfId="0" applyFont="1" applyAlignment="1">
      <alignment horizontal="centerContinuous"/>
    </xf>
    <xf numFmtId="0" fontId="0" fillId="0" borderId="0" xfId="0" applyFont="1" applyAlignment="1"/>
    <xf numFmtId="0" fontId="0" fillId="0" borderId="4" xfId="0" applyFont="1" applyBorder="1" applyAlignment="1">
      <alignment horizontal="center"/>
    </xf>
    <xf numFmtId="0" fontId="0" fillId="0" borderId="4" xfId="0" applyFont="1" applyBorder="1" applyAlignment="1">
      <alignment horizontal="center" wrapText="1"/>
    </xf>
    <xf numFmtId="169" fontId="9" fillId="0" borderId="0" xfId="0" applyNumberFormat="1" applyFont="1" applyFill="1"/>
    <xf numFmtId="166" fontId="0" fillId="0" borderId="0" xfId="0" applyNumberFormat="1" applyFont="1" applyFill="1"/>
    <xf numFmtId="41" fontId="0" fillId="0" borderId="5" xfId="0" applyNumberFormat="1" applyFont="1" applyBorder="1"/>
    <xf numFmtId="0" fontId="0" fillId="0" borderId="0" xfId="0" applyFont="1" applyBorder="1"/>
    <xf numFmtId="41" fontId="8" fillId="0" borderId="0" xfId="0" applyNumberFormat="1" applyFont="1" applyBorder="1"/>
    <xf numFmtId="41" fontId="0" fillId="0" borderId="1" xfId="0" applyNumberFormat="1" applyFont="1" applyBorder="1"/>
    <xf numFmtId="3" fontId="17" fillId="0" borderId="0" xfId="0" applyNumberFormat="1" applyFont="1"/>
    <xf numFmtId="0" fontId="0" fillId="0" borderId="1" xfId="0" applyFont="1" applyFill="1" applyBorder="1"/>
    <xf numFmtId="0" fontId="0" fillId="0" borderId="1" xfId="0" applyFont="1" applyBorder="1"/>
    <xf numFmtId="0" fontId="0" fillId="0" borderId="0" xfId="0" quotePrefix="1" applyFont="1" applyAlignment="1">
      <alignment horizontal="left" indent="1"/>
    </xf>
    <xf numFmtId="10" fontId="0" fillId="0" borderId="0" xfId="1" applyNumberFormat="1" applyFont="1"/>
    <xf numFmtId="1" fontId="0" fillId="0" borderId="0" xfId="0" applyNumberFormat="1" applyFont="1"/>
    <xf numFmtId="0" fontId="9" fillId="0" borderId="0" xfId="0" applyFont="1" applyFill="1" applyAlignment="1">
      <alignment horizontal="center"/>
    </xf>
    <xf numFmtId="0" fontId="8" fillId="0" borderId="0" xfId="0" applyFont="1" applyFill="1" applyAlignment="1">
      <alignment horizontal="center"/>
    </xf>
    <xf numFmtId="0" fontId="9" fillId="0" borderId="0" xfId="0" quotePrefix="1" applyFont="1" applyFill="1" applyAlignment="1">
      <alignment horizontal="center"/>
    </xf>
    <xf numFmtId="0" fontId="0" fillId="0" borderId="0" xfId="0" applyFont="1" applyFill="1" applyBorder="1"/>
    <xf numFmtId="0" fontId="0" fillId="0" borderId="8" xfId="0" applyFont="1" applyFill="1" applyBorder="1"/>
    <xf numFmtId="0" fontId="0" fillId="0" borderId="6" xfId="0" applyFont="1" applyBorder="1" applyAlignment="1">
      <alignment horizontal="center" wrapText="1"/>
    </xf>
    <xf numFmtId="0" fontId="0" fillId="0" borderId="7" xfId="0" applyFont="1" applyBorder="1" applyAlignment="1">
      <alignment horizontal="center" wrapText="1"/>
    </xf>
    <xf numFmtId="10" fontId="0" fillId="0" borderId="0" xfId="0" applyNumberFormat="1" applyFont="1" applyAlignment="1">
      <alignment horizontal="center"/>
    </xf>
    <xf numFmtId="10" fontId="0" fillId="0" borderId="0" xfId="1" applyNumberFormat="1" applyFont="1" applyAlignment="1">
      <alignment horizontal="center"/>
    </xf>
    <xf numFmtId="2" fontId="0" fillId="0" borderId="0" xfId="0" applyNumberFormat="1" applyFont="1" applyAlignment="1">
      <alignment horizontal="center"/>
    </xf>
    <xf numFmtId="0" fontId="22" fillId="0" borderId="0" xfId="0" applyFont="1" applyAlignment="1">
      <alignment horizontal="centerContinuous"/>
    </xf>
    <xf numFmtId="0" fontId="0" fillId="0" borderId="4" xfId="0" applyFont="1" applyBorder="1"/>
    <xf numFmtId="0" fontId="23" fillId="0" borderId="0" xfId="0" applyFont="1"/>
    <xf numFmtId="10" fontId="23" fillId="0" borderId="0" xfId="0" applyNumberFormat="1" applyFont="1" applyAlignment="1">
      <alignment horizontal="center"/>
    </xf>
    <xf numFmtId="172" fontId="0" fillId="0" borderId="0" xfId="0" applyNumberFormat="1" applyFont="1" applyAlignment="1">
      <alignment horizontal="right"/>
    </xf>
    <xf numFmtId="4" fontId="0" fillId="0" borderId="0" xfId="0" applyNumberFormat="1" applyFont="1" applyAlignment="1">
      <alignment horizontal="right"/>
    </xf>
    <xf numFmtId="37" fontId="0" fillId="0" borderId="0" xfId="0" applyNumberFormat="1" applyFont="1" applyAlignment="1">
      <alignment horizontal="right"/>
    </xf>
    <xf numFmtId="170" fontId="0" fillId="0" borderId="0" xfId="0" applyNumberFormat="1" applyFont="1" applyFill="1" applyAlignment="1">
      <alignment horizontal="right"/>
    </xf>
    <xf numFmtId="10" fontId="0" fillId="0" borderId="0" xfId="0" applyNumberFormat="1" applyFont="1" applyAlignment="1">
      <alignment horizontal="right"/>
    </xf>
    <xf numFmtId="170" fontId="0" fillId="0" borderId="0" xfId="0" applyNumberFormat="1" applyFont="1" applyAlignment="1">
      <alignment horizontal="right"/>
    </xf>
    <xf numFmtId="0" fontId="0" fillId="0" borderId="0" xfId="0" applyFont="1" applyAlignment="1">
      <alignment horizontal="right"/>
    </xf>
    <xf numFmtId="0" fontId="24" fillId="0" borderId="0" xfId="2" applyFont="1" applyFill="1"/>
    <xf numFmtId="0" fontId="19" fillId="0" borderId="9" xfId="2" applyFont="1" applyFill="1" applyBorder="1"/>
    <xf numFmtId="0" fontId="19" fillId="0" borderId="9" xfId="2" applyFont="1" applyFill="1" applyBorder="1" applyAlignment="1">
      <alignment horizontal="center"/>
    </xf>
    <xf numFmtId="0" fontId="19" fillId="0" borderId="1" xfId="2" applyFont="1" applyFill="1" applyBorder="1"/>
    <xf numFmtId="0" fontId="19" fillId="0" borderId="1" xfId="2" applyFont="1" applyFill="1" applyBorder="1" applyAlignment="1">
      <alignment horizontal="center"/>
    </xf>
    <xf numFmtId="0" fontId="19" fillId="0" borderId="0" xfId="2" applyFont="1" applyFill="1" applyBorder="1"/>
    <xf numFmtId="0" fontId="19" fillId="0" borderId="5" xfId="2" applyFont="1" applyFill="1" applyBorder="1" applyAlignment="1">
      <alignment horizontal="center"/>
    </xf>
    <xf numFmtId="4" fontId="19" fillId="0" borderId="0" xfId="2" applyNumberFormat="1" applyFont="1" applyFill="1" applyBorder="1" applyAlignment="1">
      <alignment horizontal="center"/>
    </xf>
    <xf numFmtId="4" fontId="19" fillId="0" borderId="0" xfId="2" applyNumberFormat="1" applyFont="1" applyFill="1" applyAlignment="1">
      <alignment horizontal="center"/>
    </xf>
    <xf numFmtId="0" fontId="19" fillId="0" borderId="0" xfId="2" applyFont="1" applyFill="1"/>
    <xf numFmtId="4" fontId="19" fillId="0" borderId="10" xfId="2" applyNumberFormat="1" applyFont="1" applyFill="1" applyBorder="1" applyAlignment="1">
      <alignment horizontal="left"/>
    </xf>
    <xf numFmtId="4" fontId="19" fillId="0" borderId="10" xfId="2" applyNumberFormat="1" applyFont="1" applyFill="1" applyBorder="1" applyAlignment="1">
      <alignment horizontal="center"/>
    </xf>
    <xf numFmtId="0" fontId="0" fillId="0" borderId="0" xfId="2" applyFont="1" applyFill="1"/>
    <xf numFmtId="0" fontId="0" fillId="0" borderId="1" xfId="0" applyFont="1" applyFill="1" applyBorder="1" applyAlignment="1">
      <alignment horizontal="center"/>
    </xf>
    <xf numFmtId="0" fontId="0" fillId="0" borderId="0" xfId="0" applyFont="1" applyFill="1" applyBorder="1" applyAlignment="1"/>
    <xf numFmtId="0" fontId="0" fillId="0" borderId="0" xfId="0" applyFont="1" applyFill="1" applyBorder="1" applyAlignment="1">
      <alignment horizontal="center"/>
    </xf>
    <xf numFmtId="0" fontId="19" fillId="0" borderId="0" xfId="0" applyFont="1" applyFill="1" applyBorder="1" applyAlignment="1">
      <alignment horizont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8" fillId="0" borderId="0" xfId="0" applyFont="1" applyFill="1" applyBorder="1" applyAlignment="1"/>
    <xf numFmtId="0" fontId="25" fillId="0" borderId="0" xfId="0" applyFont="1"/>
    <xf numFmtId="164" fontId="0" fillId="0" borderId="0" xfId="0" applyNumberFormat="1"/>
    <xf numFmtId="0" fontId="0" fillId="0" borderId="0" xfId="0" applyFont="1" applyFill="1" applyAlignment="1">
      <alignment horizontal="left" indent="1"/>
    </xf>
    <xf numFmtId="168" fontId="9" fillId="0" borderId="0" xfId="0" applyNumberFormat="1" applyFont="1" applyFill="1" applyAlignment="1">
      <alignment horizontal="center"/>
    </xf>
    <xf numFmtId="2" fontId="0" fillId="0" borderId="0" xfId="0" applyNumberFormat="1" applyFont="1" applyFill="1" applyAlignment="1">
      <alignment horizontal="center"/>
    </xf>
    <xf numFmtId="174" fontId="0" fillId="0" borderId="0" xfId="0" applyNumberFormat="1" applyFont="1" applyFill="1"/>
    <xf numFmtId="175" fontId="9" fillId="0" borderId="0" xfId="4" applyNumberFormat="1" applyFont="1" applyFill="1"/>
    <xf numFmtId="0" fontId="0" fillId="0" borderId="0" xfId="5" applyFont="1" applyAlignment="1">
      <alignment horizontal="centerContinuous"/>
    </xf>
    <xf numFmtId="0" fontId="12" fillId="0" borderId="0" xfId="5" applyAlignment="1">
      <alignment horizontal="centerContinuous"/>
    </xf>
    <xf numFmtId="0" fontId="12" fillId="0" borderId="0" xfId="5"/>
    <xf numFmtId="0" fontId="19" fillId="0" borderId="0" xfId="5" applyFont="1"/>
    <xf numFmtId="0" fontId="7" fillId="0" borderId="0" xfId="5" applyFont="1" applyAlignment="1">
      <alignment horizontal="center"/>
    </xf>
    <xf numFmtId="0" fontId="19" fillId="0" borderId="4" xfId="5" applyFont="1" applyBorder="1"/>
    <xf numFmtId="0" fontId="7" fillId="0" borderId="4" xfId="5" applyFont="1" applyFill="1" applyBorder="1" applyAlignment="1">
      <alignment horizontal="center" wrapText="1"/>
    </xf>
    <xf numFmtId="0" fontId="7" fillId="0" borderId="4" xfId="5" applyFont="1" applyBorder="1" applyAlignment="1">
      <alignment horizontal="center" wrapText="1"/>
    </xf>
    <xf numFmtId="0" fontId="19" fillId="0" borderId="0" xfId="5" applyFont="1" applyBorder="1"/>
    <xf numFmtId="0" fontId="7" fillId="0" borderId="0" xfId="5" applyFont="1" applyBorder="1" applyAlignment="1">
      <alignment horizontal="center" wrapText="1"/>
    </xf>
    <xf numFmtId="0" fontId="19" fillId="0" borderId="0" xfId="5" applyNumberFormat="1" applyFont="1" applyAlignment="1">
      <alignment horizontal="center"/>
    </xf>
    <xf numFmtId="10" fontId="7" fillId="0" borderId="0" xfId="5" applyNumberFormat="1" applyFont="1" applyAlignment="1">
      <alignment horizontal="center"/>
    </xf>
    <xf numFmtId="0" fontId="19" fillId="0" borderId="0" xfId="5" applyNumberFormat="1" applyFont="1" applyBorder="1" applyAlignment="1">
      <alignment horizontal="center"/>
    </xf>
    <xf numFmtId="0" fontId="19" fillId="0" borderId="0" xfId="5" applyFont="1" applyBorder="1" applyAlignment="1">
      <alignment horizontal="center"/>
    </xf>
    <xf numFmtId="0" fontId="12" fillId="0" borderId="0" xfId="5" applyBorder="1"/>
    <xf numFmtId="0" fontId="27" fillId="0" borderId="0" xfId="5" applyFont="1" applyFill="1" applyBorder="1" applyAlignment="1">
      <alignment horizontal="centerContinuous"/>
    </xf>
    <xf numFmtId="0" fontId="12" fillId="0" borderId="0" xfId="5" applyFill="1" applyBorder="1" applyAlignment="1"/>
    <xf numFmtId="176" fontId="12" fillId="0" borderId="0" xfId="5" applyNumberFormat="1" applyFill="1" applyBorder="1" applyAlignment="1">
      <alignment horizontal="center"/>
    </xf>
    <xf numFmtId="0" fontId="12" fillId="0" borderId="0" xfId="5" applyFill="1" applyBorder="1" applyAlignment="1">
      <alignment horizontal="center"/>
    </xf>
    <xf numFmtId="0" fontId="27" fillId="0" borderId="0" xfId="5" applyFont="1" applyFill="1" applyBorder="1" applyAlignment="1">
      <alignment horizontal="center"/>
    </xf>
    <xf numFmtId="0" fontId="19" fillId="0" borderId="0" xfId="5" applyFont="1" applyAlignment="1">
      <alignment horizontal="center"/>
    </xf>
    <xf numFmtId="0" fontId="19" fillId="0" borderId="1" xfId="5" applyFont="1" applyBorder="1"/>
    <xf numFmtId="0" fontId="19" fillId="0" borderId="1" xfId="5" applyFont="1" applyBorder="1" applyAlignment="1">
      <alignment horizontal="center"/>
    </xf>
    <xf numFmtId="0" fontId="7" fillId="0" borderId="0" xfId="5" applyFont="1"/>
    <xf numFmtId="10" fontId="19" fillId="0" borderId="0" xfId="7" applyNumberFormat="1" applyFont="1" applyAlignment="1">
      <alignment horizontal="center"/>
    </xf>
    <xf numFmtId="10" fontId="19" fillId="0" borderId="0" xfId="5" applyNumberFormat="1" applyFont="1" applyAlignment="1">
      <alignment horizontal="center"/>
    </xf>
    <xf numFmtId="10" fontId="19" fillId="0" borderId="0" xfId="7" applyNumberFormat="1" applyFont="1" applyBorder="1" applyAlignment="1">
      <alignment horizontal="center"/>
    </xf>
    <xf numFmtId="10" fontId="19" fillId="0" borderId="0" xfId="5" applyNumberFormat="1" applyFont="1" applyBorder="1" applyAlignment="1">
      <alignment horizontal="center"/>
    </xf>
    <xf numFmtId="0" fontId="7" fillId="0" borderId="10" xfId="5" applyFont="1" applyBorder="1" applyAlignment="1">
      <alignment horizontal="left"/>
    </xf>
    <xf numFmtId="0" fontId="19" fillId="0" borderId="10" xfId="5" applyFont="1" applyBorder="1"/>
    <xf numFmtId="10" fontId="19" fillId="0" borderId="10" xfId="7" applyNumberFormat="1" applyFont="1" applyBorder="1" applyAlignment="1">
      <alignment horizontal="center"/>
    </xf>
    <xf numFmtId="0" fontId="7" fillId="0" borderId="1" xfId="5" applyFont="1" applyFill="1" applyBorder="1" applyAlignment="1">
      <alignment horizontal="left"/>
    </xf>
    <xf numFmtId="10" fontId="19" fillId="0" borderId="0" xfId="5" applyNumberFormat="1" applyFont="1"/>
    <xf numFmtId="0" fontId="7" fillId="0" borderId="0" xfId="5" applyFont="1" applyFill="1" applyBorder="1" applyAlignment="1">
      <alignment horizontal="left"/>
    </xf>
    <xf numFmtId="10" fontId="7" fillId="0" borderId="0" xfId="5" applyNumberFormat="1" applyFont="1" applyFill="1" applyAlignment="1">
      <alignment horizontal="center"/>
    </xf>
    <xf numFmtId="0" fontId="7" fillId="0" borderId="5" xfId="5" applyFont="1" applyBorder="1" applyAlignment="1">
      <alignment horizontal="center"/>
    </xf>
    <xf numFmtId="10" fontId="19" fillId="0" borderId="5" xfId="5" applyNumberFormat="1" applyFont="1" applyBorder="1" applyAlignment="1">
      <alignment horizontal="center"/>
    </xf>
    <xf numFmtId="0" fontId="7" fillId="0" borderId="9" xfId="5" applyFont="1" applyBorder="1" applyAlignment="1">
      <alignment horizontal="center"/>
    </xf>
    <xf numFmtId="10" fontId="19" fillId="0" borderId="9" xfId="5" applyNumberFormat="1" applyFont="1" applyBorder="1" applyAlignment="1">
      <alignment horizontal="center"/>
    </xf>
    <xf numFmtId="0" fontId="0" fillId="0" borderId="0" xfId="5" applyFont="1" applyFill="1" applyBorder="1" applyAlignment="1">
      <alignment horizontal="left"/>
    </xf>
    <xf numFmtId="0" fontId="0" fillId="0" borderId="0" xfId="0" applyFill="1" applyBorder="1" applyAlignment="1"/>
    <xf numFmtId="0" fontId="0" fillId="0" borderId="9" xfId="0" applyFill="1" applyBorder="1" applyAlignment="1"/>
    <xf numFmtId="0" fontId="26" fillId="0" borderId="4" xfId="0" applyFont="1" applyFill="1" applyBorder="1" applyAlignment="1">
      <alignment horizontal="center"/>
    </xf>
    <xf numFmtId="0" fontId="26" fillId="0" borderId="4" xfId="0" applyFont="1" applyFill="1" applyBorder="1" applyAlignment="1">
      <alignment horizontal="centerContinuous"/>
    </xf>
    <xf numFmtId="14" fontId="0" fillId="0" borderId="0" xfId="0" applyNumberFormat="1"/>
    <xf numFmtId="169" fontId="0" fillId="0" borderId="0" xfId="0" applyNumberFormat="1" applyFont="1" applyFill="1"/>
    <xf numFmtId="0" fontId="26" fillId="0" borderId="0" xfId="0" applyFont="1" applyFill="1" applyAlignment="1">
      <alignment horizontal="center"/>
    </xf>
    <xf numFmtId="0" fontId="26" fillId="0" borderId="0" xfId="0" applyFont="1" applyFill="1" applyBorder="1" applyAlignment="1">
      <alignment horizontal="center"/>
    </xf>
    <xf numFmtId="0" fontId="26" fillId="0" borderId="11" xfId="0" applyFont="1" applyFill="1" applyBorder="1" applyAlignment="1">
      <alignment horizontal="center"/>
    </xf>
    <xf numFmtId="0" fontId="26" fillId="0" borderId="5" xfId="0" applyFont="1" applyFill="1" applyBorder="1" applyAlignment="1">
      <alignment horizontal="center"/>
    </xf>
    <xf numFmtId="0" fontId="26" fillId="0" borderId="12" xfId="0" applyFont="1" applyFill="1" applyBorder="1" applyAlignment="1">
      <alignment horizontal="center"/>
    </xf>
    <xf numFmtId="0" fontId="26" fillId="0" borderId="13" xfId="0" applyFont="1" applyFill="1" applyBorder="1" applyAlignment="1">
      <alignment horizontal="center"/>
    </xf>
    <xf numFmtId="0" fontId="26" fillId="0" borderId="14" xfId="0" applyFont="1" applyFill="1" applyBorder="1" applyAlignment="1">
      <alignment horizontal="center"/>
    </xf>
    <xf numFmtId="0" fontId="26" fillId="0" borderId="15" xfId="0" applyFont="1" applyFill="1" applyBorder="1" applyAlignment="1">
      <alignment horizontal="center"/>
    </xf>
    <xf numFmtId="0" fontId="26" fillId="0" borderId="1" xfId="0" applyFont="1" applyFill="1" applyBorder="1" applyAlignment="1">
      <alignment horizontal="center"/>
    </xf>
    <xf numFmtId="0" fontId="26" fillId="0" borderId="16" xfId="0" applyFont="1" applyFill="1" applyBorder="1" applyAlignment="1">
      <alignment horizontal="center"/>
    </xf>
    <xf numFmtId="0" fontId="26" fillId="0" borderId="3" xfId="0" applyFont="1" applyFill="1" applyBorder="1" applyAlignment="1">
      <alignment horizontal="center" wrapText="1"/>
    </xf>
    <xf numFmtId="0" fontId="26" fillId="0" borderId="3" xfId="0" applyFont="1" applyFill="1" applyBorder="1" applyAlignment="1">
      <alignment horizontal="center"/>
    </xf>
    <xf numFmtId="0" fontId="6" fillId="0" borderId="9" xfId="0" applyFont="1" applyBorder="1" applyAlignment="1">
      <alignment horizontal="centerContinuous"/>
    </xf>
    <xf numFmtId="0" fontId="0" fillId="0" borderId="9" xfId="0" applyFont="1" applyBorder="1" applyAlignment="1">
      <alignment horizontal="centerContinuous"/>
    </xf>
    <xf numFmtId="0" fontId="0" fillId="0" borderId="0" xfId="0" applyFont="1" applyBorder="1" applyAlignment="1"/>
    <xf numFmtId="0" fontId="19" fillId="0" borderId="0" xfId="9" applyFont="1" applyFill="1" applyBorder="1" applyAlignment="1">
      <alignment horizontal="center"/>
    </xf>
    <xf numFmtId="0" fontId="19" fillId="0" borderId="1" xfId="9" applyFont="1" applyFill="1" applyBorder="1" applyAlignment="1">
      <alignment horizontal="center"/>
    </xf>
    <xf numFmtId="0" fontId="19" fillId="0" borderId="0" xfId="9" applyFont="1" applyFill="1" applyAlignment="1">
      <alignment horizontal="center" vertical="center"/>
    </xf>
    <xf numFmtId="0" fontId="19" fillId="0" borderId="0" xfId="9" applyFont="1" applyFill="1" applyAlignment="1">
      <alignment horizontal="center"/>
    </xf>
    <xf numFmtId="0" fontId="7" fillId="0" borderId="0" xfId="9" applyFont="1" applyFill="1" applyAlignment="1">
      <alignment horizontal="center"/>
    </xf>
    <xf numFmtId="0" fontId="0" fillId="0" borderId="5" xfId="0" applyFont="1" applyFill="1" applyBorder="1" applyAlignment="1">
      <alignment vertical="center"/>
    </xf>
    <xf numFmtId="0" fontId="0" fillId="0" borderId="5" xfId="0" applyFont="1" applyFill="1" applyBorder="1" applyAlignment="1"/>
    <xf numFmtId="0" fontId="12" fillId="0" borderId="5" xfId="9" applyFill="1" applyBorder="1" applyAlignment="1">
      <alignment horizontal="center"/>
    </xf>
    <xf numFmtId="0" fontId="8" fillId="0" borderId="9" xfId="0" applyFont="1" applyFill="1" applyBorder="1" applyAlignment="1"/>
    <xf numFmtId="0" fontId="0" fillId="0" borderId="9" xfId="0" applyFont="1" applyFill="1" applyBorder="1" applyAlignment="1"/>
    <xf numFmtId="164" fontId="19" fillId="0" borderId="9" xfId="9" applyNumberFormat="1" applyFont="1" applyFill="1" applyBorder="1" applyAlignment="1">
      <alignment horizontal="center"/>
    </xf>
    <xf numFmtId="164" fontId="12" fillId="0" borderId="0" xfId="9" applyNumberFormat="1" applyFill="1" applyBorder="1" applyAlignment="1">
      <alignment horizontal="center"/>
    </xf>
    <xf numFmtId="12" fontId="0" fillId="0" borderId="4" xfId="0" quotePrefix="1" applyNumberFormat="1" applyBorder="1" applyAlignment="1">
      <alignment horizontal="center"/>
    </xf>
    <xf numFmtId="0" fontId="7" fillId="0" borderId="1" xfId="8" applyFont="1" applyBorder="1" applyAlignment="1">
      <alignment horizontal="centerContinuous"/>
    </xf>
    <xf numFmtId="0" fontId="0" fillId="0" borderId="1" xfId="8" applyFont="1" applyBorder="1" applyAlignment="1">
      <alignment horizontal="centerContinuous"/>
    </xf>
    <xf numFmtId="0" fontId="7" fillId="0" borderId="0" xfId="8" applyFont="1" applyBorder="1"/>
    <xf numFmtId="0" fontId="7" fillId="0" borderId="1" xfId="8" applyFont="1" applyBorder="1" applyAlignment="1">
      <alignment horizontal="center"/>
    </xf>
    <xf numFmtId="0" fontId="0" fillId="0" borderId="1" xfId="8" applyFont="1" applyBorder="1" applyAlignment="1">
      <alignment horizontal="center"/>
    </xf>
    <xf numFmtId="2" fontId="7" fillId="0" borderId="0" xfId="8" applyNumberFormat="1" applyFont="1" applyFill="1" applyAlignment="1">
      <alignment horizontal="center"/>
    </xf>
    <xf numFmtId="10" fontId="7" fillId="0" borderId="0" xfId="8" applyNumberFormat="1" applyFont="1" applyFill="1" applyAlignment="1">
      <alignment horizontal="center"/>
    </xf>
    <xf numFmtId="10" fontId="7" fillId="0" borderId="0" xfId="8" applyNumberFormat="1" applyFont="1" applyFill="1" applyBorder="1" applyAlignment="1">
      <alignment horizontal="center"/>
    </xf>
    <xf numFmtId="10" fontId="7" fillId="0" borderId="0" xfId="8" applyNumberFormat="1" applyFont="1" applyAlignment="1">
      <alignment horizontal="center"/>
    </xf>
    <xf numFmtId="2" fontId="7" fillId="0" borderId="0" xfId="8" applyNumberFormat="1" applyFont="1" applyAlignment="1">
      <alignment horizontal="center"/>
    </xf>
    <xf numFmtId="10" fontId="7" fillId="0" borderId="0" xfId="8" applyNumberFormat="1" applyFont="1" applyBorder="1" applyAlignment="1">
      <alignment horizontal="center"/>
    </xf>
    <xf numFmtId="2" fontId="0" fillId="0" borderId="0" xfId="8" applyNumberFormat="1" applyFont="1" applyFill="1" applyAlignment="1">
      <alignment horizontal="center"/>
    </xf>
    <xf numFmtId="10" fontId="0" fillId="0" borderId="0" xfId="8" applyNumberFormat="1" applyFont="1" applyFill="1" applyAlignment="1">
      <alignment horizontal="center"/>
    </xf>
    <xf numFmtId="0" fontId="0" fillId="0" borderId="0" xfId="8" applyFont="1" applyFill="1" applyAlignment="1">
      <alignment horizontal="center"/>
    </xf>
    <xf numFmtId="10" fontId="0" fillId="0" borderId="0" xfId="8" applyNumberFormat="1" applyFont="1" applyFill="1" applyBorder="1" applyAlignment="1">
      <alignment horizontal="center"/>
    </xf>
    <xf numFmtId="10" fontId="0" fillId="0" borderId="1" xfId="8" applyNumberFormat="1" applyFont="1" applyBorder="1" applyAlignment="1">
      <alignment horizontal="centerContinuous"/>
    </xf>
    <xf numFmtId="0" fontId="0" fillId="0" borderId="0" xfId="8" applyFont="1" applyBorder="1" applyAlignment="1">
      <alignment horizontal="center"/>
    </xf>
    <xf numFmtId="0" fontId="0" fillId="0" borderId="1" xfId="8" applyFont="1" applyBorder="1" applyAlignment="1">
      <alignment horizontal="center" wrapText="1"/>
    </xf>
    <xf numFmtId="0" fontId="29" fillId="0" borderId="0" xfId="0" applyFont="1" applyAlignment="1">
      <alignment horizontal="center"/>
    </xf>
    <xf numFmtId="0" fontId="30" fillId="0" borderId="0" xfId="0" applyFont="1"/>
    <xf numFmtId="0" fontId="24" fillId="0" borderId="0" xfId="5" applyFont="1" applyFill="1"/>
    <xf numFmtId="0" fontId="19" fillId="0" borderId="0" xfId="5" applyFont="1" applyFill="1" applyBorder="1"/>
    <xf numFmtId="0" fontId="19" fillId="0" borderId="0" xfId="5" applyFont="1" applyFill="1" applyBorder="1" applyAlignment="1">
      <alignment horizontal="center"/>
    </xf>
    <xf numFmtId="0" fontId="19" fillId="0" borderId="3" xfId="5" applyFont="1" applyFill="1" applyBorder="1" applyAlignment="1"/>
    <xf numFmtId="0" fontId="19" fillId="0" borderId="17" xfId="5" applyFont="1" applyFill="1" applyBorder="1" applyAlignment="1">
      <alignment horizontal="center" wrapText="1"/>
    </xf>
    <xf numFmtId="0" fontId="19" fillId="0" borderId="18" xfId="5" applyFont="1" applyFill="1" applyBorder="1" applyAlignment="1">
      <alignment horizontal="center" wrapText="1"/>
    </xf>
    <xf numFmtId="0" fontId="19" fillId="0" borderId="0" xfId="5" applyFont="1" applyFill="1" applyAlignment="1">
      <alignment wrapText="1"/>
    </xf>
    <xf numFmtId="0" fontId="24" fillId="0" borderId="0" xfId="5" applyFont="1" applyFill="1" applyBorder="1"/>
    <xf numFmtId="0" fontId="24" fillId="0" borderId="0" xfId="5" applyFont="1" applyFill="1" applyBorder="1" applyAlignment="1">
      <alignment horizontal="center"/>
    </xf>
    <xf numFmtId="10" fontId="19" fillId="0" borderId="0" xfId="1" applyNumberFormat="1" applyFont="1" applyFill="1" applyAlignment="1">
      <alignment horizontal="right"/>
    </xf>
    <xf numFmtId="2" fontId="19" fillId="0" borderId="0" xfId="5" applyNumberFormat="1" applyFont="1" applyFill="1" applyBorder="1" applyAlignment="1">
      <alignment horizontal="right"/>
    </xf>
    <xf numFmtId="10" fontId="19" fillId="0" borderId="0" xfId="1" applyNumberFormat="1" applyFont="1" applyFill="1"/>
    <xf numFmtId="0" fontId="19" fillId="0" borderId="0" xfId="5" applyFont="1" applyFill="1"/>
    <xf numFmtId="10" fontId="24" fillId="0" borderId="0" xfId="1" applyNumberFormat="1" applyFont="1" applyFill="1"/>
    <xf numFmtId="0" fontId="23" fillId="0" borderId="0" xfId="5" applyFont="1" applyFill="1"/>
    <xf numFmtId="10" fontId="23" fillId="0" borderId="0" xfId="1" applyNumberFormat="1" applyFont="1" applyFill="1"/>
    <xf numFmtId="0" fontId="24" fillId="0" borderId="1" xfId="5" applyFont="1" applyFill="1" applyBorder="1" applyAlignment="1">
      <alignment wrapText="1"/>
    </xf>
    <xf numFmtId="0" fontId="31" fillId="0" borderId="0" xfId="5" applyFont="1" applyFill="1" applyAlignment="1">
      <alignment wrapText="1"/>
    </xf>
    <xf numFmtId="0" fontId="30" fillId="0" borderId="0" xfId="5" applyFont="1" applyFill="1"/>
    <xf numFmtId="0" fontId="24" fillId="0" borderId="0" xfId="5" applyFont="1" applyFill="1" applyAlignment="1">
      <alignment horizontal="center" wrapText="1"/>
    </xf>
    <xf numFmtId="0" fontId="30" fillId="0" borderId="0" xfId="0" applyFont="1" applyAlignment="1">
      <alignment horizontal="centerContinuous"/>
    </xf>
    <xf numFmtId="0" fontId="19" fillId="0" borderId="0" xfId="5" applyFont="1" applyFill="1" applyAlignment="1">
      <alignment horizontal="center"/>
    </xf>
    <xf numFmtId="0" fontId="19" fillId="0" borderId="17" xfId="5" applyFont="1" applyFill="1" applyBorder="1" applyAlignment="1">
      <alignment horizontal="center"/>
    </xf>
    <xf numFmtId="0" fontId="19" fillId="0" borderId="0" xfId="5" applyFont="1" applyFill="1" applyAlignment="1"/>
    <xf numFmtId="0" fontId="29" fillId="0" borderId="0" xfId="5" applyFont="1" applyFill="1" applyBorder="1" applyAlignment="1">
      <alignment horizontal="center" wrapText="1"/>
    </xf>
    <xf numFmtId="0" fontId="29" fillId="0" borderId="0" xfId="5" applyFont="1" applyFill="1" applyBorder="1" applyAlignment="1">
      <alignment horizontal="center"/>
    </xf>
    <xf numFmtId="43" fontId="19" fillId="0" borderId="0" xfId="10" applyNumberFormat="1" applyFont="1" applyFill="1"/>
    <xf numFmtId="44" fontId="19" fillId="0" borderId="0" xfId="4" applyFont="1" applyFill="1"/>
    <xf numFmtId="43" fontId="7" fillId="0" borderId="0" xfId="0" applyNumberFormat="1" applyFont="1"/>
    <xf numFmtId="10" fontId="30" fillId="0" borderId="0" xfId="1" applyNumberFormat="1" applyFont="1" applyFill="1"/>
    <xf numFmtId="10" fontId="23" fillId="0" borderId="0" xfId="1" applyNumberFormat="1" applyFont="1" applyFill="1" applyAlignment="1">
      <alignment horizontal="center"/>
    </xf>
    <xf numFmtId="0" fontId="24" fillId="0" borderId="1" xfId="5" applyFont="1" applyFill="1" applyBorder="1"/>
    <xf numFmtId="10" fontId="29" fillId="0" borderId="0" xfId="1" applyNumberFormat="1" applyFont="1" applyFill="1"/>
    <xf numFmtId="0" fontId="0" fillId="0" borderId="0" xfId="0" applyFont="1" applyFill="1" applyAlignment="1"/>
    <xf numFmtId="0" fontId="0" fillId="0" borderId="2" xfId="0" applyFont="1" applyFill="1" applyBorder="1"/>
    <xf numFmtId="0" fontId="0" fillId="0" borderId="2" xfId="0" applyFont="1" applyFill="1" applyBorder="1" applyAlignment="1">
      <alignment horizontal="center"/>
    </xf>
    <xf numFmtId="0" fontId="0" fillId="0" borderId="5" xfId="0" applyFont="1" applyFill="1" applyBorder="1"/>
    <xf numFmtId="0" fontId="0" fillId="0" borderId="3" xfId="0" applyFont="1" applyFill="1" applyBorder="1" applyAlignment="1">
      <alignment horizontal="centerContinuous"/>
    </xf>
    <xf numFmtId="0" fontId="0" fillId="0" borderId="5" xfId="0" applyFont="1" applyFill="1" applyBorder="1" applyAlignment="1">
      <alignment horizontal="center"/>
    </xf>
    <xf numFmtId="2" fontId="0" fillId="0" borderId="0" xfId="0" applyNumberFormat="1" applyFont="1"/>
    <xf numFmtId="2" fontId="32" fillId="0" borderId="0" xfId="8" applyNumberFormat="1" applyFont="1" applyFill="1" applyAlignment="1">
      <alignment horizontal="center"/>
    </xf>
    <xf numFmtId="171" fontId="32" fillId="0" borderId="0" xfId="0" applyNumberFormat="1" applyFont="1" applyFill="1" applyAlignment="1">
      <alignment horizontal="center"/>
    </xf>
    <xf numFmtId="10" fontId="32" fillId="0" borderId="0" xfId="1" applyNumberFormat="1" applyFont="1" applyFill="1" applyAlignment="1">
      <alignment horizontal="center"/>
    </xf>
    <xf numFmtId="0" fontId="12" fillId="0" borderId="9" xfId="9" applyFill="1" applyBorder="1" applyAlignment="1">
      <alignment horizontal="centerContinuous"/>
    </xf>
    <xf numFmtId="178" fontId="19" fillId="0" borderId="0" xfId="10" applyNumberFormat="1" applyFont="1" applyFill="1"/>
    <xf numFmtId="177" fontId="19" fillId="0" borderId="0" xfId="4" applyNumberFormat="1" applyFont="1" applyFill="1" applyAlignment="1">
      <alignment horizontal="center"/>
    </xf>
    <xf numFmtId="0" fontId="19" fillId="0" borderId="3" xfId="5" applyFont="1" applyFill="1" applyBorder="1" applyAlignment="1">
      <alignment horizontal="center"/>
    </xf>
    <xf numFmtId="0" fontId="19" fillId="0" borderId="19" xfId="5" applyFont="1" applyFill="1" applyBorder="1" applyAlignment="1">
      <alignment horizontal="center"/>
    </xf>
    <xf numFmtId="0" fontId="0" fillId="0" borderId="0" xfId="0" quotePrefix="1" applyFont="1" applyFill="1" applyAlignment="1">
      <alignment horizontal="left"/>
    </xf>
    <xf numFmtId="166" fontId="18" fillId="0" borderId="0" xfId="0" applyNumberFormat="1" applyFont="1" applyFill="1"/>
    <xf numFmtId="0" fontId="0" fillId="0" borderId="0" xfId="5" applyFont="1" applyFill="1"/>
    <xf numFmtId="10" fontId="19" fillId="0" borderId="0" xfId="7" applyNumberFormat="1" applyFont="1" applyFill="1" applyAlignment="1">
      <alignment horizontal="center"/>
    </xf>
    <xf numFmtId="0" fontId="0" fillId="0" borderId="0" xfId="5" applyFont="1" applyFill="1" applyBorder="1"/>
    <xf numFmtId="0" fontId="0" fillId="0" borderId="9" xfId="0" applyBorder="1" applyAlignment="1">
      <alignment horizontal="center"/>
    </xf>
    <xf numFmtId="0" fontId="23" fillId="0" borderId="0" xfId="11" applyFont="1" applyAlignment="1">
      <alignment horizontal="right" vertical="center"/>
    </xf>
    <xf numFmtId="0" fontId="1" fillId="0" borderId="0" xfId="11"/>
    <xf numFmtId="0" fontId="19" fillId="0" borderId="0" xfId="11" applyFont="1" applyAlignment="1">
      <alignment horizontal="right" vertical="center"/>
    </xf>
    <xf numFmtId="0" fontId="19" fillId="0" borderId="0" xfId="11" applyFont="1" applyBorder="1" applyAlignment="1">
      <alignment horizontal="right" vertical="center"/>
    </xf>
    <xf numFmtId="0" fontId="23" fillId="0" borderId="0" xfId="11" applyFont="1" applyBorder="1" applyAlignment="1">
      <alignment horizontal="center" vertical="center"/>
    </xf>
    <xf numFmtId="0" fontId="33" fillId="0" borderId="0" xfId="11" applyFont="1" applyBorder="1" applyAlignment="1">
      <alignment horizontal="center" vertical="center"/>
    </xf>
    <xf numFmtId="15" fontId="23" fillId="0" borderId="0" xfId="11" applyNumberFormat="1" applyFont="1" applyBorder="1" applyAlignment="1">
      <alignment horizontal="center" vertical="center"/>
    </xf>
    <xf numFmtId="0" fontId="34" fillId="0" borderId="0" xfId="11" applyFont="1" applyBorder="1" applyAlignment="1">
      <alignment vertical="center"/>
    </xf>
    <xf numFmtId="0" fontId="1" fillId="0" borderId="0" xfId="11" applyBorder="1"/>
    <xf numFmtId="0" fontId="5" fillId="0" borderId="0" xfId="0" applyFont="1" applyAlignment="1">
      <alignment horizontal="center"/>
    </xf>
    <xf numFmtId="0" fontId="6" fillId="0" borderId="0" xfId="0" applyFont="1" applyAlignment="1">
      <alignment horizontal="center"/>
    </xf>
    <xf numFmtId="0" fontId="28" fillId="0" borderId="0" xfId="0" applyFont="1" applyAlignment="1">
      <alignment horizontal="center"/>
    </xf>
    <xf numFmtId="0" fontId="22" fillId="0" borderId="0" xfId="0" applyFont="1" applyAlignment="1">
      <alignment horizontal="center"/>
    </xf>
    <xf numFmtId="0" fontId="22" fillId="0" borderId="0" xfId="0" applyFont="1" applyFill="1" applyAlignment="1">
      <alignment horizontal="center"/>
    </xf>
  </cellXfs>
  <cellStyles count="12">
    <cellStyle name="Comma" xfId="10" builtinId="3"/>
    <cellStyle name="Comma 4" xfId="6"/>
    <cellStyle name="Currency" xfId="4" builtinId="4"/>
    <cellStyle name="Hyperlink" xfId="3" builtinId="8"/>
    <cellStyle name="Normal" xfId="0" builtinId="0" customBuiltin="1"/>
    <cellStyle name="Normal 10 10" xfId="9"/>
    <cellStyle name="Normal 2" xfId="2"/>
    <cellStyle name="Normal 2 2 2" xfId="5"/>
    <cellStyle name="Normal 3" xfId="11"/>
    <cellStyle name="Normal 6" xfId="8"/>
    <cellStyle name="Percent" xfId="1" builtinId="5"/>
    <cellStyle name="Percent 3"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00471468844155E-2"/>
          <c:y val="3.1911435601146801E-2"/>
          <c:w val="0.88177335471954899"/>
          <c:h val="0.85652417536807224"/>
        </c:manualLayout>
      </c:layout>
      <c:scatterChart>
        <c:scatterStyle val="lineMarker"/>
        <c:varyColors val="0"/>
        <c:ser>
          <c:idx val="0"/>
          <c:order val="0"/>
          <c:spPr>
            <a:ln w="28575">
              <a:noFill/>
            </a:ln>
          </c:spPr>
          <c:marker>
            <c:spPr>
              <a:solidFill>
                <a:schemeClr val="tx1"/>
              </a:solidFill>
              <a:ln>
                <a:solidFill>
                  <a:schemeClr val="tx1"/>
                </a:solidFill>
              </a:ln>
            </c:spPr>
          </c:marker>
          <c:trendline>
            <c:trendlineType val="linear"/>
            <c:dispRSqr val="1"/>
            <c:dispEq val="1"/>
            <c:trendlineLbl>
              <c:layout>
                <c:manualLayout>
                  <c:x val="-0.64736680280137271"/>
                  <c:y val="-0.1420360665204615"/>
                </c:manualLayout>
              </c:layout>
              <c:tx>
                <c:rich>
                  <a:bodyPr/>
                  <a:lstStyle/>
                  <a:p>
                    <a:pPr>
                      <a:defRPr/>
                    </a:pPr>
                    <a:r>
                      <a:rPr lang="en-US" sz="1000" baseline="0"/>
                      <a:t>y = -0.556x + 0.0841</a:t>
                    </a:r>
                    <a:br>
                      <a:rPr lang="en-US" sz="1000" baseline="0"/>
                    </a:br>
                    <a:r>
                      <a:rPr lang="en-US" sz="1000" baseline="0"/>
                      <a:t>R² = 0.8022</a:t>
                    </a:r>
                    <a:endParaRPr lang="en-US" sz="1000"/>
                  </a:p>
                </c:rich>
              </c:tx>
              <c:numFmt formatCode="General" sourceLinked="0"/>
            </c:trendlineLbl>
          </c:trendline>
          <c:xVal>
            <c:numRef>
              <c:f>'Sched 5 Risk Premium'!$D$7:$D$104</c:f>
              <c:numCache>
                <c:formatCode>0.00%</c:formatCode>
                <c:ptCount val="98"/>
                <c:pt idx="0">
                  <c:v>7.8350000000000003E-2</c:v>
                </c:pt>
                <c:pt idx="1">
                  <c:v>7.8843333333333335E-2</c:v>
                </c:pt>
                <c:pt idx="2">
                  <c:v>7.415999999999999E-2</c:v>
                </c:pt>
                <c:pt idx="3">
                  <c:v>7.5396666666666667E-2</c:v>
                </c:pt>
                <c:pt idx="4">
                  <c:v>7.0066666666666666E-2</c:v>
                </c:pt>
                <c:pt idx="5">
                  <c:v>6.8616666666666673E-2</c:v>
                </c:pt>
                <c:pt idx="6">
                  <c:v>6.2270000000000006E-2</c:v>
                </c:pt>
                <c:pt idx="7">
                  <c:v>6.2063333333333331E-2</c:v>
                </c:pt>
                <c:pt idx="8">
                  <c:v>6.6636666666666663E-2</c:v>
                </c:pt>
                <c:pt idx="9">
                  <c:v>7.4476666666666663E-2</c:v>
                </c:pt>
                <c:pt idx="10">
                  <c:v>7.5546666666666665E-2</c:v>
                </c:pt>
                <c:pt idx="11">
                  <c:v>7.9499999999999987E-2</c:v>
                </c:pt>
                <c:pt idx="12">
                  <c:v>6.8673333333333336E-2</c:v>
                </c:pt>
                <c:pt idx="13">
                  <c:v>6.664666666666666E-2</c:v>
                </c:pt>
                <c:pt idx="14">
                  <c:v>6.1356666666666664E-2</c:v>
                </c:pt>
                <c:pt idx="15">
                  <c:v>6.3879999999999992E-2</c:v>
                </c:pt>
                <c:pt idx="16">
                  <c:v>6.9220000000000004E-2</c:v>
                </c:pt>
                <c:pt idx="17">
                  <c:v>7.0036666666666664E-2</c:v>
                </c:pt>
                <c:pt idx="18">
                  <c:v>6.5446666666666667E-2</c:v>
                </c:pt>
                <c:pt idx="19">
                  <c:v>6.8960000000000007E-2</c:v>
                </c:pt>
                <c:pt idx="20">
                  <c:v>6.8826666666666661E-2</c:v>
                </c:pt>
                <c:pt idx="21">
                  <c:v>6.4360000000000001E-2</c:v>
                </c:pt>
                <c:pt idx="22">
                  <c:v>6.0433333333333332E-2</c:v>
                </c:pt>
                <c:pt idx="23">
                  <c:v>5.7926666666666661E-2</c:v>
                </c:pt>
                <c:pt idx="24">
                  <c:v>5.3193333333333336E-2</c:v>
                </c:pt>
                <c:pt idx="25">
                  <c:v>5.1049999999999998E-2</c:v>
                </c:pt>
                <c:pt idx="26">
                  <c:v>5.4289999999999991E-2</c:v>
                </c:pt>
                <c:pt idx="27">
                  <c:v>5.8176666666666668E-2</c:v>
                </c:pt>
                <c:pt idx="28">
                  <c:v>6.3113333333333341E-2</c:v>
                </c:pt>
                <c:pt idx="29">
                  <c:v>6.1529999999999994E-2</c:v>
                </c:pt>
                <c:pt idx="30">
                  <c:v>5.9546666666666671E-2</c:v>
                </c:pt>
                <c:pt idx="31">
                  <c:v>5.7783333333333332E-2</c:v>
                </c:pt>
                <c:pt idx="32">
                  <c:v>5.6176666666666673E-2</c:v>
                </c:pt>
                <c:pt idx="33">
                  <c:v>5.4196666666666671E-2</c:v>
                </c:pt>
                <c:pt idx="34">
                  <c:v>5.7666666666666665E-2</c:v>
                </c:pt>
                <c:pt idx="35">
                  <c:v>5.2086666666666656E-2</c:v>
                </c:pt>
                <c:pt idx="36">
                  <c:v>5.5476666666666674E-2</c:v>
                </c:pt>
                <c:pt idx="37">
                  <c:v>5.5713666666666661E-2</c:v>
                </c:pt>
                <c:pt idx="38">
                  <c:v>4.9647999999999998E-2</c:v>
                </c:pt>
                <c:pt idx="39">
                  <c:v>4.9330333333333344E-2</c:v>
                </c:pt>
                <c:pt idx="40">
                  <c:v>4.7752333333333334E-2</c:v>
                </c:pt>
                <c:pt idx="41">
                  <c:v>4.5657666666666666E-2</c:v>
                </c:pt>
                <c:pt idx="42">
                  <c:v>5.1541666666666666E-2</c:v>
                </c:pt>
                <c:pt idx="43">
                  <c:v>5.1117333333333334E-2</c:v>
                </c:pt>
                <c:pt idx="44">
                  <c:v>4.8566666666666668E-2</c:v>
                </c:pt>
                <c:pt idx="45">
                  <c:v>5.3055333333333336E-2</c:v>
                </c:pt>
                <c:pt idx="46">
                  <c:v>5.0053333333333325E-2</c:v>
                </c:pt>
                <c:pt idx="47">
                  <c:v>4.8723333333333327E-2</c:v>
                </c:pt>
                <c:pt idx="48">
                  <c:v>4.6863999999999996E-2</c:v>
                </c:pt>
                <c:pt idx="49">
                  <c:v>4.3416333333333335E-2</c:v>
                </c:pt>
                <c:pt idx="50">
                  <c:v>4.4303666666666672E-2</c:v>
                </c:pt>
                <c:pt idx="51">
                  <c:v>4.6604E-2</c:v>
                </c:pt>
                <c:pt idx="52">
                  <c:v>4.6913666666666673E-2</c:v>
                </c:pt>
                <c:pt idx="53">
                  <c:v>5.1916999999999998E-2</c:v>
                </c:pt>
                <c:pt idx="54">
                  <c:v>4.9012E-2</c:v>
                </c:pt>
                <c:pt idx="55">
                  <c:v>4.6955666666666673E-2</c:v>
                </c:pt>
                <c:pt idx="56">
                  <c:v>4.8102333333333337E-2</c:v>
                </c:pt>
                <c:pt idx="57">
                  <c:v>4.9822666666666668E-2</c:v>
                </c:pt>
                <c:pt idx="58">
                  <c:v>4.8534333333333339E-2</c:v>
                </c:pt>
                <c:pt idx="59">
                  <c:v>4.5256333333333322E-2</c:v>
                </c:pt>
                <c:pt idx="60">
                  <c:v>4.3388333333333327E-2</c:v>
                </c:pt>
                <c:pt idx="61">
                  <c:v>4.5685999999999997E-2</c:v>
                </c:pt>
                <c:pt idx="62">
                  <c:v>4.4354666666666667E-2</c:v>
                </c:pt>
                <c:pt idx="63">
                  <c:v>3.4930333333333327E-2</c:v>
                </c:pt>
                <c:pt idx="64">
                  <c:v>3.6150666666666671E-2</c:v>
                </c:pt>
                <c:pt idx="65">
                  <c:v>4.2326333333333334E-2</c:v>
                </c:pt>
                <c:pt idx="66">
                  <c:v>4.1755333333333339E-2</c:v>
                </c:pt>
                <c:pt idx="67">
                  <c:v>4.3526999999999996E-2</c:v>
                </c:pt>
                <c:pt idx="68">
                  <c:v>4.5859666666666667E-2</c:v>
                </c:pt>
                <c:pt idx="69">
                  <c:v>4.2033333333333332E-2</c:v>
                </c:pt>
                <c:pt idx="70">
                  <c:v>3.7295000000000002E-2</c:v>
                </c:pt>
                <c:pt idx="71">
                  <c:v>4.1424333333333341E-2</c:v>
                </c:pt>
                <c:pt idx="72">
                  <c:v>4.5264666666666668E-2</c:v>
                </c:pt>
                <c:pt idx="73">
                  <c:v>4.3306666666666667E-2</c:v>
                </c:pt>
                <c:pt idx="74">
                  <c:v>3.5442000000000001E-2</c:v>
                </c:pt>
                <c:pt idx="75">
                  <c:v>3.0267333333333341E-2</c:v>
                </c:pt>
                <c:pt idx="76">
                  <c:v>3.1193666666666665E-2</c:v>
                </c:pt>
                <c:pt idx="77">
                  <c:v>2.8355000000000002E-2</c:v>
                </c:pt>
                <c:pt idx="78">
                  <c:v>2.6806666666666666E-2</c:v>
                </c:pt>
                <c:pt idx="79">
                  <c:v>2.8722333333333336E-2</c:v>
                </c:pt>
                <c:pt idx="80">
                  <c:v>3.1199333333333336E-2</c:v>
                </c:pt>
                <c:pt idx="81">
                  <c:v>3.2182333333333334E-2</c:v>
                </c:pt>
                <c:pt idx="82">
                  <c:v>3.6731666666666669E-2</c:v>
                </c:pt>
                <c:pt idx="83">
                  <c:v>3.8057000000000001E-2</c:v>
                </c:pt>
                <c:pt idx="84">
                  <c:v>3.5796666666666671E-2</c:v>
                </c:pt>
                <c:pt idx="85">
                  <c:v>3.3822999999999992E-2</c:v>
                </c:pt>
                <c:pt idx="86">
                  <c:v>3.1975333333333335E-2</c:v>
                </c:pt>
                <c:pt idx="87">
                  <c:v>2.9022666666666662E-2</c:v>
                </c:pt>
                <c:pt idx="88">
                  <c:v>2.4494666666666665E-2</c:v>
                </c:pt>
                <c:pt idx="89">
                  <c:v>2.9152666666666664E-2</c:v>
                </c:pt>
                <c:pt idx="90">
                  <c:v>2.9072666666666667E-2</c:v>
                </c:pt>
                <c:pt idx="91">
                  <c:v>2.9700999999999998E-2</c:v>
                </c:pt>
                <c:pt idx="92">
                  <c:v>2.6571000000000001E-2</c:v>
                </c:pt>
                <c:pt idx="93">
                  <c:v>2.5352666666666669E-2</c:v>
                </c:pt>
                <c:pt idx="94">
                  <c:v>2.2433666666666668E-2</c:v>
                </c:pt>
                <c:pt idx="95">
                  <c:v>2.8928666666666665E-2</c:v>
                </c:pt>
                <c:pt idx="96">
                  <c:v>3.02196666666667E-2</c:v>
                </c:pt>
                <c:pt idx="97">
                  <c:v>2.9600000000000001E-2</c:v>
                </c:pt>
              </c:numCache>
            </c:numRef>
          </c:xVal>
          <c:yVal>
            <c:numRef>
              <c:f>'Sched 5 Risk Premium'!$E$7:$E$104</c:f>
              <c:numCache>
                <c:formatCode>0.00%</c:formatCode>
                <c:ptCount val="98"/>
                <c:pt idx="0">
                  <c:v>4.5829999999999996E-2</c:v>
                </c:pt>
                <c:pt idx="1">
                  <c:v>4.0989999999999999E-2</c:v>
                </c:pt>
                <c:pt idx="2">
                  <c:v>4.4925714285714277E-2</c:v>
                </c:pt>
                <c:pt idx="3">
                  <c:v>4.3755507246376849E-2</c:v>
                </c:pt>
                <c:pt idx="4">
                  <c:v>4.7433333333333327E-2</c:v>
                </c:pt>
                <c:pt idx="5">
                  <c:v>4.846666666666663E-2</c:v>
                </c:pt>
                <c:pt idx="6">
                  <c:v>5.1703684210526318E-2</c:v>
                </c:pt>
                <c:pt idx="7">
                  <c:v>4.915666666666671E-2</c:v>
                </c:pt>
                <c:pt idx="8">
                  <c:v>4.4563333333333344E-2</c:v>
                </c:pt>
                <c:pt idx="9">
                  <c:v>3.3873333333333325E-2</c:v>
                </c:pt>
                <c:pt idx="10">
                  <c:v>3.3120000000000011E-2</c:v>
                </c:pt>
                <c:pt idx="11">
                  <c:v>3.575833333333335E-2</c:v>
                </c:pt>
                <c:pt idx="12">
                  <c:v>4.1326666666666664E-2</c:v>
                </c:pt>
                <c:pt idx="13">
                  <c:v>4.4020000000000017E-2</c:v>
                </c:pt>
                <c:pt idx="14">
                  <c:v>5.4710000000000002E-2</c:v>
                </c:pt>
                <c:pt idx="15">
                  <c:v>5.0619999999999998E-2</c:v>
                </c:pt>
                <c:pt idx="16">
                  <c:v>3.953000000000001E-2</c:v>
                </c:pt>
                <c:pt idx="17">
                  <c:v>4.2463333333333339E-2</c:v>
                </c:pt>
                <c:pt idx="18">
                  <c:v>4.6496190476190469E-2</c:v>
                </c:pt>
                <c:pt idx="19">
                  <c:v>4.4111428571428579E-2</c:v>
                </c:pt>
                <c:pt idx="20">
                  <c:v>4.8173333333333332E-2</c:v>
                </c:pt>
                <c:pt idx="21">
                  <c:v>5.5639999999999995E-2</c:v>
                </c:pt>
                <c:pt idx="22">
                  <c:v>4.8733333333333344E-2</c:v>
                </c:pt>
                <c:pt idx="23">
                  <c:v>5.5739999999999991E-2</c:v>
                </c:pt>
                <c:pt idx="24">
                  <c:v>6.0906666666666658E-2</c:v>
                </c:pt>
                <c:pt idx="25">
                  <c:v>6.5850000000000006E-2</c:v>
                </c:pt>
                <c:pt idx="26">
                  <c:v>5.3876666666666684E-2</c:v>
                </c:pt>
                <c:pt idx="27">
                  <c:v>5.4323333333333335E-2</c:v>
                </c:pt>
                <c:pt idx="28">
                  <c:v>4.0636666666666654E-2</c:v>
                </c:pt>
                <c:pt idx="29">
                  <c:v>4.5020000000000011E-2</c:v>
                </c:pt>
                <c:pt idx="30">
                  <c:v>5.0786666666666667E-2</c:v>
                </c:pt>
                <c:pt idx="31">
                  <c:v>5.5556666666666664E-2</c:v>
                </c:pt>
                <c:pt idx="32">
                  <c:v>6.4823333333333316E-2</c:v>
                </c:pt>
                <c:pt idx="33">
                  <c:v>5.9553333333333333E-2</c:v>
                </c:pt>
                <c:pt idx="34">
                  <c:v>4.9833333333333334E-2</c:v>
                </c:pt>
                <c:pt idx="35">
                  <c:v>5.4413333333333355E-2</c:v>
                </c:pt>
                <c:pt idx="36">
                  <c:v>5.1189999999999999E-2</c:v>
                </c:pt>
                <c:pt idx="37">
                  <c:v>6.0711333333333339E-2</c:v>
                </c:pt>
                <c:pt idx="38">
                  <c:v>6.5351999999999993E-2</c:v>
                </c:pt>
                <c:pt idx="39">
                  <c:v>6.078077777777776E-2</c:v>
                </c:pt>
                <c:pt idx="40">
                  <c:v>6.6067666666666663E-2</c:v>
                </c:pt>
                <c:pt idx="41">
                  <c:v>6.7967333333333324E-2</c:v>
                </c:pt>
                <c:pt idx="42">
                  <c:v>5.4578333333333326E-2</c:v>
                </c:pt>
                <c:pt idx="43">
                  <c:v>5.7300848484848496E-2</c:v>
                </c:pt>
                <c:pt idx="44">
                  <c:v>6.2033333333333322E-2</c:v>
                </c:pt>
                <c:pt idx="45">
                  <c:v>5.267800000000001E-2</c:v>
                </c:pt>
                <c:pt idx="46">
                  <c:v>5.3634166666666677E-2</c:v>
                </c:pt>
                <c:pt idx="47">
                  <c:v>5.7859999999999995E-2</c:v>
                </c:pt>
                <c:pt idx="48">
                  <c:v>5.9636000000000015E-2</c:v>
                </c:pt>
                <c:pt idx="49">
                  <c:v>6.1943666666666647E-2</c:v>
                </c:pt>
                <c:pt idx="50">
                  <c:v>6.0416333333333322E-2</c:v>
                </c:pt>
                <c:pt idx="51">
                  <c:v>5.6560285714285737E-2</c:v>
                </c:pt>
                <c:pt idx="52">
                  <c:v>5.9886333333333305E-2</c:v>
                </c:pt>
                <c:pt idx="53">
                  <c:v>5.4082999999999999E-2</c:v>
                </c:pt>
                <c:pt idx="54">
                  <c:v>5.4362999999999995E-2</c:v>
                </c:pt>
                <c:pt idx="55">
                  <c:v>5.4464333333333323E-2</c:v>
                </c:pt>
                <c:pt idx="56">
                  <c:v>5.7079484848484845E-2</c:v>
                </c:pt>
                <c:pt idx="57">
                  <c:v>5.144399999999999E-2</c:v>
                </c:pt>
                <c:pt idx="58">
                  <c:v>5.1728166666666651E-2</c:v>
                </c:pt>
                <c:pt idx="59">
                  <c:v>5.5920589743589787E-2</c:v>
                </c:pt>
                <c:pt idx="60">
                  <c:v>6.0368809523809526E-2</c:v>
                </c:pt>
                <c:pt idx="61">
                  <c:v>5.5980666666666686E-2</c:v>
                </c:pt>
                <c:pt idx="62">
                  <c:v>6.1156444444444444E-2</c:v>
                </c:pt>
                <c:pt idx="63">
                  <c:v>6.8454282051282053E-2</c:v>
                </c:pt>
                <c:pt idx="64">
                  <c:v>6.6274333333333352E-2</c:v>
                </c:pt>
                <c:pt idx="65">
                  <c:v>5.8748666666666664E-2</c:v>
                </c:pt>
                <c:pt idx="66">
                  <c:v>5.704466666666666E-2</c:v>
                </c:pt>
                <c:pt idx="67">
                  <c:v>5.952300000000002E-2</c:v>
                </c:pt>
                <c:pt idx="68">
                  <c:v>5.6506999999999995E-2</c:v>
                </c:pt>
                <c:pt idx="69">
                  <c:v>5.7821212121212127E-2</c:v>
                </c:pt>
                <c:pt idx="70">
                  <c:v>6.6954999999999987E-2</c:v>
                </c:pt>
                <c:pt idx="71">
                  <c:v>5.949874358974358E-2</c:v>
                </c:pt>
                <c:pt idx="72">
                  <c:v>5.5735333333333338E-2</c:v>
                </c:pt>
                <c:pt idx="73">
                  <c:v>5.5143333333333343E-2</c:v>
                </c:pt>
                <c:pt idx="74">
                  <c:v>6.1058000000000001E-2</c:v>
                </c:pt>
                <c:pt idx="75">
                  <c:v>6.8482666666666664E-2</c:v>
                </c:pt>
                <c:pt idx="76">
                  <c:v>6.5126333333333328E-2</c:v>
                </c:pt>
                <c:pt idx="77">
                  <c:v>6.9957499999999992E-2</c:v>
                </c:pt>
                <c:pt idx="78">
                  <c:v>7.069333333333333E-2</c:v>
                </c:pt>
                <c:pt idx="79">
                  <c:v>7.1827666666666692E-2</c:v>
                </c:pt>
                <c:pt idx="80">
                  <c:v>6.4467333333333349E-2</c:v>
                </c:pt>
                <c:pt idx="81">
                  <c:v>6.2501000000000001E-2</c:v>
                </c:pt>
                <c:pt idx="82">
                  <c:v>5.9268333333333333E-2</c:v>
                </c:pt>
                <c:pt idx="83">
                  <c:v>6.0233909090909081E-2</c:v>
                </c:pt>
                <c:pt idx="84">
                  <c:v>5.9619999999999992E-2</c:v>
                </c:pt>
                <c:pt idx="85">
                  <c:v>6.45395E-2</c:v>
                </c:pt>
                <c:pt idx="86">
                  <c:v>6.2524666666666673E-2</c:v>
                </c:pt>
                <c:pt idx="87">
                  <c:v>7.3810666666666663E-2</c:v>
                </c:pt>
                <c:pt idx="88">
                  <c:v>7.0172000000000012E-2</c:v>
                </c:pt>
                <c:pt idx="89">
                  <c:v>6.5180666666666678E-2</c:v>
                </c:pt>
                <c:pt idx="90">
                  <c:v>6.842733333333334E-2</c:v>
                </c:pt>
                <c:pt idx="91">
                  <c:v>6.7076777777777763E-2</c:v>
                </c:pt>
                <c:pt idx="92">
                  <c:v>6.8262333333333328E-2</c:v>
                </c:pt>
                <c:pt idx="93">
                  <c:v>6.8797333333333321E-2</c:v>
                </c:pt>
                <c:pt idx="94">
                  <c:v>7.2216333333333327E-2</c:v>
                </c:pt>
                <c:pt idx="95">
                  <c:v>6.6928476190476177E-2</c:v>
                </c:pt>
                <c:pt idx="96">
                  <c:v>6.5780333333333302E-2</c:v>
                </c:pt>
                <c:pt idx="97">
                  <c:v>6.2733333333333322E-2</c:v>
                </c:pt>
              </c:numCache>
            </c:numRef>
          </c:yVal>
          <c:smooth val="0"/>
          <c:extLst>
            <c:ext xmlns:c16="http://schemas.microsoft.com/office/drawing/2014/chart" uri="{C3380CC4-5D6E-409C-BE32-E72D297353CC}">
              <c16:uniqueId val="{00000001-F5B5-4784-BB2E-3EC4F63DA803}"/>
            </c:ext>
          </c:extLst>
        </c:ser>
        <c:dLbls>
          <c:showLegendKey val="0"/>
          <c:showVal val="0"/>
          <c:showCatName val="0"/>
          <c:showSerName val="0"/>
          <c:showPercent val="0"/>
          <c:showBubbleSize val="0"/>
        </c:dLbls>
        <c:axId val="528612488"/>
        <c:axId val="528610920"/>
      </c:scatterChart>
      <c:valAx>
        <c:axId val="528612488"/>
        <c:scaling>
          <c:orientation val="minMax"/>
          <c:max val="8.2500000000000018E-2"/>
          <c:min val="2.2500000000000006E-2"/>
        </c:scaling>
        <c:delete val="0"/>
        <c:axPos val="b"/>
        <c:title>
          <c:tx>
            <c:rich>
              <a:bodyPr/>
              <a:lstStyle/>
              <a:p>
                <a:pPr>
                  <a:defRPr/>
                </a:pPr>
                <a:r>
                  <a:rPr lang="en-US"/>
                  <a:t>30-year U.S. Treasury Bond</a:t>
                </a:r>
              </a:p>
            </c:rich>
          </c:tx>
          <c:overlay val="0"/>
        </c:title>
        <c:numFmt formatCode="0.00%" sourceLinked="1"/>
        <c:majorTickMark val="out"/>
        <c:minorTickMark val="none"/>
        <c:tickLblPos val="nextTo"/>
        <c:crossAx val="528610920"/>
        <c:crosses val="autoZero"/>
        <c:crossBetween val="midCat"/>
        <c:majorUnit val="5.0000000000000114E-3"/>
      </c:valAx>
      <c:valAx>
        <c:axId val="528610920"/>
        <c:scaling>
          <c:orientation val="minMax"/>
          <c:max val="7.5000000000000011E-2"/>
          <c:min val="3.0000000000000002E-2"/>
        </c:scaling>
        <c:delete val="0"/>
        <c:axPos val="l"/>
        <c:majorGridlines/>
        <c:title>
          <c:tx>
            <c:rich>
              <a:bodyPr rot="-5400000" vert="horz"/>
              <a:lstStyle/>
              <a:p>
                <a:pPr>
                  <a:defRPr/>
                </a:pPr>
                <a:r>
                  <a:rPr lang="en-US"/>
                  <a:t>Risk Premium</a:t>
                </a:r>
              </a:p>
            </c:rich>
          </c:tx>
          <c:overlay val="0"/>
        </c:title>
        <c:numFmt formatCode="0.00%" sourceLinked="1"/>
        <c:majorTickMark val="out"/>
        <c:minorTickMark val="none"/>
        <c:tickLblPos val="nextTo"/>
        <c:crossAx val="528612488"/>
        <c:crosses val="autoZero"/>
        <c:crossBetween val="midCat"/>
      </c:valAx>
    </c:plotArea>
    <c:plotVisOnly val="1"/>
    <c:dispBlanksAs val="gap"/>
    <c:showDLblsOverMax val="0"/>
  </c:chart>
  <c:txPr>
    <a:bodyPr/>
    <a:lstStyle/>
    <a:p>
      <a:pPr>
        <a:defRPr sz="800" baseline="0">
          <a:latin typeface="Arial" pitchFamily="34" charset="0"/>
        </a:defRPr>
      </a:pPr>
      <a:endParaRPr lang="en-US"/>
    </a:p>
  </c:txPr>
  <c:printSettings>
    <c:headerFooter/>
    <c:pageMargins b="0.75000000000000355" l="0.70000000000000062" r="0.70000000000000062" t="0.75000000000000355" header="0.30000000000000032" footer="0.30000000000000032"/>
    <c:pageSetup orientation="portrait"/>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1</xdr:colOff>
      <xdr:row>4</xdr:row>
      <xdr:rowOff>19050</xdr:rowOff>
    </xdr:from>
    <xdr:ext cx="3086099" cy="2076450"/>
    <xdr:sp macro="" textlink="">
      <xdr:nvSpPr>
        <xdr:cNvPr id="2" name="TextBox 1">
          <a:extLst>
            <a:ext uri="{FF2B5EF4-FFF2-40B4-BE49-F238E27FC236}">
              <a16:creationId xmlns:a16="http://schemas.microsoft.com/office/drawing/2014/main" id="{01DCFE94-D534-4D43-9C0C-E89DB73A1FCE}"/>
            </a:ext>
          </a:extLst>
        </xdr:cNvPr>
        <xdr:cNvSpPr txBox="1"/>
      </xdr:nvSpPr>
      <xdr:spPr>
        <a:xfrm>
          <a:off x="1" y="819150"/>
          <a:ext cx="3086099" cy="2076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WASHINGTON UTILITIES AND TRANSPORTATION COMMISSION,</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                           Complainant,</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 </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v.</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 </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CASCADE NATURAL GAS CORPORATION,</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 </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                           Respondent.</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 </a:t>
          </a:r>
        </a:p>
        <a:p>
          <a:pPr marL="0" marR="0">
            <a:spcBef>
              <a:spcPts val="0"/>
            </a:spcBef>
            <a:spcAft>
              <a:spcPts val="0"/>
            </a:spcAft>
          </a:pPr>
          <a:r>
            <a:rPr lang="en-US" sz="1100">
              <a:effectLst/>
              <a:latin typeface="Times New Roman"/>
              <a:ea typeface="Calibri"/>
            </a:rPr>
            <a:t> </a:t>
          </a:r>
          <a:endParaRPr lang="en-US" sz="1050">
            <a:effectLst/>
            <a:latin typeface="Arial"/>
            <a:ea typeface="Calibri"/>
          </a:endParaRPr>
        </a:p>
        <a:p>
          <a:pPr marL="0" marR="0">
            <a:spcBef>
              <a:spcPts val="0"/>
            </a:spcBef>
            <a:spcAft>
              <a:spcPts val="0"/>
            </a:spcAft>
          </a:pPr>
          <a:r>
            <a:rPr lang="en-US" sz="1100">
              <a:effectLst/>
              <a:latin typeface="Times New Roman"/>
              <a:ea typeface="Calibri"/>
            </a:rPr>
            <a:t> </a:t>
          </a:r>
          <a:endParaRPr lang="en-US" sz="1050">
            <a:effectLst/>
            <a:latin typeface="Arial"/>
            <a:ea typeface="Calibri"/>
          </a:endParaRPr>
        </a:p>
        <a:p>
          <a:pPr marL="0" marR="0" algn="just">
            <a:spcBef>
              <a:spcPts val="0"/>
            </a:spcBef>
            <a:spcAft>
              <a:spcPts val="0"/>
            </a:spcAft>
          </a:pPr>
          <a:r>
            <a:rPr lang="en-US" sz="1100" b="1">
              <a:effectLst/>
              <a:latin typeface="Times New Roman"/>
              <a:ea typeface="Calibri"/>
            </a:rPr>
            <a:t> </a:t>
          </a:r>
          <a:endParaRPr lang="en-US" sz="1050">
            <a:effectLst/>
            <a:latin typeface="Arial"/>
            <a:ea typeface="Calibri"/>
          </a:endParaRPr>
        </a:p>
        <a:p>
          <a:endParaRPr lang="en-US" sz="1100"/>
        </a:p>
      </xdr:txBody>
    </xdr:sp>
    <xdr:clientData/>
  </xdr:oneCellAnchor>
  <xdr:twoCellAnchor>
    <xdr:from>
      <xdr:col>0</xdr:col>
      <xdr:colOff>2733675</xdr:colOff>
      <xdr:row>3</xdr:row>
      <xdr:rowOff>190500</xdr:rowOff>
    </xdr:from>
    <xdr:to>
      <xdr:col>0</xdr:col>
      <xdr:colOff>2733677</xdr:colOff>
      <xdr:row>14</xdr:row>
      <xdr:rowOff>9525</xdr:rowOff>
    </xdr:to>
    <xdr:cxnSp macro="">
      <xdr:nvCxnSpPr>
        <xdr:cNvPr id="3" name="Straight Connector 2">
          <a:extLst>
            <a:ext uri="{FF2B5EF4-FFF2-40B4-BE49-F238E27FC236}">
              <a16:creationId xmlns:a16="http://schemas.microsoft.com/office/drawing/2014/main" id="{E90F03C9-96D6-4CFA-A3EB-0D26A9D76E9F}"/>
            </a:ext>
          </a:extLst>
        </xdr:cNvPr>
        <xdr:cNvCxnSpPr/>
      </xdr:nvCxnSpPr>
      <xdr:spPr>
        <a:xfrm flipH="1">
          <a:off x="2733675" y="790575"/>
          <a:ext cx="2" cy="2019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14</xdr:row>
      <xdr:rowOff>9525</xdr:rowOff>
    </xdr:from>
    <xdr:to>
      <xdr:col>0</xdr:col>
      <xdr:colOff>2752725</xdr:colOff>
      <xdr:row>14</xdr:row>
      <xdr:rowOff>9525</xdr:rowOff>
    </xdr:to>
    <xdr:cxnSp macro="">
      <xdr:nvCxnSpPr>
        <xdr:cNvPr id="4" name="Straight Connector 3">
          <a:extLst>
            <a:ext uri="{FF2B5EF4-FFF2-40B4-BE49-F238E27FC236}">
              <a16:creationId xmlns:a16="http://schemas.microsoft.com/office/drawing/2014/main" id="{EB5EB2BC-4B27-4949-9980-F28EDF515DDD}"/>
            </a:ext>
          </a:extLst>
        </xdr:cNvPr>
        <xdr:cNvCxnSpPr/>
      </xdr:nvCxnSpPr>
      <xdr:spPr>
        <a:xfrm>
          <a:off x="47625" y="2809875"/>
          <a:ext cx="2705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673553</xdr:colOff>
      <xdr:row>3</xdr:row>
      <xdr:rowOff>69287</xdr:rowOff>
    </xdr:from>
    <xdr:to>
      <xdr:col>14</xdr:col>
      <xdr:colOff>450035</xdr:colOff>
      <xdr:row>22</xdr:row>
      <xdr:rowOff>74840</xdr:rowOff>
    </xdr:to>
    <xdr:graphicFrame macro="">
      <xdr:nvGraphicFramePr>
        <xdr:cNvPr id="2" name="Chart 1">
          <a:extLst>
            <a:ext uri="{FF2B5EF4-FFF2-40B4-BE49-F238E27FC236}">
              <a16:creationId xmlns:a16="http://schemas.microsoft.com/office/drawing/2014/main" id="{53EF5861-9859-4C59-A26D-A230B83639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eneral%20Ledger%20Accounting\ADI%20Vouchers\Amanda's%20ADI%20Vouchers\FY2013\January%202013\Uploaded\010-109%20MTM%20Jan-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BneLog"/>
      <sheetName val="G"/>
      <sheetName val="Sheet1 (2)"/>
      <sheetName val="with formulas"/>
      <sheetName val="Oct 14 Swaps"/>
      <sheetName val="Jun 17 Swaps"/>
      <sheetName val="T Lock"/>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5.75" x14ac:dyDescent="0.25"/>
  <sheetData>
    <row r="1" spans="1:1" x14ac:dyDescent="0.25">
      <c r="A1" t="s">
        <v>1104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6"/>
  <sheetViews>
    <sheetView view="pageBreakPreview" topLeftCell="C1" zoomScale="85" zoomScaleNormal="100" zoomScaleSheetLayoutView="85" workbookViewId="0">
      <selection activeCell="H9" sqref="H9:I15"/>
    </sheetView>
  </sheetViews>
  <sheetFormatPr defaultRowHeight="15.75" x14ac:dyDescent="0.25"/>
  <cols>
    <col min="1" max="1" width="28.625" customWidth="1"/>
    <col min="2" max="7" width="9.125" customWidth="1"/>
    <col min="11" max="13" width="8.5" customWidth="1"/>
    <col min="15" max="15" width="7.75" customWidth="1"/>
  </cols>
  <sheetData>
    <row r="1" spans="1:19" ht="20.25" x14ac:dyDescent="0.3">
      <c r="A1" s="308" t="s">
        <v>1107</v>
      </c>
      <c r="B1" s="308"/>
      <c r="C1" s="308"/>
      <c r="D1" s="308"/>
      <c r="E1" s="308"/>
      <c r="F1" s="308"/>
      <c r="G1" s="308"/>
      <c r="H1" s="308"/>
      <c r="I1" s="308"/>
      <c r="J1" s="308"/>
      <c r="K1" s="308"/>
      <c r="L1" s="308"/>
      <c r="M1" s="308"/>
      <c r="N1" s="308"/>
      <c r="O1" s="308"/>
      <c r="P1" s="308"/>
      <c r="Q1" s="308"/>
      <c r="R1" s="308"/>
      <c r="S1" s="308"/>
    </row>
    <row r="3" spans="1:19" ht="18.75" x14ac:dyDescent="0.3">
      <c r="A3" s="309" t="s">
        <v>32</v>
      </c>
      <c r="B3" s="309"/>
      <c r="C3" s="309"/>
      <c r="D3" s="309"/>
      <c r="E3" s="309"/>
      <c r="F3" s="309"/>
      <c r="G3" s="309"/>
      <c r="H3" s="309"/>
      <c r="I3" s="309"/>
      <c r="J3" s="309"/>
      <c r="K3" s="309"/>
      <c r="L3" s="309"/>
      <c r="M3" s="309"/>
      <c r="N3" s="309"/>
      <c r="O3" s="309"/>
      <c r="P3" s="309"/>
      <c r="Q3" s="309"/>
      <c r="R3" s="309"/>
      <c r="S3" s="309"/>
    </row>
    <row r="4" spans="1:19" ht="18.75" x14ac:dyDescent="0.3">
      <c r="A4" s="309" t="s">
        <v>1384</v>
      </c>
      <c r="B4" s="309"/>
      <c r="C4" s="309"/>
      <c r="D4" s="309"/>
      <c r="E4" s="309"/>
      <c r="F4" s="309"/>
      <c r="G4" s="309"/>
      <c r="H4" s="309"/>
      <c r="I4" s="309"/>
      <c r="J4" s="309"/>
      <c r="K4" s="309"/>
      <c r="L4" s="309"/>
      <c r="M4" s="309"/>
      <c r="N4" s="309"/>
      <c r="O4" s="309"/>
      <c r="P4" s="309"/>
      <c r="Q4" s="309"/>
      <c r="R4" s="309"/>
      <c r="S4" s="309"/>
    </row>
    <row r="5" spans="1:19" ht="16.5" thickBot="1" x14ac:dyDescent="0.3">
      <c r="C5" s="54" t="s">
        <v>77</v>
      </c>
      <c r="D5" s="54" t="s">
        <v>78</v>
      </c>
      <c r="E5" s="54" t="s">
        <v>79</v>
      </c>
      <c r="F5" s="54" t="s">
        <v>80</v>
      </c>
      <c r="G5" s="54" t="s">
        <v>81</v>
      </c>
      <c r="H5" s="298" t="s">
        <v>82</v>
      </c>
      <c r="I5" s="298" t="s">
        <v>156</v>
      </c>
      <c r="J5" s="298" t="s">
        <v>155</v>
      </c>
      <c r="K5" s="298" t="s">
        <v>154</v>
      </c>
      <c r="L5" s="298" t="s">
        <v>153</v>
      </c>
      <c r="M5" s="298" t="s">
        <v>152</v>
      </c>
      <c r="N5" s="298" t="s">
        <v>151</v>
      </c>
      <c r="O5" s="298" t="s">
        <v>1316</v>
      </c>
      <c r="P5" s="298" t="s">
        <v>1317</v>
      </c>
      <c r="Q5" s="298" t="s">
        <v>1386</v>
      </c>
      <c r="R5" s="298" t="s">
        <v>1387</v>
      </c>
      <c r="S5" s="298" t="s">
        <v>1388</v>
      </c>
    </row>
    <row r="6" spans="1:19" x14ac:dyDescent="0.25">
      <c r="A6" s="31"/>
      <c r="B6" s="31"/>
      <c r="C6" s="33" t="s">
        <v>1332</v>
      </c>
      <c r="D6" s="33"/>
      <c r="E6" s="33"/>
      <c r="F6" s="31"/>
      <c r="G6" s="31"/>
      <c r="H6" s="225" t="s">
        <v>1288</v>
      </c>
      <c r="I6" s="225"/>
      <c r="J6" s="225"/>
      <c r="K6" s="226" t="s">
        <v>1333</v>
      </c>
      <c r="L6" s="225"/>
      <c r="M6" s="240"/>
      <c r="N6" s="241" t="s">
        <v>1037</v>
      </c>
      <c r="O6" s="241" t="s">
        <v>1037</v>
      </c>
      <c r="P6" s="227"/>
      <c r="Q6" s="227"/>
      <c r="R6" s="227"/>
      <c r="S6" s="227"/>
    </row>
    <row r="7" spans="1:19" ht="63" x14ac:dyDescent="0.25">
      <c r="A7" s="10" t="s">
        <v>132</v>
      </c>
      <c r="B7" s="10" t="s">
        <v>133</v>
      </c>
      <c r="C7" s="12" t="s">
        <v>11</v>
      </c>
      <c r="D7" s="12" t="s">
        <v>12</v>
      </c>
      <c r="E7" s="12" t="s">
        <v>13</v>
      </c>
      <c r="F7" s="9" t="s">
        <v>42</v>
      </c>
      <c r="G7" s="9" t="s">
        <v>1293</v>
      </c>
      <c r="H7" s="228">
        <v>2017</v>
      </c>
      <c r="I7" s="229" t="s">
        <v>1334</v>
      </c>
      <c r="J7" s="228" t="s">
        <v>75</v>
      </c>
      <c r="K7" s="228" t="s">
        <v>0</v>
      </c>
      <c r="L7" s="228" t="s">
        <v>2</v>
      </c>
      <c r="M7" s="229" t="s">
        <v>7</v>
      </c>
      <c r="N7" s="242" t="s">
        <v>1335</v>
      </c>
      <c r="O7" s="242" t="s">
        <v>1294</v>
      </c>
      <c r="P7" s="228" t="s">
        <v>1289</v>
      </c>
      <c r="Q7" s="228" t="s">
        <v>1290</v>
      </c>
      <c r="R7" s="228" t="s">
        <v>1291</v>
      </c>
      <c r="S7" s="228" t="s">
        <v>1292</v>
      </c>
    </row>
    <row r="8" spans="1:19" x14ac:dyDescent="0.25">
      <c r="H8" s="236" t="s">
        <v>1037</v>
      </c>
      <c r="I8" s="236" t="s">
        <v>1037</v>
      </c>
      <c r="J8" s="237" t="s">
        <v>1037</v>
      </c>
      <c r="K8" s="236" t="s">
        <v>1037</v>
      </c>
      <c r="L8" s="236" t="s">
        <v>1037</v>
      </c>
      <c r="M8" s="238" t="s">
        <v>1037</v>
      </c>
      <c r="N8" s="236" t="s">
        <v>1037</v>
      </c>
      <c r="O8" s="236" t="s">
        <v>1037</v>
      </c>
      <c r="P8" s="239" t="s">
        <v>1037</v>
      </c>
      <c r="Q8" s="239" t="s">
        <v>1037</v>
      </c>
      <c r="R8" s="239" t="s">
        <v>1037</v>
      </c>
      <c r="S8" s="239" t="s">
        <v>1037</v>
      </c>
    </row>
    <row r="9" spans="1:19" x14ac:dyDescent="0.25">
      <c r="A9" s="29" t="s">
        <v>111</v>
      </c>
      <c r="B9" s="49" t="s">
        <v>135</v>
      </c>
      <c r="C9" s="286">
        <v>4.5</v>
      </c>
      <c r="D9" s="286">
        <v>2.2999999999999998</v>
      </c>
      <c r="E9" s="287">
        <v>0.115</v>
      </c>
      <c r="F9" s="3">
        <f>(1-(D9/C9))</f>
        <v>0.48888888888888893</v>
      </c>
      <c r="G9" s="3">
        <f>F9*E9</f>
        <v>5.6222222222222229E-2</v>
      </c>
      <c r="H9" s="285">
        <v>107</v>
      </c>
      <c r="I9" s="285">
        <v>120</v>
      </c>
      <c r="J9" s="231">
        <f t="shared" ref="J9:J15" si="0">((I9/H9)^0.2)-1</f>
        <v>2.3197554945304955E-2</v>
      </c>
      <c r="K9" s="285">
        <v>115</v>
      </c>
      <c r="L9" s="285">
        <v>95</v>
      </c>
      <c r="M9" s="230">
        <f>AVERAGE(K9:L9)</f>
        <v>105</v>
      </c>
      <c r="N9" s="285">
        <v>38.5</v>
      </c>
      <c r="O9" s="230">
        <f t="shared" ref="O9:O15" si="1">M9/N9</f>
        <v>2.7272727272727271</v>
      </c>
      <c r="P9" s="232">
        <f t="shared" ref="P9:P15" si="2">J9*O9</f>
        <v>6.3266058941740783E-2</v>
      </c>
      <c r="Q9" s="232">
        <f>1-N9/M9</f>
        <v>0.6333333333333333</v>
      </c>
      <c r="R9" s="232">
        <f>P9*Q9</f>
        <v>4.0068503996435828E-2</v>
      </c>
      <c r="S9" s="232">
        <f>G9+R9</f>
        <v>9.6290726218658057E-2</v>
      </c>
    </row>
    <row r="10" spans="1:19" s="52" customFormat="1" x14ac:dyDescent="0.25">
      <c r="A10" s="23" t="s">
        <v>175</v>
      </c>
      <c r="B10" s="60" t="s">
        <v>20</v>
      </c>
      <c r="C10" s="286">
        <v>2.15</v>
      </c>
      <c r="D10" s="286">
        <v>1.1200000000000001</v>
      </c>
      <c r="E10" s="287">
        <v>0.12</v>
      </c>
      <c r="F10" s="3">
        <f>(1-(D10/C10))</f>
        <v>0.47906976744186036</v>
      </c>
      <c r="G10" s="3">
        <f>F10*E10</f>
        <v>5.7488372093023238E-2</v>
      </c>
      <c r="H10" s="285">
        <v>86</v>
      </c>
      <c r="I10" s="285">
        <v>86</v>
      </c>
      <c r="J10" s="231">
        <f t="shared" si="0"/>
        <v>0</v>
      </c>
      <c r="K10" s="285">
        <v>35</v>
      </c>
      <c r="L10" s="285">
        <v>25</v>
      </c>
      <c r="M10" s="230">
        <f t="shared" ref="M10:M15" si="3">AVERAGE(K10:L10)</f>
        <v>30</v>
      </c>
      <c r="N10" s="285">
        <v>17.8</v>
      </c>
      <c r="O10" s="230">
        <f t="shared" si="1"/>
        <v>1.6853932584269662</v>
      </c>
      <c r="P10" s="232">
        <f t="shared" si="2"/>
        <v>0</v>
      </c>
      <c r="Q10" s="232">
        <f t="shared" ref="Q10:Q15" si="4">1-N10/M10</f>
        <v>0.40666666666666662</v>
      </c>
      <c r="R10" s="232">
        <f t="shared" ref="R10:R15" si="5">P10*Q10</f>
        <v>0</v>
      </c>
      <c r="S10" s="232">
        <f t="shared" ref="S10:S15" si="6">G10+R10</f>
        <v>5.7488372093023238E-2</v>
      </c>
    </row>
    <row r="11" spans="1:19" s="52" customFormat="1" x14ac:dyDescent="0.25">
      <c r="A11" s="23" t="s">
        <v>63</v>
      </c>
      <c r="B11" s="60" t="s">
        <v>780</v>
      </c>
      <c r="C11" s="286">
        <v>1.5</v>
      </c>
      <c r="D11" s="286">
        <v>1</v>
      </c>
      <c r="E11" s="287">
        <v>0.12</v>
      </c>
      <c r="F11" s="3">
        <f>(1-(D11/C11))</f>
        <v>0.33333333333333337</v>
      </c>
      <c r="G11" s="3">
        <f>F11*E11</f>
        <v>0.04</v>
      </c>
      <c r="H11" s="285">
        <v>325</v>
      </c>
      <c r="I11" s="285">
        <v>330</v>
      </c>
      <c r="J11" s="231">
        <f t="shared" si="0"/>
        <v>3.0581610889304223E-3</v>
      </c>
      <c r="K11" s="285">
        <v>30</v>
      </c>
      <c r="L11" s="285">
        <v>20</v>
      </c>
      <c r="M11" s="230">
        <f t="shared" si="3"/>
        <v>25</v>
      </c>
      <c r="N11" s="285">
        <v>12.75</v>
      </c>
      <c r="O11" s="230">
        <f t="shared" si="1"/>
        <v>1.9607843137254901</v>
      </c>
      <c r="P11" s="232">
        <f t="shared" si="2"/>
        <v>5.996394292020436E-3</v>
      </c>
      <c r="Q11" s="232">
        <f t="shared" si="4"/>
        <v>0.49</v>
      </c>
      <c r="R11" s="232">
        <f t="shared" si="5"/>
        <v>2.9382332030900137E-3</v>
      </c>
      <c r="S11" s="232">
        <f t="shared" si="6"/>
        <v>4.2938233203090016E-2</v>
      </c>
    </row>
    <row r="12" spans="1:19" x14ac:dyDescent="0.25">
      <c r="A12" s="29" t="s">
        <v>106</v>
      </c>
      <c r="B12" s="49" t="s">
        <v>10</v>
      </c>
      <c r="C12" s="286">
        <v>3.15</v>
      </c>
      <c r="D12" s="286">
        <v>2.0499999999999998</v>
      </c>
      <c r="E12" s="287">
        <v>0.1</v>
      </c>
      <c r="F12" s="3">
        <f t="shared" ref="F12:F15" si="7">(1-(D12/C12))</f>
        <v>0.3492063492063493</v>
      </c>
      <c r="G12" s="3">
        <f t="shared" ref="G12:G15" si="8">F12*E12</f>
        <v>3.4920634920634928E-2</v>
      </c>
      <c r="H12" s="285">
        <v>29</v>
      </c>
      <c r="I12" s="285">
        <v>30</v>
      </c>
      <c r="J12" s="231">
        <f t="shared" si="0"/>
        <v>6.8033486788630082E-3</v>
      </c>
      <c r="K12" s="285">
        <v>60</v>
      </c>
      <c r="L12" s="285">
        <v>50</v>
      </c>
      <c r="M12" s="230">
        <f t="shared" si="3"/>
        <v>55</v>
      </c>
      <c r="N12" s="285">
        <v>31.75</v>
      </c>
      <c r="O12" s="230">
        <f t="shared" si="1"/>
        <v>1.7322834645669292</v>
      </c>
      <c r="P12" s="232">
        <f t="shared" si="2"/>
        <v>1.1785328420077653E-2</v>
      </c>
      <c r="Q12" s="232">
        <f t="shared" si="4"/>
        <v>0.42272727272727273</v>
      </c>
      <c r="R12" s="232">
        <f t="shared" si="5"/>
        <v>4.9819797412146444E-3</v>
      </c>
      <c r="S12" s="232">
        <f t="shared" si="6"/>
        <v>3.9902614661849571E-2</v>
      </c>
    </row>
    <row r="13" spans="1:19" x14ac:dyDescent="0.25">
      <c r="A13" s="29" t="s">
        <v>136</v>
      </c>
      <c r="B13" s="49" t="s">
        <v>137</v>
      </c>
      <c r="C13" s="286">
        <v>1.85</v>
      </c>
      <c r="D13" s="286">
        <v>1.3</v>
      </c>
      <c r="E13" s="287">
        <v>0.06</v>
      </c>
      <c r="F13" s="3">
        <f t="shared" si="7"/>
        <v>0.29729729729729726</v>
      </c>
      <c r="G13" s="3">
        <f t="shared" si="8"/>
        <v>1.7837837837837836E-2</v>
      </c>
      <c r="H13" s="285">
        <v>82</v>
      </c>
      <c r="I13" s="285">
        <v>86</v>
      </c>
      <c r="J13" s="231">
        <f t="shared" si="0"/>
        <v>9.5711228171615481E-3</v>
      </c>
      <c r="K13" s="285">
        <v>35</v>
      </c>
      <c r="L13" s="285">
        <v>25</v>
      </c>
      <c r="M13" s="230">
        <f t="shared" si="3"/>
        <v>30</v>
      </c>
      <c r="N13" s="285">
        <v>29.05</v>
      </c>
      <c r="O13" s="230">
        <f t="shared" si="1"/>
        <v>1.0327022375215147</v>
      </c>
      <c r="P13" s="232">
        <f t="shared" si="2"/>
        <v>9.8841199488759537E-3</v>
      </c>
      <c r="Q13" s="232">
        <f t="shared" si="4"/>
        <v>3.1666666666666621E-2</v>
      </c>
      <c r="R13" s="232">
        <f t="shared" si="5"/>
        <v>3.1299713171440476E-4</v>
      </c>
      <c r="S13" s="232">
        <f t="shared" si="6"/>
        <v>1.8150834969552242E-2</v>
      </c>
    </row>
    <row r="14" spans="1:19" x14ac:dyDescent="0.25">
      <c r="A14" s="29" t="s">
        <v>176</v>
      </c>
      <c r="B14" s="49" t="s">
        <v>23</v>
      </c>
      <c r="C14" s="286">
        <v>4.75</v>
      </c>
      <c r="D14" s="286">
        <v>2.5</v>
      </c>
      <c r="E14" s="287">
        <v>0.12</v>
      </c>
      <c r="F14" s="3">
        <f>(1-(D14/C14))</f>
        <v>0.47368421052631582</v>
      </c>
      <c r="G14" s="3">
        <f>F14*E14</f>
        <v>5.6842105263157895E-2</v>
      </c>
      <c r="H14" s="285">
        <v>49</v>
      </c>
      <c r="I14" s="285">
        <v>53</v>
      </c>
      <c r="J14" s="231">
        <f t="shared" si="0"/>
        <v>1.5818125795518556E-2</v>
      </c>
      <c r="K14" s="285">
        <v>90</v>
      </c>
      <c r="L14" s="285">
        <v>60</v>
      </c>
      <c r="M14" s="230">
        <f t="shared" si="3"/>
        <v>75</v>
      </c>
      <c r="N14" s="285">
        <v>39.6</v>
      </c>
      <c r="O14" s="230">
        <f t="shared" si="1"/>
        <v>1.8939393939393938</v>
      </c>
      <c r="P14" s="232">
        <f t="shared" si="2"/>
        <v>2.9958571582421507E-2</v>
      </c>
      <c r="Q14" s="232">
        <f t="shared" si="4"/>
        <v>0.47199999999999998</v>
      </c>
      <c r="R14" s="232">
        <f t="shared" si="5"/>
        <v>1.4140445786902951E-2</v>
      </c>
      <c r="S14" s="232">
        <f t="shared" si="6"/>
        <v>7.0982551050060849E-2</v>
      </c>
    </row>
    <row r="15" spans="1:19" x14ac:dyDescent="0.25">
      <c r="A15" s="29" t="s">
        <v>1119</v>
      </c>
      <c r="B15" s="49" t="s">
        <v>1120</v>
      </c>
      <c r="C15" s="286">
        <v>4.6500000000000004</v>
      </c>
      <c r="D15" s="286">
        <v>2.5</v>
      </c>
      <c r="E15" s="287">
        <v>9.5000000000000001E-2</v>
      </c>
      <c r="F15" s="3">
        <f t="shared" si="7"/>
        <v>0.4623655913978495</v>
      </c>
      <c r="G15" s="3">
        <f t="shared" si="8"/>
        <v>4.3924731182795704E-2</v>
      </c>
      <c r="H15" s="285">
        <v>47</v>
      </c>
      <c r="I15" s="285">
        <v>50</v>
      </c>
      <c r="J15" s="233">
        <f t="shared" si="0"/>
        <v>1.2451968893662624E-2</v>
      </c>
      <c r="K15" s="285">
        <v>85</v>
      </c>
      <c r="L15" s="285">
        <v>65</v>
      </c>
      <c r="M15" s="234">
        <f t="shared" si="3"/>
        <v>75</v>
      </c>
      <c r="N15" s="285">
        <v>48.3</v>
      </c>
      <c r="O15" s="234">
        <f t="shared" si="1"/>
        <v>1.5527950310559007</v>
      </c>
      <c r="P15" s="235">
        <f t="shared" si="2"/>
        <v>1.9335355424941962E-2</v>
      </c>
      <c r="Q15" s="232">
        <f t="shared" si="4"/>
        <v>0.35599999999999998</v>
      </c>
      <c r="R15" s="235">
        <f t="shared" si="5"/>
        <v>6.8833865312793382E-3</v>
      </c>
      <c r="S15" s="235">
        <f t="shared" si="6"/>
        <v>5.0808117714075042E-2</v>
      </c>
    </row>
    <row r="17" spans="1:19" s="17" customFormat="1" x14ac:dyDescent="0.25">
      <c r="A17" s="2" t="s">
        <v>7</v>
      </c>
      <c r="G17" s="4" t="s">
        <v>1037</v>
      </c>
      <c r="S17" s="4">
        <f>AVERAGE(S9:S15)</f>
        <v>5.3794492844329862E-2</v>
      </c>
    </row>
    <row r="18" spans="1:19" x14ac:dyDescent="0.25">
      <c r="A18" s="2" t="s">
        <v>1</v>
      </c>
      <c r="G18" s="4" t="s">
        <v>1037</v>
      </c>
      <c r="S18" s="4">
        <f>MEDIAN(S9:S15)</f>
        <v>5.0808117714075042E-2</v>
      </c>
    </row>
    <row r="20" spans="1:19" x14ac:dyDescent="0.25">
      <c r="A20" s="23" t="s">
        <v>1336</v>
      </c>
    </row>
    <row r="24" spans="1:19" x14ac:dyDescent="0.25">
      <c r="A24" s="43"/>
    </row>
    <row r="46" spans="5:5" ht="17.25" x14ac:dyDescent="0.3">
      <c r="E46" s="74"/>
    </row>
  </sheetData>
  <mergeCells count="3">
    <mergeCell ref="A1:S1"/>
    <mergeCell ref="A3:S3"/>
    <mergeCell ref="A4:S4"/>
  </mergeCells>
  <phoneticPr fontId="0" type="noConversion"/>
  <printOptions horizontalCentered="1"/>
  <pageMargins left="0.7" right="0.7" top="1.25" bottom="0.75" header="0.3" footer="0.3"/>
  <pageSetup scale="60" firstPageNumber="3" orientation="landscape" useFirstPageNumber="1" r:id="rId1"/>
  <headerFooter alignWithMargins="0">
    <oddHeader>&amp;R&amp;K01+000Docket No. UG-17____
Cascade Natural Gas Corp.
&amp;K000000Exhibit No.___(JSG-2)
Schedule 4
Page &amp;P of 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46"/>
  <sheetViews>
    <sheetView view="pageBreakPreview" zoomScaleNormal="100" zoomScaleSheetLayoutView="100" workbookViewId="0">
      <selection activeCell="E4" sqref="E4"/>
    </sheetView>
  </sheetViews>
  <sheetFormatPr defaultColWidth="9" defaultRowHeight="15.75" x14ac:dyDescent="0.25"/>
  <cols>
    <col min="1" max="1" width="30.625" style="52" customWidth="1"/>
    <col min="2" max="3" width="15.625" style="52" customWidth="1"/>
    <col min="4" max="4" width="15.75" style="52" bestFit="1" customWidth="1"/>
    <col min="5" max="5" width="15.625" style="52" customWidth="1"/>
    <col min="6" max="16384" width="9" style="52"/>
  </cols>
  <sheetData>
    <row r="1" spans="1:7" ht="20.25" x14ac:dyDescent="0.3">
      <c r="A1" s="24" t="s">
        <v>1105</v>
      </c>
      <c r="B1" s="55"/>
      <c r="C1" s="55"/>
      <c r="D1" s="55"/>
      <c r="E1" s="55"/>
    </row>
    <row r="3" spans="1:7" ht="18.75" x14ac:dyDescent="0.3">
      <c r="A3" s="25" t="s">
        <v>32</v>
      </c>
      <c r="B3" s="55"/>
      <c r="C3" s="55"/>
      <c r="D3" s="55"/>
      <c r="E3" s="55"/>
    </row>
    <row r="4" spans="1:7" ht="18.75" x14ac:dyDescent="0.3">
      <c r="A4" s="25" t="s">
        <v>118</v>
      </c>
      <c r="B4" s="55"/>
      <c r="C4" s="55"/>
      <c r="D4" s="55"/>
      <c r="E4" s="55"/>
    </row>
    <row r="5" spans="1:7" ht="16.5" thickBot="1" x14ac:dyDescent="0.3"/>
    <row r="6" spans="1:7" x14ac:dyDescent="0.25">
      <c r="A6" s="31"/>
      <c r="B6" s="31"/>
      <c r="C6" s="224">
        <v>0.66666666666666663</v>
      </c>
      <c r="D6" s="224">
        <v>0.33333333333333331</v>
      </c>
      <c r="E6" s="31"/>
    </row>
    <row r="7" spans="1:7" ht="18.75" customHeight="1" x14ac:dyDescent="0.25">
      <c r="A7" s="10" t="s">
        <v>132</v>
      </c>
      <c r="B7" s="10" t="s">
        <v>133</v>
      </c>
      <c r="C7" s="66" t="s">
        <v>1039</v>
      </c>
      <c r="D7" s="66" t="s">
        <v>1380</v>
      </c>
      <c r="E7" s="13" t="s">
        <v>43</v>
      </c>
      <c r="G7" s="27"/>
    </row>
    <row r="8" spans="1:7" x14ac:dyDescent="0.25">
      <c r="C8" s="29"/>
      <c r="D8" s="29"/>
    </row>
    <row r="9" spans="1:7" x14ac:dyDescent="0.25">
      <c r="A9" s="29" t="s">
        <v>111</v>
      </c>
      <c r="B9" s="49" t="s">
        <v>135</v>
      </c>
      <c r="C9" s="61">
        <f>'Sched 4 Earnings Growth'!E9</f>
        <v>6.9500000000000006E-2</v>
      </c>
      <c r="D9" s="61">
        <f>'Sched 4 Sust Growth'!S9</f>
        <v>9.6290726218658057E-2</v>
      </c>
      <c r="E9" s="61">
        <f>IFERROR(C9*$C$6+D9*$D$6,C9)</f>
        <v>7.8430242072886014E-2</v>
      </c>
    </row>
    <row r="10" spans="1:7" x14ac:dyDescent="0.25">
      <c r="A10" s="23" t="s">
        <v>175</v>
      </c>
      <c r="B10" s="60" t="s">
        <v>20</v>
      </c>
      <c r="C10" s="61">
        <f>'Sched 4 Earnings Growth'!E10</f>
        <v>0.06</v>
      </c>
      <c r="D10" s="61">
        <f>'Sched 4 Sust Growth'!S10</f>
        <v>5.7488372093023238E-2</v>
      </c>
      <c r="E10" s="61">
        <f t="shared" ref="E10:E15" si="0">IFERROR(C10*$C$6+D10*$D$6,C10)</f>
        <v>5.9162790697674404E-2</v>
      </c>
      <c r="G10" s="28"/>
    </row>
    <row r="11" spans="1:7" x14ac:dyDescent="0.25">
      <c r="A11" s="23" t="s">
        <v>63</v>
      </c>
      <c r="B11" s="60" t="s">
        <v>780</v>
      </c>
      <c r="C11" s="61">
        <f>'Sched 4 Earnings Growth'!E11</f>
        <v>7.1000000000000008E-2</v>
      </c>
      <c r="D11" s="61">
        <f>'Sched 4 Sust Growth'!S11</f>
        <v>4.2938233203090016E-2</v>
      </c>
      <c r="E11" s="61">
        <f t="shared" si="0"/>
        <v>6.1646077734363341E-2</v>
      </c>
      <c r="G11" s="28"/>
    </row>
    <row r="12" spans="1:7" x14ac:dyDescent="0.25">
      <c r="A12" s="29" t="s">
        <v>106</v>
      </c>
      <c r="B12" s="49" t="s">
        <v>10</v>
      </c>
      <c r="C12" s="61">
        <f>'Sched 4 Earnings Growth'!E12</f>
        <v>4.3999999999999997E-2</v>
      </c>
      <c r="D12" s="61">
        <f>'Sched 4 Sust Growth'!S12</f>
        <v>3.9902614661849571E-2</v>
      </c>
      <c r="E12" s="61">
        <f t="shared" si="0"/>
        <v>4.2634204887283186E-2</v>
      </c>
      <c r="G12" s="28"/>
    </row>
    <row r="13" spans="1:7" x14ac:dyDescent="0.25">
      <c r="A13" s="29" t="s">
        <v>136</v>
      </c>
      <c r="B13" s="49" t="s">
        <v>137</v>
      </c>
      <c r="C13" s="61">
        <f>'Sched 4 Earnings Growth'!E13</f>
        <v>0.08</v>
      </c>
      <c r="D13" s="61">
        <f>'Sched 4 Sust Growth'!S13</f>
        <v>1.8150834969552242E-2</v>
      </c>
      <c r="E13" s="61">
        <f t="shared" si="0"/>
        <v>5.9383611656517413E-2</v>
      </c>
      <c r="G13" s="28"/>
    </row>
    <row r="14" spans="1:7" x14ac:dyDescent="0.25">
      <c r="A14" s="29" t="s">
        <v>176</v>
      </c>
      <c r="B14" s="49" t="s">
        <v>23</v>
      </c>
      <c r="C14" s="61">
        <f>'Sched 4 Earnings Growth'!E14</f>
        <v>4.4999999999999998E-2</v>
      </c>
      <c r="D14" s="61">
        <f>'Sched 4 Sust Growth'!S14</f>
        <v>7.0982551050060849E-2</v>
      </c>
      <c r="E14" s="61">
        <f t="shared" si="0"/>
        <v>5.366085035002028E-2</v>
      </c>
      <c r="G14" s="28"/>
    </row>
    <row r="15" spans="1:7" x14ac:dyDescent="0.25">
      <c r="A15" s="29" t="s">
        <v>1119</v>
      </c>
      <c r="B15" s="49" t="s">
        <v>1120</v>
      </c>
      <c r="C15" s="61">
        <f>'Sched 4 Earnings Growth'!E15</f>
        <v>4.0750000000000001E-2</v>
      </c>
      <c r="D15" s="61">
        <f>'Sched 4 Sust Growth'!S15</f>
        <v>5.0808117714075042E-2</v>
      </c>
      <c r="E15" s="61">
        <f t="shared" si="0"/>
        <v>4.4102705904691675E-2</v>
      </c>
    </row>
    <row r="16" spans="1:7" x14ac:dyDescent="0.25">
      <c r="B16" s="54"/>
      <c r="E16" s="3"/>
    </row>
    <row r="17" spans="1:7" x14ac:dyDescent="0.25">
      <c r="A17" s="2" t="s">
        <v>7</v>
      </c>
      <c r="C17" s="14">
        <f>AVERAGE(C9:C15)</f>
        <v>5.8607142857142858E-2</v>
      </c>
      <c r="D17" s="14">
        <f>AVERAGE(D9:D15)</f>
        <v>5.3794492844329862E-2</v>
      </c>
      <c r="E17" s="14">
        <f>AVERAGE(E9:E15)</f>
        <v>5.7002926186205186E-2</v>
      </c>
      <c r="G17" s="14"/>
    </row>
    <row r="18" spans="1:7" x14ac:dyDescent="0.25">
      <c r="A18" s="2" t="s">
        <v>1</v>
      </c>
      <c r="C18" s="14">
        <f>MEDIAN(C9:C15)</f>
        <v>0.06</v>
      </c>
      <c r="D18" s="14">
        <f>MEDIAN(D9:D15)</f>
        <v>5.0808117714075042E-2</v>
      </c>
      <c r="E18" s="14">
        <f>MEDIAN(E9:E15)</f>
        <v>5.9162790697674404E-2</v>
      </c>
      <c r="G18" s="14"/>
    </row>
    <row r="20" spans="1:7" x14ac:dyDescent="0.25">
      <c r="A20" s="29" t="s">
        <v>1381</v>
      </c>
    </row>
    <row r="46" spans="5:5" ht="17.25" x14ac:dyDescent="0.3">
      <c r="E46" s="74"/>
    </row>
  </sheetData>
  <printOptions horizontalCentered="1"/>
  <pageMargins left="0.7" right="0.7" top="1.25" bottom="0.75" header="0.3" footer="0.3"/>
  <pageSetup scale="90" firstPageNumber="4" orientation="portrait" useFirstPageNumber="1" r:id="rId1"/>
  <headerFooter alignWithMargins="0">
    <oddHeader>&amp;R&amp;K000000Docket No. UG-17____
Cascade Natural Gas Corp.
Exhibit No.___(JSG-2)
Schedule 4
Page &amp;P of 6</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3"/>
  <sheetViews>
    <sheetView view="pageBreakPreview" zoomScaleNormal="85" zoomScaleSheetLayoutView="100" workbookViewId="0">
      <selection activeCell="H11" sqref="H11"/>
    </sheetView>
  </sheetViews>
  <sheetFormatPr defaultColWidth="9" defaultRowHeight="15.75" x14ac:dyDescent="0.25"/>
  <cols>
    <col min="1" max="1" width="30.625" style="6" customWidth="1"/>
    <col min="2" max="8" width="10.625" style="6" customWidth="1"/>
    <col min="9" max="16384" width="9" style="6"/>
  </cols>
  <sheetData>
    <row r="1" spans="1:8" ht="20.25" x14ac:dyDescent="0.3">
      <c r="A1" s="24" t="s">
        <v>1107</v>
      </c>
      <c r="B1" s="86"/>
      <c r="C1" s="86"/>
      <c r="D1" s="86"/>
      <c r="E1" s="86"/>
      <c r="F1" s="86"/>
      <c r="G1" s="86"/>
      <c r="H1" s="86"/>
    </row>
    <row r="3" spans="1:8" ht="18.75" x14ac:dyDescent="0.3">
      <c r="A3" s="25" t="s">
        <v>32</v>
      </c>
      <c r="B3" s="86"/>
      <c r="C3" s="86"/>
      <c r="D3" s="86"/>
      <c r="E3" s="86"/>
      <c r="F3" s="86"/>
      <c r="G3" s="86"/>
      <c r="H3" s="86"/>
    </row>
    <row r="4" spans="1:8" ht="18.75" x14ac:dyDescent="0.3">
      <c r="A4" s="25" t="s">
        <v>51</v>
      </c>
      <c r="B4" s="86"/>
      <c r="C4" s="86"/>
      <c r="D4" s="86"/>
      <c r="E4" s="86"/>
      <c r="F4" s="86"/>
      <c r="G4" s="86"/>
      <c r="H4" s="86"/>
    </row>
    <row r="6" spans="1:8" ht="32.25" thickBot="1" x14ac:dyDescent="0.3">
      <c r="F6" s="107" t="s">
        <v>48</v>
      </c>
      <c r="H6" s="107" t="s">
        <v>49</v>
      </c>
    </row>
    <row r="7" spans="1:8" ht="47.25" x14ac:dyDescent="0.25">
      <c r="A7" s="88" t="s">
        <v>132</v>
      </c>
      <c r="B7" s="88" t="s">
        <v>133</v>
      </c>
      <c r="C7" s="89" t="s">
        <v>45</v>
      </c>
      <c r="D7" s="89" t="s">
        <v>50</v>
      </c>
      <c r="E7" s="89" t="s">
        <v>46</v>
      </c>
      <c r="F7" s="108" t="s">
        <v>14</v>
      </c>
      <c r="G7" s="89" t="s">
        <v>15</v>
      </c>
      <c r="H7" s="108" t="s">
        <v>16</v>
      </c>
    </row>
    <row r="9" spans="1:8" x14ac:dyDescent="0.25">
      <c r="A9" s="29" t="s">
        <v>111</v>
      </c>
      <c r="B9" s="49" t="s">
        <v>135</v>
      </c>
      <c r="C9" s="109">
        <f>'Sched 4 Div Yld'!H11</f>
        <v>2.3804803073309167E-2</v>
      </c>
      <c r="D9" s="109">
        <f>(1+(0.625*E9))*C9</f>
        <v>2.4838824206806033E-2</v>
      </c>
      <c r="E9" s="109">
        <f>'Sched 4 Earnings Growth'!E9</f>
        <v>6.9500000000000006E-2</v>
      </c>
      <c r="F9" s="109">
        <f>D9+E9</f>
        <v>9.4338824206806032E-2</v>
      </c>
      <c r="G9" s="111">
        <f>1+'Sched 2 Flot Cost'!$F$46</f>
        <v>1.04</v>
      </c>
      <c r="H9" s="109">
        <f>F9*G9</f>
        <v>9.8112377175078272E-2</v>
      </c>
    </row>
    <row r="10" spans="1:8" x14ac:dyDescent="0.25">
      <c r="A10" s="23" t="s">
        <v>175</v>
      </c>
      <c r="B10" s="60" t="s">
        <v>20</v>
      </c>
      <c r="C10" s="109">
        <f>'Sched 4 Div Yld'!H12</f>
        <v>2.7615699328992643E-2</v>
      </c>
      <c r="D10" s="109">
        <f>(1+(0.625*E10))*C10</f>
        <v>2.8651288053829868E-2</v>
      </c>
      <c r="E10" s="109">
        <f>'Sched 4 Earnings Growth'!E10</f>
        <v>0.06</v>
      </c>
      <c r="F10" s="109">
        <f>D10+E10</f>
        <v>8.8651288053829866E-2</v>
      </c>
      <c r="G10" s="111">
        <f>1+'Sched 2 Flot Cost'!$F$46</f>
        <v>1.04</v>
      </c>
      <c r="H10" s="109">
        <f>F10*G10</f>
        <v>9.219733957598307E-2</v>
      </c>
    </row>
    <row r="11" spans="1:8" x14ac:dyDescent="0.25">
      <c r="A11" s="23" t="s">
        <v>63</v>
      </c>
      <c r="B11" s="60" t="s">
        <v>780</v>
      </c>
      <c r="C11" s="109">
        <f>'Sched 4 Div Yld'!H13</f>
        <v>2.9835808814806134E-2</v>
      </c>
      <c r="D11" s="109">
        <f>(1+(0.625*E11))*C11</f>
        <v>3.1159772830963158E-2</v>
      </c>
      <c r="E11" s="109">
        <f>'Sched 4 Earnings Growth'!E11</f>
        <v>7.1000000000000008E-2</v>
      </c>
      <c r="F11" s="109">
        <f>D11+E11</f>
        <v>0.10215977283096317</v>
      </c>
      <c r="G11" s="111">
        <f>1+'Sched 2 Flot Cost'!$F$46</f>
        <v>1.04</v>
      </c>
      <c r="H11" s="109">
        <f>F11*G11</f>
        <v>0.1062461637442017</v>
      </c>
    </row>
    <row r="12" spans="1:8" x14ac:dyDescent="0.25">
      <c r="A12" s="29" t="s">
        <v>106</v>
      </c>
      <c r="B12" s="49" t="s">
        <v>10</v>
      </c>
      <c r="C12" s="109">
        <f>'Sched 4 Div Yld'!H14</f>
        <v>3.1969022227061349E-2</v>
      </c>
      <c r="D12" s="109">
        <f>(1+(0.625*E12))*C12</f>
        <v>3.2848170338305539E-2</v>
      </c>
      <c r="E12" s="109">
        <f>'Sched 4 Earnings Growth'!E12</f>
        <v>4.3999999999999997E-2</v>
      </c>
      <c r="F12" s="109">
        <f>D12+E12</f>
        <v>7.6848170338305544E-2</v>
      </c>
      <c r="G12" s="111">
        <f>1+'Sched 2 Flot Cost'!$F$46</f>
        <v>1.04</v>
      </c>
      <c r="H12" s="109">
        <f>F12*G12</f>
        <v>7.9922097151837762E-2</v>
      </c>
    </row>
    <row r="13" spans="1:8" x14ac:dyDescent="0.25">
      <c r="A13" s="29" t="s">
        <v>136</v>
      </c>
      <c r="B13" s="49" t="s">
        <v>137</v>
      </c>
      <c r="C13" s="109">
        <f>'Sched 4 Div Yld'!H15</f>
        <v>3.2202387040744331E-2</v>
      </c>
      <c r="D13" s="109">
        <f t="shared" ref="D13:D14" si="0">(1+(0.625*E13))*C13</f>
        <v>3.3812506392781549E-2</v>
      </c>
      <c r="E13" s="109">
        <f>'Sched 4 Earnings Growth'!E13</f>
        <v>0.08</v>
      </c>
      <c r="F13" s="109">
        <f t="shared" ref="F13:F14" si="1">D13+E13</f>
        <v>0.11381250639278155</v>
      </c>
      <c r="G13" s="111">
        <f>1+'Sched 2 Flot Cost'!$F$46</f>
        <v>1.04</v>
      </c>
      <c r="H13" s="109">
        <f t="shared" ref="H13:H14" si="2">F13*G13</f>
        <v>0.11836500664849282</v>
      </c>
    </row>
    <row r="14" spans="1:8" x14ac:dyDescent="0.25">
      <c r="A14" s="29" t="s">
        <v>176</v>
      </c>
      <c r="B14" s="49" t="s">
        <v>23</v>
      </c>
      <c r="C14" s="109">
        <f>'Sched 4 Div Yld'!H16</f>
        <v>2.2709978374208285E-2</v>
      </c>
      <c r="D14" s="109">
        <f t="shared" si="0"/>
        <v>2.334869651598289E-2</v>
      </c>
      <c r="E14" s="109">
        <f>'Sched 4 Earnings Growth'!E14</f>
        <v>4.4999999999999998E-2</v>
      </c>
      <c r="F14" s="109">
        <f t="shared" si="1"/>
        <v>6.8348696515982882E-2</v>
      </c>
      <c r="G14" s="111">
        <f>1+'Sched 2 Flot Cost'!$F$46</f>
        <v>1.04</v>
      </c>
      <c r="H14" s="109">
        <f t="shared" si="2"/>
        <v>7.1082644376622206E-2</v>
      </c>
    </row>
    <row r="15" spans="1:8" x14ac:dyDescent="0.25">
      <c r="A15" s="29" t="s">
        <v>1119</v>
      </c>
      <c r="B15" s="49" t="s">
        <v>1120</v>
      </c>
      <c r="C15" s="109">
        <f>'Sched 4 Div Yld'!H17</f>
        <v>3.1895164698633106E-2</v>
      </c>
      <c r="D15" s="109">
        <f>(1+(0.625*E15))*C15</f>
        <v>3.2707494674551418E-2</v>
      </c>
      <c r="E15" s="109">
        <f>'Sched 4 Earnings Growth'!E15</f>
        <v>4.0750000000000001E-2</v>
      </c>
      <c r="F15" s="109">
        <f t="shared" ref="F15" si="3">D15+E15</f>
        <v>7.3457494674551427E-2</v>
      </c>
      <c r="G15" s="111">
        <f>1+'Sched 2 Flot Cost'!$F$46</f>
        <v>1.04</v>
      </c>
      <c r="H15" s="109">
        <f t="shared" ref="H15" si="4">F15*G15</f>
        <v>7.6395794461533481E-2</v>
      </c>
    </row>
    <row r="16" spans="1:8" x14ac:dyDescent="0.25">
      <c r="A16" s="2"/>
      <c r="H16" s="4"/>
    </row>
    <row r="17" spans="1:8" ht="18.75" customHeight="1" x14ac:dyDescent="0.25">
      <c r="A17" s="6" t="s">
        <v>0</v>
      </c>
      <c r="F17" s="110">
        <f>MAX(F9:F15)</f>
        <v>0.11381250639278155</v>
      </c>
      <c r="H17" s="110">
        <f>MAX(H9:H15)</f>
        <v>0.11836500664849282</v>
      </c>
    </row>
    <row r="18" spans="1:8" ht="18.75" x14ac:dyDescent="0.25">
      <c r="A18" s="6" t="s">
        <v>1100</v>
      </c>
      <c r="F18" s="110">
        <f>QUARTILE(F9:F15,3)</f>
        <v>9.8249298518884601E-2</v>
      </c>
      <c r="H18" s="110">
        <f>QUARTILE(H9:H15,3)</f>
        <v>0.10217927045963998</v>
      </c>
    </row>
    <row r="19" spans="1:8" ht="18.75" x14ac:dyDescent="0.25">
      <c r="A19" s="2" t="s">
        <v>1101</v>
      </c>
      <c r="F19" s="4">
        <f>MEDIAN(F9:F15)</f>
        <v>8.8651288053829866E-2</v>
      </c>
      <c r="H19" s="4">
        <f>MEDIAN(H9:H15)</f>
        <v>9.219733957598307E-2</v>
      </c>
    </row>
    <row r="20" spans="1:8" ht="18.75" x14ac:dyDescent="0.25">
      <c r="A20" s="6" t="s">
        <v>1102</v>
      </c>
      <c r="F20" s="110">
        <f>QUARTILE(F9:F15,1)</f>
        <v>7.5152832506428485E-2</v>
      </c>
      <c r="H20" s="110">
        <f>QUARTILE(H9:H15,1)</f>
        <v>7.8158945806685615E-2</v>
      </c>
    </row>
    <row r="21" spans="1:8" ht="18.75" customHeight="1" x14ac:dyDescent="0.25">
      <c r="A21" s="6" t="s">
        <v>2</v>
      </c>
      <c r="F21" s="110">
        <f>MIN(F9:F15)</f>
        <v>6.8348696515982882E-2</v>
      </c>
      <c r="H21" s="110">
        <f>MIN(H9:H15)</f>
        <v>7.1082644376622206E-2</v>
      </c>
    </row>
    <row r="23" spans="1:8" x14ac:dyDescent="0.25">
      <c r="A23" s="6" t="s">
        <v>1382</v>
      </c>
    </row>
  </sheetData>
  <phoneticPr fontId="0" type="noConversion"/>
  <printOptions horizontalCentered="1"/>
  <pageMargins left="0.7" right="0.7" top="1.25" bottom="0.75" header="0.3" footer="0.3"/>
  <pageSetup scale="80" firstPageNumber="5" orientation="portrait" useFirstPageNumber="1" copies="3" r:id="rId1"/>
  <headerFooter alignWithMargins="0">
    <oddHeader>&amp;R&amp;K01+000Docket No. UG-17____
Cascade Natural Gas Corp.&amp;K000000
Exhibit No.___(JSG-2)
Schedule 4
Page &amp;P of 6</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3"/>
  <sheetViews>
    <sheetView view="pageBreakPreview" zoomScaleNormal="85" zoomScaleSheetLayoutView="100" workbookViewId="0">
      <selection activeCell="H4" sqref="H4"/>
    </sheetView>
  </sheetViews>
  <sheetFormatPr defaultColWidth="9" defaultRowHeight="15.75" x14ac:dyDescent="0.25"/>
  <cols>
    <col min="1" max="1" width="30.625" style="6" customWidth="1"/>
    <col min="2" max="8" width="10.625" style="6" customWidth="1"/>
    <col min="9" max="16384" width="9" style="6"/>
  </cols>
  <sheetData>
    <row r="1" spans="1:8" ht="20.25" x14ac:dyDescent="0.3">
      <c r="A1" s="24" t="s">
        <v>1105</v>
      </c>
      <c r="B1" s="86"/>
      <c r="C1" s="86"/>
      <c r="D1" s="86"/>
      <c r="E1" s="86"/>
      <c r="F1" s="86"/>
      <c r="G1" s="86"/>
      <c r="H1" s="86"/>
    </row>
    <row r="3" spans="1:8" ht="18.75" x14ac:dyDescent="0.3">
      <c r="A3" s="25" t="s">
        <v>32</v>
      </c>
      <c r="B3" s="86"/>
      <c r="C3" s="86"/>
      <c r="D3" s="86"/>
      <c r="E3" s="86"/>
      <c r="F3" s="86"/>
      <c r="G3" s="86"/>
      <c r="H3" s="86"/>
    </row>
    <row r="4" spans="1:8" ht="18.75" x14ac:dyDescent="0.3">
      <c r="A4" s="25" t="s">
        <v>119</v>
      </c>
      <c r="B4" s="86"/>
      <c r="C4" s="86"/>
      <c r="D4" s="86"/>
      <c r="E4" s="86"/>
      <c r="F4" s="86"/>
      <c r="G4" s="86"/>
      <c r="H4" s="86"/>
    </row>
    <row r="6" spans="1:8" ht="32.25" thickBot="1" x14ac:dyDescent="0.3">
      <c r="F6" s="107" t="s">
        <v>48</v>
      </c>
      <c r="H6" s="107" t="s">
        <v>49</v>
      </c>
    </row>
    <row r="7" spans="1:8" ht="47.25" x14ac:dyDescent="0.25">
      <c r="A7" s="88" t="s">
        <v>132</v>
      </c>
      <c r="B7" s="88" t="s">
        <v>133</v>
      </c>
      <c r="C7" s="89" t="s">
        <v>45</v>
      </c>
      <c r="D7" s="89" t="s">
        <v>50</v>
      </c>
      <c r="E7" s="89" t="s">
        <v>46</v>
      </c>
      <c r="F7" s="108" t="s">
        <v>47</v>
      </c>
      <c r="G7" s="89" t="s">
        <v>17</v>
      </c>
      <c r="H7" s="108" t="s">
        <v>16</v>
      </c>
    </row>
    <row r="9" spans="1:8" x14ac:dyDescent="0.25">
      <c r="A9" s="29" t="s">
        <v>111</v>
      </c>
      <c r="B9" s="49" t="s">
        <v>135</v>
      </c>
      <c r="C9" s="109">
        <f>'Sched 4 Div Yld'!H11</f>
        <v>2.3804803073309167E-2</v>
      </c>
      <c r="D9" s="109">
        <f t="shared" ref="D9:D14" si="0">(1+(0.625*E9))*C9</f>
        <v>2.4971688365519804E-2</v>
      </c>
      <c r="E9" s="109">
        <f>'Sched 4 Blended Growth'!E9</f>
        <v>7.8430242072886014E-2</v>
      </c>
      <c r="F9" s="109">
        <f t="shared" ref="F9:F14" si="1">D9+E9</f>
        <v>0.10340193043840581</v>
      </c>
      <c r="G9" s="111">
        <f>1+'Sched 2 Flot Cost'!$F$46</f>
        <v>1.04</v>
      </c>
      <c r="H9" s="109">
        <f t="shared" ref="H9:H14" si="2">F9*G9</f>
        <v>0.10753800765594206</v>
      </c>
    </row>
    <row r="10" spans="1:8" x14ac:dyDescent="0.25">
      <c r="A10" s="23" t="s">
        <v>175</v>
      </c>
      <c r="B10" s="60" t="s">
        <v>20</v>
      </c>
      <c r="C10" s="109">
        <f>'Sched 4 Div Yld'!H12</f>
        <v>2.7615699328992643E-2</v>
      </c>
      <c r="D10" s="109">
        <f>(1+(0.625*E10))*C10</f>
        <v>2.8636837978599578E-2</v>
      </c>
      <c r="E10" s="109">
        <f>'Sched 4 Blended Growth'!E10</f>
        <v>5.9162790697674404E-2</v>
      </c>
      <c r="F10" s="109">
        <f>D10+E10</f>
        <v>8.7799628676273986E-2</v>
      </c>
      <c r="G10" s="111">
        <f>1+'Sched 2 Flot Cost'!$F$46</f>
        <v>1.04</v>
      </c>
      <c r="H10" s="109">
        <f>F10*G10</f>
        <v>9.131161382332495E-2</v>
      </c>
    </row>
    <row r="11" spans="1:8" x14ac:dyDescent="0.25">
      <c r="A11" s="23" t="s">
        <v>63</v>
      </c>
      <c r="B11" s="60" t="s">
        <v>780</v>
      </c>
      <c r="C11" s="109">
        <f>'Sched 4 Div Yld'!H13</f>
        <v>2.9835808814806134E-2</v>
      </c>
      <c r="D11" s="109">
        <f>(1+(0.625*E11))*C11</f>
        <v>3.0985346683221848E-2</v>
      </c>
      <c r="E11" s="109">
        <f>'Sched 4 Blended Growth'!E11</f>
        <v>6.1646077734363341E-2</v>
      </c>
      <c r="F11" s="109">
        <f>D11+E11</f>
        <v>9.2631424417585193E-2</v>
      </c>
      <c r="G11" s="111">
        <f>1+'Sched 2 Flot Cost'!$F$46</f>
        <v>1.04</v>
      </c>
      <c r="H11" s="109">
        <f>F11*G11</f>
        <v>9.6336681394288609E-2</v>
      </c>
    </row>
    <row r="12" spans="1:8" x14ac:dyDescent="0.25">
      <c r="A12" s="29" t="s">
        <v>106</v>
      </c>
      <c r="B12" s="49" t="s">
        <v>10</v>
      </c>
      <c r="C12" s="109">
        <f>'Sched 4 Div Yld'!H14</f>
        <v>3.1969022227061349E-2</v>
      </c>
      <c r="D12" s="109">
        <f>(1+(0.625*E12))*C12</f>
        <v>3.2820880879358E-2</v>
      </c>
      <c r="E12" s="109">
        <f>'Sched 4 Blended Growth'!E12</f>
        <v>4.2634204887283186E-2</v>
      </c>
      <c r="F12" s="109">
        <f>D12+E12</f>
        <v>7.5455085766641186E-2</v>
      </c>
      <c r="G12" s="111">
        <f>1+'Sched 2 Flot Cost'!$F$46</f>
        <v>1.04</v>
      </c>
      <c r="H12" s="109">
        <f>F12*G12</f>
        <v>7.8473289197306839E-2</v>
      </c>
    </row>
    <row r="13" spans="1:8" x14ac:dyDescent="0.25">
      <c r="A13" s="29" t="s">
        <v>136</v>
      </c>
      <c r="B13" s="49" t="s">
        <v>137</v>
      </c>
      <c r="C13" s="109">
        <f>'Sched 4 Div Yld'!H15</f>
        <v>3.2202387040744331E-2</v>
      </c>
      <c r="D13" s="109">
        <f t="shared" si="0"/>
        <v>3.3397570819769601E-2</v>
      </c>
      <c r="E13" s="109">
        <f>'Sched 4 Blended Growth'!E13</f>
        <v>5.9383611656517413E-2</v>
      </c>
      <c r="F13" s="109">
        <f t="shared" si="1"/>
        <v>9.2781182476287014E-2</v>
      </c>
      <c r="G13" s="111">
        <f>1+'Sched 2 Flot Cost'!$F$46</f>
        <v>1.04</v>
      </c>
      <c r="H13" s="109">
        <f t="shared" si="2"/>
        <v>9.6492429775338492E-2</v>
      </c>
    </row>
    <row r="14" spans="1:8" x14ac:dyDescent="0.25">
      <c r="A14" s="29" t="s">
        <v>176</v>
      </c>
      <c r="B14" s="49" t="s">
        <v>23</v>
      </c>
      <c r="C14" s="109">
        <f>'Sched 4 Div Yld'!H16</f>
        <v>2.2709978374208285E-2</v>
      </c>
      <c r="D14" s="109">
        <f t="shared" si="0"/>
        <v>2.3471626343577405E-2</v>
      </c>
      <c r="E14" s="109">
        <f>'Sched 4 Blended Growth'!E14</f>
        <v>5.366085035002028E-2</v>
      </c>
      <c r="F14" s="109">
        <f t="shared" si="1"/>
        <v>7.7132476693597685E-2</v>
      </c>
      <c r="G14" s="111">
        <f>1+'Sched 2 Flot Cost'!$F$46</f>
        <v>1.04</v>
      </c>
      <c r="H14" s="109">
        <f t="shared" si="2"/>
        <v>8.0217775761341592E-2</v>
      </c>
    </row>
    <row r="15" spans="1:8" x14ac:dyDescent="0.25">
      <c r="A15" s="29" t="s">
        <v>1119</v>
      </c>
      <c r="B15" s="49" t="s">
        <v>1120</v>
      </c>
      <c r="C15" s="109">
        <f>'Sched 4 Div Yld'!H17</f>
        <v>3.1895164698633106E-2</v>
      </c>
      <c r="D15" s="109">
        <f>(1+(0.625*E15))*C15</f>
        <v>3.277432911643656E-2</v>
      </c>
      <c r="E15" s="109">
        <f>'Sched 4 Blended Growth'!E15</f>
        <v>4.4102705904691675E-2</v>
      </c>
      <c r="F15" s="109">
        <f t="shared" ref="F15" si="3">D15+E15</f>
        <v>7.6877035021128234E-2</v>
      </c>
      <c r="G15" s="111">
        <f>1+'Sched 2 Flot Cost'!$F$46</f>
        <v>1.04</v>
      </c>
      <c r="H15" s="109">
        <f t="shared" ref="H15" si="4">F15*G15</f>
        <v>7.9952116421973363E-2</v>
      </c>
    </row>
    <row r="16" spans="1:8" x14ac:dyDescent="0.25">
      <c r="A16" s="2"/>
      <c r="H16" s="4"/>
    </row>
    <row r="17" spans="1:8" ht="18.75" customHeight="1" x14ac:dyDescent="0.25">
      <c r="A17" s="6" t="s">
        <v>0</v>
      </c>
      <c r="F17" s="110">
        <f>MAX(F9:F15)</f>
        <v>0.10340193043840581</v>
      </c>
      <c r="H17" s="110">
        <f>MAX(H9:H15)</f>
        <v>0.10753800765594206</v>
      </c>
    </row>
    <row r="18" spans="1:8" ht="18.75" x14ac:dyDescent="0.25">
      <c r="A18" s="6" t="s">
        <v>1100</v>
      </c>
      <c r="F18" s="110">
        <f>QUARTILE(F9:F15,3)</f>
        <v>9.2706303446936103E-2</v>
      </c>
      <c r="H18" s="110">
        <f>QUARTILE(H9:H15,3)</f>
        <v>9.6414555584813544E-2</v>
      </c>
    </row>
    <row r="19" spans="1:8" ht="18.75" x14ac:dyDescent="0.25">
      <c r="A19" s="2" t="s">
        <v>1101</v>
      </c>
      <c r="F19" s="4">
        <f>MEDIAN(F9:F15)</f>
        <v>8.7799628676273986E-2</v>
      </c>
      <c r="H19" s="4">
        <f>MEDIAN(H9:H15)</f>
        <v>9.131161382332495E-2</v>
      </c>
    </row>
    <row r="20" spans="1:8" ht="18.75" x14ac:dyDescent="0.25">
      <c r="A20" s="6" t="s">
        <v>1102</v>
      </c>
      <c r="F20" s="110">
        <f>QUARTILE(F9:F15,1)</f>
        <v>7.7004755857362966E-2</v>
      </c>
      <c r="H20" s="110">
        <f>QUARTILE(H9:H15,1)</f>
        <v>8.0084946091657477E-2</v>
      </c>
    </row>
    <row r="21" spans="1:8" ht="18.75" customHeight="1" x14ac:dyDescent="0.25">
      <c r="A21" s="6" t="s">
        <v>2</v>
      </c>
      <c r="F21" s="110">
        <f>MIN(F9:F15)</f>
        <v>7.5455085766641186E-2</v>
      </c>
      <c r="H21" s="110">
        <f>MIN(H9:H15)</f>
        <v>7.8473289197306839E-2</v>
      </c>
    </row>
    <row r="23" spans="1:8" x14ac:dyDescent="0.25">
      <c r="A23" s="6" t="s">
        <v>1383</v>
      </c>
    </row>
  </sheetData>
  <phoneticPr fontId="0" type="noConversion"/>
  <printOptions horizontalCentered="1"/>
  <pageMargins left="0.7" right="0.7" top="1.25" bottom="0.75" header="0.3" footer="0.3"/>
  <pageSetup scale="80" firstPageNumber="6" orientation="portrait" useFirstPageNumber="1" copies="3" r:id="rId1"/>
  <headerFooter alignWithMargins="0">
    <oddHeader>&amp;R&amp;K01+000Docket No. UG-17____
Cascade Natural Gas Corp.&amp;K000000
Exhibit No.___(JSG-2)
Schedule 4
Page &amp;P of 6</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Y107"/>
  <sheetViews>
    <sheetView view="pageBreakPreview" topLeftCell="A3" zoomScale="90" zoomScaleNormal="85" zoomScaleSheetLayoutView="90" workbookViewId="0"/>
  </sheetViews>
  <sheetFormatPr defaultColWidth="8.625" defaultRowHeight="12.75" x14ac:dyDescent="0.2"/>
  <cols>
    <col min="1" max="1" width="2.25" style="153" customWidth="1"/>
    <col min="2" max="5" width="15.625" style="153" customWidth="1"/>
    <col min="6" max="6" width="8.625" style="153"/>
    <col min="7" max="7" width="20.625" style="153" customWidth="1"/>
    <col min="8" max="8" width="12.375" style="153" bestFit="1" customWidth="1"/>
    <col min="9" max="9" width="13.875" style="153" bestFit="1" customWidth="1"/>
    <col min="10" max="10" width="12.375" style="153" bestFit="1" customWidth="1"/>
    <col min="11" max="11" width="12.125" style="153" bestFit="1" customWidth="1"/>
    <col min="12" max="12" width="12.875" style="153" bestFit="1" customWidth="1"/>
    <col min="13" max="15" width="12.375" style="153" bestFit="1" customWidth="1"/>
    <col min="16" max="16384" width="8.625" style="153"/>
  </cols>
  <sheetData>
    <row r="2" spans="2:15" ht="15.75" x14ac:dyDescent="0.25">
      <c r="B2" s="151" t="s">
        <v>1210</v>
      </c>
      <c r="C2" s="152"/>
      <c r="D2" s="152"/>
      <c r="E2" s="152"/>
      <c r="G2" s="151" t="s">
        <v>1210</v>
      </c>
      <c r="H2" s="152"/>
      <c r="I2" s="152"/>
      <c r="J2" s="152"/>
      <c r="K2" s="152"/>
      <c r="L2" s="152"/>
      <c r="M2" s="152"/>
      <c r="N2" s="152"/>
      <c r="O2" s="152"/>
    </row>
    <row r="4" spans="2:15" ht="16.5" thickBot="1" x14ac:dyDescent="0.3">
      <c r="B4" s="154"/>
      <c r="C4" s="155" t="s">
        <v>77</v>
      </c>
      <c r="D4" s="155" t="s">
        <v>78</v>
      </c>
      <c r="E4" s="155" t="s">
        <v>79</v>
      </c>
    </row>
    <row r="5" spans="2:15" ht="47.25" x14ac:dyDescent="0.25">
      <c r="B5" s="156"/>
      <c r="C5" s="157" t="s">
        <v>1211</v>
      </c>
      <c r="D5" s="158" t="s">
        <v>1212</v>
      </c>
      <c r="E5" s="158" t="s">
        <v>1213</v>
      </c>
    </row>
    <row r="6" spans="2:15" ht="15.75" x14ac:dyDescent="0.25">
      <c r="B6" s="159"/>
      <c r="C6" s="160"/>
      <c r="D6" s="160"/>
      <c r="E6" s="160"/>
    </row>
    <row r="7" spans="2:15" ht="15.75" x14ac:dyDescent="0.25">
      <c r="B7" s="161">
        <v>1992.1</v>
      </c>
      <c r="C7" s="162">
        <v>0.12418</v>
      </c>
      <c r="D7" s="162">
        <v>7.8350000000000003E-2</v>
      </c>
      <c r="E7" s="162">
        <f>C7-D7</f>
        <v>4.5829999999999996E-2</v>
      </c>
    </row>
    <row r="8" spans="2:15" ht="15.75" x14ac:dyDescent="0.25">
      <c r="B8" s="161">
        <v>1992.2</v>
      </c>
      <c r="C8" s="162">
        <v>0.11983333333333333</v>
      </c>
      <c r="D8" s="162">
        <v>7.8843333333333335E-2</v>
      </c>
      <c r="E8" s="162">
        <f t="shared" ref="E8:E71" si="0">C8-D8</f>
        <v>4.0989999999999999E-2</v>
      </c>
    </row>
    <row r="9" spans="2:15" ht="15.75" x14ac:dyDescent="0.25">
      <c r="B9" s="161">
        <v>1992.3</v>
      </c>
      <c r="C9" s="162">
        <v>0.11908571428571427</v>
      </c>
      <c r="D9" s="162">
        <v>7.415999999999999E-2</v>
      </c>
      <c r="E9" s="162">
        <f t="shared" si="0"/>
        <v>4.4925714285714277E-2</v>
      </c>
    </row>
    <row r="10" spans="2:15" ht="15.75" x14ac:dyDescent="0.25">
      <c r="B10" s="161">
        <v>1992.4</v>
      </c>
      <c r="C10" s="162">
        <v>0.11915217391304352</v>
      </c>
      <c r="D10" s="162">
        <v>7.5396666666666667E-2</v>
      </c>
      <c r="E10" s="162">
        <f t="shared" si="0"/>
        <v>4.3755507246376849E-2</v>
      </c>
    </row>
    <row r="11" spans="2:15" ht="15.75" x14ac:dyDescent="0.25">
      <c r="B11" s="161">
        <v>1993.1</v>
      </c>
      <c r="C11" s="162">
        <v>0.11749999999999999</v>
      </c>
      <c r="D11" s="162">
        <v>7.0066666666666666E-2</v>
      </c>
      <c r="E11" s="162">
        <f t="shared" si="0"/>
        <v>4.7433333333333327E-2</v>
      </c>
    </row>
    <row r="12" spans="2:15" ht="15.75" x14ac:dyDescent="0.25">
      <c r="B12" s="161">
        <v>1993.2</v>
      </c>
      <c r="C12" s="162">
        <v>0.1170833333333333</v>
      </c>
      <c r="D12" s="162">
        <v>6.8616666666666673E-2</v>
      </c>
      <c r="E12" s="162">
        <f t="shared" si="0"/>
        <v>4.846666666666663E-2</v>
      </c>
    </row>
    <row r="13" spans="2:15" ht="15.75" x14ac:dyDescent="0.25">
      <c r="B13" s="161">
        <v>1993.3</v>
      </c>
      <c r="C13" s="162">
        <v>0.11397368421052632</v>
      </c>
      <c r="D13" s="162">
        <v>6.2270000000000006E-2</v>
      </c>
      <c r="E13" s="162">
        <f t="shared" si="0"/>
        <v>5.1703684210526318E-2</v>
      </c>
    </row>
    <row r="14" spans="2:15" ht="15.75" x14ac:dyDescent="0.25">
      <c r="B14" s="161">
        <v>1993.4</v>
      </c>
      <c r="C14" s="162">
        <v>0.11122000000000004</v>
      </c>
      <c r="D14" s="162">
        <v>6.2063333333333331E-2</v>
      </c>
      <c r="E14" s="162">
        <f t="shared" si="0"/>
        <v>4.915666666666671E-2</v>
      </c>
    </row>
    <row r="15" spans="2:15" ht="15.75" x14ac:dyDescent="0.25">
      <c r="B15" s="161">
        <v>1994.1</v>
      </c>
      <c r="C15" s="162">
        <v>0.11120000000000001</v>
      </c>
      <c r="D15" s="162">
        <v>6.6636666666666663E-2</v>
      </c>
      <c r="E15" s="162">
        <f t="shared" si="0"/>
        <v>4.4563333333333344E-2</v>
      </c>
    </row>
    <row r="16" spans="2:15" ht="15.75" x14ac:dyDescent="0.25">
      <c r="B16" s="163">
        <v>1994.2</v>
      </c>
      <c r="C16" s="162">
        <v>0.10834999999999999</v>
      </c>
      <c r="D16" s="162">
        <v>7.4476666666666663E-2</v>
      </c>
      <c r="E16" s="162">
        <f t="shared" si="0"/>
        <v>3.3873333333333325E-2</v>
      </c>
    </row>
    <row r="17" spans="2:15" ht="15.75" x14ac:dyDescent="0.25">
      <c r="B17" s="164">
        <v>1994.3</v>
      </c>
      <c r="C17" s="162">
        <v>0.10866666666666668</v>
      </c>
      <c r="D17" s="162">
        <v>7.5546666666666665E-2</v>
      </c>
      <c r="E17" s="162">
        <f t="shared" si="0"/>
        <v>3.3120000000000011E-2</v>
      </c>
    </row>
    <row r="18" spans="2:15" ht="15.75" x14ac:dyDescent="0.25">
      <c r="B18" s="163">
        <v>1994.4</v>
      </c>
      <c r="C18" s="162">
        <v>0.11525833333333334</v>
      </c>
      <c r="D18" s="162">
        <v>7.9499999999999987E-2</v>
      </c>
      <c r="E18" s="162">
        <f t="shared" si="0"/>
        <v>3.575833333333335E-2</v>
      </c>
    </row>
    <row r="19" spans="2:15" ht="15.75" x14ac:dyDescent="0.25">
      <c r="B19" s="161">
        <v>1995.2</v>
      </c>
      <c r="C19" s="162">
        <v>0.11</v>
      </c>
      <c r="D19" s="162">
        <v>6.8673333333333336E-2</v>
      </c>
      <c r="E19" s="162">
        <f t="shared" si="0"/>
        <v>4.1326666666666664E-2</v>
      </c>
    </row>
    <row r="20" spans="2:15" ht="15.75" x14ac:dyDescent="0.25">
      <c r="B20" s="161">
        <v>1995.3</v>
      </c>
      <c r="C20" s="162">
        <v>0.11066666666666668</v>
      </c>
      <c r="D20" s="162">
        <v>6.664666666666666E-2</v>
      </c>
      <c r="E20" s="162">
        <f t="shared" si="0"/>
        <v>4.4020000000000017E-2</v>
      </c>
    </row>
    <row r="21" spans="2:15" ht="15.75" x14ac:dyDescent="0.25">
      <c r="B21" s="161">
        <v>1995.4</v>
      </c>
      <c r="C21" s="162">
        <v>0.11606666666666667</v>
      </c>
      <c r="D21" s="162">
        <v>6.1356666666666664E-2</v>
      </c>
      <c r="E21" s="162">
        <f t="shared" si="0"/>
        <v>5.4710000000000002E-2</v>
      </c>
    </row>
    <row r="22" spans="2:15" ht="15.75" x14ac:dyDescent="0.25">
      <c r="B22" s="161">
        <v>1996.1</v>
      </c>
      <c r="C22" s="162">
        <v>0.11449999999999999</v>
      </c>
      <c r="D22" s="162">
        <v>6.3879999999999992E-2</v>
      </c>
      <c r="E22" s="162">
        <f t="shared" si="0"/>
        <v>5.0619999999999998E-2</v>
      </c>
    </row>
    <row r="23" spans="2:15" ht="15.75" x14ac:dyDescent="0.25">
      <c r="B23" s="161">
        <v>1996.2</v>
      </c>
      <c r="C23" s="162">
        <v>0.10875000000000001</v>
      </c>
      <c r="D23" s="162">
        <v>6.9220000000000004E-2</v>
      </c>
      <c r="E23" s="162">
        <f t="shared" si="0"/>
        <v>3.953000000000001E-2</v>
      </c>
    </row>
    <row r="24" spans="2:15" ht="15.75" x14ac:dyDescent="0.25">
      <c r="B24" s="161">
        <v>1996.3</v>
      </c>
      <c r="C24" s="162">
        <v>0.1125</v>
      </c>
      <c r="D24" s="162">
        <v>7.0036666666666664E-2</v>
      </c>
      <c r="E24" s="162">
        <f t="shared" si="0"/>
        <v>4.2463333333333339E-2</v>
      </c>
    </row>
    <row r="25" spans="2:15" ht="15.75" x14ac:dyDescent="0.25">
      <c r="B25" s="161">
        <v>1996.4</v>
      </c>
      <c r="C25" s="162">
        <v>0.11194285714285714</v>
      </c>
      <c r="D25" s="162">
        <v>6.5446666666666667E-2</v>
      </c>
      <c r="E25" s="162">
        <f t="shared" si="0"/>
        <v>4.6496190476190469E-2</v>
      </c>
      <c r="G25" t="s">
        <v>1214</v>
      </c>
      <c r="H25"/>
      <c r="I25"/>
      <c r="J25"/>
      <c r="K25"/>
      <c r="L25"/>
      <c r="M25"/>
      <c r="N25"/>
      <c r="O25"/>
    </row>
    <row r="26" spans="2:15" ht="16.5" thickBot="1" x14ac:dyDescent="0.3">
      <c r="B26" s="161">
        <v>1997.1</v>
      </c>
      <c r="C26" s="162">
        <v>0.11307142857142859</v>
      </c>
      <c r="D26" s="162">
        <v>6.8960000000000007E-2</v>
      </c>
      <c r="E26" s="162">
        <f t="shared" si="0"/>
        <v>4.4111428571428579E-2</v>
      </c>
      <c r="G26"/>
      <c r="H26"/>
      <c r="I26"/>
      <c r="J26"/>
      <c r="K26"/>
      <c r="L26"/>
      <c r="M26"/>
      <c r="N26"/>
      <c r="O26"/>
    </row>
    <row r="27" spans="2:15" ht="15.75" x14ac:dyDescent="0.25">
      <c r="B27" s="161">
        <v>1997.2</v>
      </c>
      <c r="C27" s="162">
        <v>0.11699999999999999</v>
      </c>
      <c r="D27" s="162">
        <v>6.8826666666666661E-2</v>
      </c>
      <c r="E27" s="162">
        <f t="shared" si="0"/>
        <v>4.8173333333333332E-2</v>
      </c>
      <c r="G27" s="194" t="s">
        <v>1215</v>
      </c>
      <c r="H27" s="194"/>
      <c r="I27"/>
      <c r="J27"/>
      <c r="K27"/>
      <c r="L27"/>
      <c r="M27"/>
      <c r="N27"/>
      <c r="O27"/>
    </row>
    <row r="28" spans="2:15" ht="15.75" x14ac:dyDescent="0.25">
      <c r="B28" s="163">
        <v>1997.3</v>
      </c>
      <c r="C28" s="162">
        <v>0.12</v>
      </c>
      <c r="D28" s="162">
        <v>6.4360000000000001E-2</v>
      </c>
      <c r="E28" s="162">
        <f t="shared" si="0"/>
        <v>5.5639999999999995E-2</v>
      </c>
      <c r="G28" s="191" t="s">
        <v>1216</v>
      </c>
      <c r="H28" s="191">
        <v>0.89567483211095855</v>
      </c>
      <c r="I28"/>
      <c r="J28"/>
      <c r="K28"/>
      <c r="L28"/>
      <c r="M28"/>
      <c r="N28"/>
      <c r="O28"/>
    </row>
    <row r="29" spans="2:15" ht="15.75" x14ac:dyDescent="0.25">
      <c r="B29" s="164">
        <v>1997.4</v>
      </c>
      <c r="C29" s="162">
        <v>0.10916666666666668</v>
      </c>
      <c r="D29" s="162">
        <v>6.0433333333333332E-2</v>
      </c>
      <c r="E29" s="162">
        <f t="shared" si="0"/>
        <v>4.8733333333333344E-2</v>
      </c>
      <c r="G29" s="191" t="s">
        <v>1217</v>
      </c>
      <c r="H29" s="191">
        <v>0.80223340487699379</v>
      </c>
      <c r="I29"/>
      <c r="J29"/>
      <c r="K29"/>
      <c r="L29"/>
      <c r="M29"/>
      <c r="N29"/>
      <c r="O29"/>
    </row>
    <row r="30" spans="2:15" ht="15.75" x14ac:dyDescent="0.25">
      <c r="B30" s="163">
        <v>1998.2</v>
      </c>
      <c r="C30" s="162">
        <v>0.11366666666666665</v>
      </c>
      <c r="D30" s="162">
        <v>5.7926666666666661E-2</v>
      </c>
      <c r="E30" s="162">
        <f t="shared" si="0"/>
        <v>5.5739999999999991E-2</v>
      </c>
      <c r="G30" s="191" t="s">
        <v>1218</v>
      </c>
      <c r="H30" s="191">
        <v>0.80017333617779585</v>
      </c>
      <c r="I30"/>
      <c r="J30"/>
      <c r="K30"/>
      <c r="L30"/>
      <c r="M30"/>
      <c r="N30"/>
      <c r="O30"/>
    </row>
    <row r="31" spans="2:15" ht="15.75" x14ac:dyDescent="0.25">
      <c r="B31" s="163">
        <v>1998.3</v>
      </c>
      <c r="C31" s="162">
        <v>0.11409999999999999</v>
      </c>
      <c r="D31" s="162">
        <v>5.3193333333333336E-2</v>
      </c>
      <c r="E31" s="162">
        <f t="shared" si="0"/>
        <v>6.0906666666666658E-2</v>
      </c>
      <c r="G31" s="191" t="s">
        <v>1219</v>
      </c>
      <c r="H31" s="191">
        <v>4.084075505513248E-3</v>
      </c>
      <c r="I31"/>
      <c r="J31"/>
      <c r="K31"/>
      <c r="L31"/>
      <c r="M31"/>
      <c r="N31"/>
      <c r="O31"/>
    </row>
    <row r="32" spans="2:15" ht="16.5" thickBot="1" x14ac:dyDescent="0.3">
      <c r="B32" s="163">
        <v>1998.4</v>
      </c>
      <c r="C32" s="162">
        <v>0.1169</v>
      </c>
      <c r="D32" s="162">
        <v>5.1049999999999998E-2</v>
      </c>
      <c r="E32" s="162">
        <f t="shared" si="0"/>
        <v>6.5850000000000006E-2</v>
      </c>
      <c r="G32" s="192" t="s">
        <v>1220</v>
      </c>
      <c r="H32" s="192">
        <v>98</v>
      </c>
      <c r="I32"/>
      <c r="J32"/>
      <c r="K32"/>
      <c r="L32"/>
      <c r="M32"/>
      <c r="N32"/>
      <c r="O32"/>
    </row>
    <row r="33" spans="2:25" ht="15.75" x14ac:dyDescent="0.25">
      <c r="B33" s="164">
        <v>1999.1</v>
      </c>
      <c r="C33" s="162">
        <v>0.10816666666666667</v>
      </c>
      <c r="D33" s="162">
        <v>5.4289999999999991E-2</v>
      </c>
      <c r="E33" s="162">
        <f t="shared" si="0"/>
        <v>5.3876666666666684E-2</v>
      </c>
      <c r="G33"/>
      <c r="H33"/>
      <c r="I33"/>
      <c r="J33"/>
      <c r="K33"/>
      <c r="L33"/>
      <c r="M33"/>
      <c r="N33"/>
      <c r="O33"/>
    </row>
    <row r="34" spans="2:25" ht="16.5" thickBot="1" x14ac:dyDescent="0.3">
      <c r="B34" s="164">
        <v>1999.2</v>
      </c>
      <c r="C34" s="162">
        <v>0.1125</v>
      </c>
      <c r="D34" s="162">
        <v>5.8176666666666668E-2</v>
      </c>
      <c r="E34" s="162">
        <f t="shared" si="0"/>
        <v>5.4323333333333335E-2</v>
      </c>
      <c r="G34" t="s">
        <v>1221</v>
      </c>
      <c r="H34"/>
      <c r="I34"/>
      <c r="J34"/>
      <c r="K34"/>
      <c r="L34"/>
      <c r="M34"/>
      <c r="N34"/>
      <c r="O34"/>
      <c r="Q34" s="152"/>
      <c r="R34" s="152"/>
    </row>
    <row r="35" spans="2:25" ht="15.75" x14ac:dyDescent="0.25">
      <c r="B35" s="164">
        <v>1999.4</v>
      </c>
      <c r="C35" s="162">
        <v>0.10375</v>
      </c>
      <c r="D35" s="162">
        <v>6.3113333333333341E-2</v>
      </c>
      <c r="E35" s="162">
        <f t="shared" si="0"/>
        <v>4.0636666666666654E-2</v>
      </c>
      <c r="G35" s="193"/>
      <c r="H35" s="193" t="s">
        <v>1222</v>
      </c>
      <c r="I35" s="193" t="s">
        <v>1223</v>
      </c>
      <c r="J35" s="193" t="s">
        <v>138</v>
      </c>
      <c r="K35" s="193" t="s">
        <v>690</v>
      </c>
      <c r="L35" s="193" t="s">
        <v>1224</v>
      </c>
      <c r="M35"/>
      <c r="N35"/>
      <c r="O35"/>
      <c r="Q35" s="165"/>
      <c r="R35" s="165"/>
    </row>
    <row r="36" spans="2:25" ht="15.75" x14ac:dyDescent="0.25">
      <c r="B36" s="163">
        <v>2000.1</v>
      </c>
      <c r="C36" s="162">
        <v>0.10655000000000001</v>
      </c>
      <c r="D36" s="162">
        <v>6.1529999999999994E-2</v>
      </c>
      <c r="E36" s="162">
        <f t="shared" si="0"/>
        <v>4.5020000000000011E-2</v>
      </c>
      <c r="G36" s="191" t="s">
        <v>1225</v>
      </c>
      <c r="H36" s="191">
        <v>1</v>
      </c>
      <c r="I36" s="191">
        <v>6.4954099129939146E-3</v>
      </c>
      <c r="J36" s="191">
        <v>6.4954099129939146E-3</v>
      </c>
      <c r="K36" s="191">
        <v>389.42070484800644</v>
      </c>
      <c r="L36" s="191">
        <v>1.4851770392867178E-35</v>
      </c>
      <c r="M36"/>
      <c r="N36"/>
      <c r="O36"/>
      <c r="Q36" s="166"/>
      <c r="R36" s="166"/>
    </row>
    <row r="37" spans="2:25" ht="15.75" x14ac:dyDescent="0.25">
      <c r="B37" s="164">
        <v>2000.2</v>
      </c>
      <c r="C37" s="162">
        <v>0.11033333333333334</v>
      </c>
      <c r="D37" s="162">
        <v>5.9546666666666671E-2</v>
      </c>
      <c r="E37" s="162">
        <f t="shared" si="0"/>
        <v>5.0786666666666667E-2</v>
      </c>
      <c r="G37" s="191" t="s">
        <v>1226</v>
      </c>
      <c r="H37" s="191">
        <v>96</v>
      </c>
      <c r="I37" s="191">
        <v>1.6012485825343964E-3</v>
      </c>
      <c r="J37" s="191">
        <v>1.6679672734733294E-5</v>
      </c>
      <c r="K37" s="191"/>
      <c r="L37" s="191"/>
      <c r="M37"/>
      <c r="N37"/>
      <c r="O37"/>
      <c r="Q37" s="167"/>
      <c r="R37" s="168"/>
    </row>
    <row r="38" spans="2:25" ht="16.5" thickBot="1" x14ac:dyDescent="0.3">
      <c r="B38" s="163">
        <v>2000.3</v>
      </c>
      <c r="C38" s="162">
        <v>0.11334</v>
      </c>
      <c r="D38" s="162">
        <v>5.7783333333333332E-2</v>
      </c>
      <c r="E38" s="162">
        <f t="shared" si="0"/>
        <v>5.5556666666666664E-2</v>
      </c>
      <c r="G38" s="192" t="s">
        <v>1227</v>
      </c>
      <c r="H38" s="192">
        <v>97</v>
      </c>
      <c r="I38" s="192">
        <v>8.0966584955283107E-3</v>
      </c>
      <c r="J38" s="192"/>
      <c r="K38" s="192"/>
      <c r="L38" s="192"/>
      <c r="M38"/>
      <c r="N38"/>
      <c r="O38"/>
      <c r="Q38" s="167"/>
      <c r="R38" s="168"/>
    </row>
    <row r="39" spans="2:25" ht="16.5" thickBot="1" x14ac:dyDescent="0.3">
      <c r="B39" s="163">
        <v>2000.4</v>
      </c>
      <c r="C39" s="162">
        <v>0.121</v>
      </c>
      <c r="D39" s="162">
        <v>5.6176666666666673E-2</v>
      </c>
      <c r="E39" s="162">
        <f t="shared" si="0"/>
        <v>6.4823333333333316E-2</v>
      </c>
      <c r="G39"/>
      <c r="H39"/>
      <c r="I39"/>
      <c r="J39"/>
      <c r="K39"/>
      <c r="L39"/>
      <c r="M39"/>
      <c r="N39"/>
      <c r="O39"/>
      <c r="Q39" s="167"/>
      <c r="R39" s="168"/>
    </row>
    <row r="40" spans="2:25" ht="15.75" x14ac:dyDescent="0.25">
      <c r="B40" s="164">
        <v>2001.1</v>
      </c>
      <c r="C40" s="162">
        <v>0.11375</v>
      </c>
      <c r="D40" s="162">
        <v>5.4196666666666671E-2</v>
      </c>
      <c r="E40" s="162">
        <f t="shared" si="0"/>
        <v>5.9553333333333333E-2</v>
      </c>
      <c r="G40" s="193"/>
      <c r="H40" s="193" t="s">
        <v>1228</v>
      </c>
      <c r="I40" s="193" t="s">
        <v>1219</v>
      </c>
      <c r="J40" s="193" t="s">
        <v>1229</v>
      </c>
      <c r="K40" s="193" t="s">
        <v>1230</v>
      </c>
      <c r="L40" s="193" t="s">
        <v>1231</v>
      </c>
      <c r="M40" s="193" t="s">
        <v>1232</v>
      </c>
      <c r="N40" s="193" t="s">
        <v>1233</v>
      </c>
      <c r="O40" s="193" t="s">
        <v>1234</v>
      </c>
      <c r="Q40" s="167"/>
      <c r="R40" s="168"/>
    </row>
    <row r="41" spans="2:25" ht="15.75" x14ac:dyDescent="0.25">
      <c r="B41" s="163">
        <v>2001.2</v>
      </c>
      <c r="C41" s="162">
        <v>0.1075</v>
      </c>
      <c r="D41" s="162">
        <v>5.7666666666666665E-2</v>
      </c>
      <c r="E41" s="162">
        <f t="shared" si="0"/>
        <v>4.9833333333333334E-2</v>
      </c>
      <c r="G41" s="191" t="s">
        <v>1235</v>
      </c>
      <c r="H41" s="191">
        <v>8.4098699079568323E-2</v>
      </c>
      <c r="I41" s="191">
        <v>1.4450960839721789E-3</v>
      </c>
      <c r="J41" s="191">
        <v>58.195922065198396</v>
      </c>
      <c r="K41" s="191">
        <v>1.127909907224173E-76</v>
      </c>
      <c r="L41" s="191">
        <v>8.1230206024241011E-2</v>
      </c>
      <c r="M41" s="191">
        <v>8.6967192134895635E-2</v>
      </c>
      <c r="N41" s="191">
        <v>8.1230206024241011E-2</v>
      </c>
      <c r="O41" s="191">
        <v>8.6967192134895635E-2</v>
      </c>
      <c r="Q41" s="167"/>
      <c r="R41" s="169"/>
    </row>
    <row r="42" spans="2:25" ht="16.5" thickBot="1" x14ac:dyDescent="0.3">
      <c r="B42" s="163">
        <v>2001.4</v>
      </c>
      <c r="C42" s="162">
        <v>0.10650000000000001</v>
      </c>
      <c r="D42" s="162">
        <v>5.2086666666666656E-2</v>
      </c>
      <c r="E42" s="162">
        <f t="shared" si="0"/>
        <v>5.4413333333333355E-2</v>
      </c>
      <c r="G42" s="192" t="s">
        <v>1337</v>
      </c>
      <c r="H42" s="192">
        <v>-0.55599725008464052</v>
      </c>
      <c r="I42" s="192">
        <v>2.8174948075818395E-2</v>
      </c>
      <c r="J42" s="192">
        <v>-19.733745332501044</v>
      </c>
      <c r="K42" s="192">
        <v>1.4851770392866753E-35</v>
      </c>
      <c r="L42" s="192">
        <v>-0.61192407999309983</v>
      </c>
      <c r="M42" s="192">
        <v>-0.5000704201761812</v>
      </c>
      <c r="N42" s="192">
        <v>-0.61192407999309983</v>
      </c>
      <c r="O42" s="192">
        <v>-0.5000704201761812</v>
      </c>
      <c r="Q42" s="165"/>
      <c r="R42" s="165"/>
      <c r="S42" s="165"/>
      <c r="T42" s="165"/>
      <c r="U42" s="165"/>
      <c r="V42" s="165"/>
      <c r="W42" s="165"/>
      <c r="X42" s="165"/>
      <c r="Y42" s="165"/>
    </row>
    <row r="43" spans="2:25" ht="15.75" x14ac:dyDescent="0.25">
      <c r="B43" s="164">
        <v>2002.1</v>
      </c>
      <c r="C43" s="162">
        <v>0.10666666666666667</v>
      </c>
      <c r="D43" s="162">
        <v>5.5476666666666674E-2</v>
      </c>
      <c r="E43" s="162">
        <f t="shared" si="0"/>
        <v>5.1189999999999999E-2</v>
      </c>
      <c r="G43"/>
      <c r="H43"/>
      <c r="I43"/>
      <c r="J43"/>
      <c r="K43"/>
      <c r="L43"/>
      <c r="M43"/>
      <c r="N43"/>
      <c r="O43"/>
      <c r="Q43" s="165"/>
      <c r="R43" s="165"/>
      <c r="S43" s="165"/>
      <c r="T43" s="165"/>
      <c r="U43" s="165"/>
      <c r="V43" s="165"/>
      <c r="W43" s="165"/>
      <c r="X43" s="165"/>
      <c r="Y43" s="165"/>
    </row>
    <row r="44" spans="2:25" ht="15.75" x14ac:dyDescent="0.25">
      <c r="B44" s="163">
        <v>2002.2</v>
      </c>
      <c r="C44" s="162">
        <v>0.116425</v>
      </c>
      <c r="D44" s="162">
        <v>5.5713666666666661E-2</v>
      </c>
      <c r="E44" s="162">
        <f t="shared" si="0"/>
        <v>6.0711333333333339E-2</v>
      </c>
      <c r="G44"/>
      <c r="H44"/>
      <c r="I44"/>
      <c r="J44"/>
      <c r="K44"/>
      <c r="L44"/>
      <c r="M44"/>
      <c r="N44"/>
      <c r="O44"/>
      <c r="Q44" s="170"/>
      <c r="R44" s="170"/>
      <c r="S44" s="170"/>
      <c r="T44" s="170"/>
      <c r="U44" s="170"/>
      <c r="V44" s="170"/>
      <c r="W44" s="165"/>
      <c r="X44" s="165"/>
      <c r="Y44" s="165"/>
    </row>
    <row r="45" spans="2:25" ht="15.75" x14ac:dyDescent="0.25">
      <c r="B45" s="163">
        <v>2002.3</v>
      </c>
      <c r="C45" s="162">
        <v>0.11499999999999999</v>
      </c>
      <c r="D45" s="162">
        <v>4.9647999999999998E-2</v>
      </c>
      <c r="E45" s="162">
        <f t="shared" si="0"/>
        <v>6.5351999999999993E-2</v>
      </c>
      <c r="G45"/>
      <c r="H45"/>
      <c r="I45"/>
      <c r="J45"/>
      <c r="K45"/>
      <c r="L45"/>
      <c r="M45"/>
      <c r="N45"/>
      <c r="O45"/>
      <c r="Q45" s="167"/>
      <c r="R45" s="169"/>
      <c r="S45" s="168"/>
      <c r="T45" s="168"/>
      <c r="U45" s="168"/>
      <c r="V45" s="168"/>
      <c r="W45" s="165"/>
      <c r="X45" s="165"/>
      <c r="Y45" s="165"/>
    </row>
    <row r="46" spans="2:25" ht="15.75" x14ac:dyDescent="0.25">
      <c r="B46" s="164">
        <v>2002.4</v>
      </c>
      <c r="C46" s="162">
        <v>0.1101111111111111</v>
      </c>
      <c r="D46" s="162">
        <v>4.9330333333333344E-2</v>
      </c>
      <c r="E46" s="162">
        <f t="shared" si="0"/>
        <v>6.078077777777776E-2</v>
      </c>
      <c r="G46" s="172"/>
      <c r="H46" s="172"/>
      <c r="I46" s="172"/>
      <c r="J46" s="172"/>
      <c r="K46" s="172"/>
      <c r="L46" s="173" t="s">
        <v>1391</v>
      </c>
      <c r="M46" s="173" t="s">
        <v>1392</v>
      </c>
      <c r="N46" s="173" t="s">
        <v>1393</v>
      </c>
      <c r="O46" s="154"/>
      <c r="Q46" s="167"/>
      <c r="R46" s="169"/>
      <c r="S46" s="168"/>
      <c r="T46" s="168"/>
      <c r="U46" s="167"/>
      <c r="V46" s="167"/>
      <c r="W46" s="165"/>
      <c r="X46" s="165"/>
      <c r="Y46" s="165"/>
    </row>
    <row r="47" spans="2:25" ht="15.75" x14ac:dyDescent="0.25">
      <c r="B47" s="163">
        <v>2003.1</v>
      </c>
      <c r="C47" s="162">
        <v>0.11381999999999999</v>
      </c>
      <c r="D47" s="162">
        <v>4.7752333333333334E-2</v>
      </c>
      <c r="E47" s="162">
        <f t="shared" si="0"/>
        <v>6.6067666666666663E-2</v>
      </c>
      <c r="G47" s="154"/>
      <c r="H47" s="154"/>
      <c r="I47" s="154"/>
      <c r="J47" s="154"/>
      <c r="K47" s="154"/>
      <c r="L47" s="154"/>
      <c r="M47" s="154"/>
      <c r="N47" s="154"/>
      <c r="O47" s="154"/>
      <c r="Q47" s="167"/>
      <c r="R47" s="169"/>
      <c r="S47" s="168"/>
      <c r="T47" s="167"/>
      <c r="U47" s="167"/>
      <c r="V47" s="167"/>
      <c r="W47" s="165"/>
      <c r="X47" s="165"/>
      <c r="Y47" s="165"/>
    </row>
    <row r="48" spans="2:25" ht="15.75" x14ac:dyDescent="0.25">
      <c r="B48" s="163">
        <v>2003.2</v>
      </c>
      <c r="C48" s="162">
        <v>0.11362499999999999</v>
      </c>
      <c r="D48" s="162">
        <v>4.5657666666666666E-2</v>
      </c>
      <c r="E48" s="162">
        <f t="shared" si="0"/>
        <v>6.7967333333333324E-2</v>
      </c>
      <c r="G48" s="174" t="s">
        <v>1236</v>
      </c>
      <c r="H48" s="154"/>
      <c r="I48" s="154"/>
      <c r="J48" s="154"/>
      <c r="K48" s="154"/>
      <c r="L48" s="175">
        <v>2.8000000000000001E-2</v>
      </c>
      <c r="M48" s="175">
        <f>$H$41+$H$42*L48</f>
        <v>6.8530776077198388E-2</v>
      </c>
      <c r="N48" s="176">
        <f>L48+M48</f>
        <v>9.6530776077198385E-2</v>
      </c>
      <c r="O48" s="154"/>
      <c r="Q48" s="165"/>
      <c r="R48" s="165"/>
      <c r="S48" s="165"/>
      <c r="T48" s="165"/>
      <c r="U48" s="165"/>
      <c r="V48" s="165"/>
      <c r="W48" s="165"/>
      <c r="X48" s="165"/>
      <c r="Y48" s="165"/>
    </row>
    <row r="49" spans="2:25" ht="15.75" x14ac:dyDescent="0.25">
      <c r="B49" s="163">
        <v>2003.3</v>
      </c>
      <c r="C49" s="162">
        <v>0.10611999999999999</v>
      </c>
      <c r="D49" s="162">
        <v>5.1541666666666666E-2</v>
      </c>
      <c r="E49" s="162">
        <f t="shared" si="0"/>
        <v>5.4578333333333326E-2</v>
      </c>
      <c r="G49" s="295" t="s">
        <v>1338</v>
      </c>
      <c r="H49" s="257"/>
      <c r="I49" s="257"/>
      <c r="J49" s="257"/>
      <c r="K49" s="257"/>
      <c r="L49" s="296">
        <f>AVERAGE(3,3.2,3.4,3.5,3.6,3.7)/100</f>
        <v>3.4000000000000002E-2</v>
      </c>
      <c r="M49" s="175">
        <f>$H$41+$H$42*L49</f>
        <v>6.5194792576690544E-2</v>
      </c>
      <c r="N49" s="176">
        <f>L49+M49</f>
        <v>9.9194792576690546E-2</v>
      </c>
      <c r="O49" s="154"/>
      <c r="Q49" s="170"/>
      <c r="R49" s="170"/>
      <c r="S49" s="170"/>
      <c r="T49" s="170"/>
      <c r="U49" s="170"/>
      <c r="V49" s="170"/>
      <c r="W49" s="170"/>
      <c r="X49" s="170"/>
      <c r="Y49" s="170"/>
    </row>
    <row r="50" spans="2:25" ht="15.75" x14ac:dyDescent="0.25">
      <c r="B50" s="163">
        <v>2003.4</v>
      </c>
      <c r="C50" s="162">
        <v>0.10841818181818183</v>
      </c>
      <c r="D50" s="162">
        <v>5.1117333333333334E-2</v>
      </c>
      <c r="E50" s="162">
        <f t="shared" si="0"/>
        <v>5.7300848484848496E-2</v>
      </c>
      <c r="G50" s="297" t="s">
        <v>1385</v>
      </c>
      <c r="H50" s="246"/>
      <c r="I50" s="246"/>
      <c r="J50" s="246"/>
      <c r="K50" s="246"/>
      <c r="L50" s="296">
        <v>4.2999999999999997E-2</v>
      </c>
      <c r="M50" s="177">
        <f>$H$41+$H$42*L50</f>
        <v>6.0190817325928785E-2</v>
      </c>
      <c r="N50" s="178">
        <f>L50+M50</f>
        <v>0.10319081732592877</v>
      </c>
      <c r="O50" s="154"/>
      <c r="Q50" s="167"/>
      <c r="R50" s="168"/>
      <c r="S50" s="168"/>
      <c r="T50" s="168"/>
      <c r="U50" s="168"/>
      <c r="V50" s="168"/>
      <c r="W50" s="168"/>
      <c r="X50" s="168"/>
      <c r="Y50" s="168"/>
    </row>
    <row r="51" spans="2:25" ht="15.75" x14ac:dyDescent="0.25">
      <c r="B51" s="163">
        <v>2004.1</v>
      </c>
      <c r="C51" s="162">
        <v>0.11059999999999999</v>
      </c>
      <c r="D51" s="162">
        <v>4.8566666666666668E-2</v>
      </c>
      <c r="E51" s="162">
        <f t="shared" si="0"/>
        <v>6.2033333333333322E-2</v>
      </c>
      <c r="G51" s="172"/>
      <c r="H51" s="172"/>
      <c r="I51" s="172"/>
      <c r="J51" s="172"/>
      <c r="K51" s="172"/>
      <c r="L51" s="172"/>
      <c r="M51" s="172"/>
      <c r="N51" s="172"/>
      <c r="O51" s="154"/>
      <c r="Q51" s="167"/>
      <c r="R51" s="168"/>
      <c r="S51" s="168"/>
      <c r="T51" s="168"/>
      <c r="U51" s="168"/>
      <c r="V51" s="168"/>
      <c r="W51" s="168"/>
      <c r="X51" s="168"/>
      <c r="Y51" s="168"/>
    </row>
    <row r="52" spans="2:25" ht="16.5" thickBot="1" x14ac:dyDescent="0.3">
      <c r="B52" s="163">
        <v>2004.2</v>
      </c>
      <c r="C52" s="162">
        <v>0.10573333333333335</v>
      </c>
      <c r="D52" s="162">
        <v>5.3055333333333336E-2</v>
      </c>
      <c r="E52" s="162">
        <f t="shared" si="0"/>
        <v>5.267800000000001E-2</v>
      </c>
      <c r="G52" s="179" t="s">
        <v>1237</v>
      </c>
      <c r="H52" s="180"/>
      <c r="I52" s="180"/>
      <c r="J52" s="180"/>
      <c r="K52" s="180"/>
      <c r="L52" s="180"/>
      <c r="M52" s="180"/>
      <c r="N52" s="181">
        <f>AVERAGE(N48:N50)</f>
        <v>9.9638795326605911E-2</v>
      </c>
      <c r="O52" s="154"/>
    </row>
    <row r="53" spans="2:25" ht="15.75" x14ac:dyDescent="0.25">
      <c r="B53" s="163">
        <v>2004.3</v>
      </c>
      <c r="C53" s="162">
        <v>0.1036875</v>
      </c>
      <c r="D53" s="162">
        <v>5.0053333333333325E-2</v>
      </c>
      <c r="E53" s="162">
        <f t="shared" si="0"/>
        <v>5.3634166666666677E-2</v>
      </c>
      <c r="G53" s="174"/>
      <c r="H53" s="154"/>
      <c r="I53" s="154"/>
      <c r="J53" s="154"/>
      <c r="K53" s="154"/>
      <c r="L53" s="154"/>
      <c r="M53" s="154"/>
      <c r="N53" s="176"/>
      <c r="O53" s="154"/>
    </row>
    <row r="54" spans="2:25" ht="15.75" x14ac:dyDescent="0.25">
      <c r="B54" s="163">
        <v>2004.4</v>
      </c>
      <c r="C54" s="162">
        <v>0.10658333333333332</v>
      </c>
      <c r="D54" s="162">
        <v>4.8723333333333327E-2</v>
      </c>
      <c r="E54" s="162">
        <f t="shared" si="0"/>
        <v>5.7859999999999995E-2</v>
      </c>
      <c r="G54" s="182" t="s">
        <v>101</v>
      </c>
      <c r="H54" s="172"/>
      <c r="I54" s="154"/>
      <c r="J54" s="154"/>
      <c r="K54" s="154"/>
      <c r="L54" s="154"/>
      <c r="M54" s="154"/>
      <c r="N54" s="183"/>
      <c r="O54" s="154"/>
    </row>
    <row r="55" spans="2:25" ht="15.75" x14ac:dyDescent="0.25">
      <c r="B55" s="163">
        <v>2005.1</v>
      </c>
      <c r="C55" s="162">
        <v>0.10650000000000001</v>
      </c>
      <c r="D55" s="162">
        <v>4.6863999999999996E-2</v>
      </c>
      <c r="E55" s="162">
        <f t="shared" si="0"/>
        <v>5.9636000000000015E-2</v>
      </c>
      <c r="G55" s="184" t="s">
        <v>1339</v>
      </c>
      <c r="H55" s="154"/>
      <c r="I55" s="154"/>
      <c r="J55" s="154"/>
      <c r="K55" s="154"/>
      <c r="L55" s="154"/>
      <c r="M55" s="154"/>
      <c r="N55" s="183"/>
      <c r="O55" s="154"/>
    </row>
    <row r="56" spans="2:25" ht="15.75" x14ac:dyDescent="0.25">
      <c r="B56" s="164">
        <v>2005.2</v>
      </c>
      <c r="C56" s="162">
        <v>0.10535999999999998</v>
      </c>
      <c r="D56" s="162">
        <v>4.3416333333333335E-2</v>
      </c>
      <c r="E56" s="162">
        <f t="shared" si="0"/>
        <v>6.1943666666666647E-2</v>
      </c>
      <c r="G56" s="184" t="s">
        <v>1238</v>
      </c>
      <c r="H56" s="154"/>
      <c r="I56" s="154"/>
      <c r="J56" s="154"/>
      <c r="K56" s="154"/>
      <c r="L56" s="154"/>
      <c r="M56" s="154"/>
      <c r="N56" s="154"/>
      <c r="O56" s="154"/>
    </row>
    <row r="57" spans="2:25" ht="15.75" x14ac:dyDescent="0.25">
      <c r="B57" s="163">
        <v>2005.3</v>
      </c>
      <c r="C57" s="162">
        <v>0.10471999999999999</v>
      </c>
      <c r="D57" s="162">
        <v>4.4303666666666672E-2</v>
      </c>
      <c r="E57" s="162">
        <f t="shared" si="0"/>
        <v>6.0416333333333322E-2</v>
      </c>
      <c r="G57" s="184" t="s">
        <v>1239</v>
      </c>
      <c r="H57" s="154"/>
      <c r="I57" s="154"/>
      <c r="J57" s="154"/>
      <c r="K57" s="154"/>
      <c r="L57" s="154"/>
      <c r="M57" s="154"/>
      <c r="N57" s="154"/>
      <c r="O57" s="154"/>
    </row>
    <row r="58" spans="2:25" ht="15.75" x14ac:dyDescent="0.25">
      <c r="B58" s="163">
        <v>2005.4</v>
      </c>
      <c r="C58" s="162">
        <v>0.10316428571428574</v>
      </c>
      <c r="D58" s="162">
        <v>4.6604E-2</v>
      </c>
      <c r="E58" s="162">
        <f t="shared" si="0"/>
        <v>5.6560285714285737E-2</v>
      </c>
      <c r="G58" s="190" t="s">
        <v>1340</v>
      </c>
      <c r="H58" s="154"/>
      <c r="I58" s="154"/>
      <c r="J58" s="154"/>
      <c r="K58" s="154"/>
      <c r="L58" s="154"/>
      <c r="M58" s="154"/>
      <c r="N58" s="154"/>
      <c r="O58" s="154"/>
    </row>
    <row r="59" spans="2:25" ht="15.75" x14ac:dyDescent="0.25">
      <c r="B59" s="163">
        <v>2006.1</v>
      </c>
      <c r="C59" s="162">
        <v>0.10679999999999998</v>
      </c>
      <c r="D59" s="162">
        <v>4.6913666666666673E-2</v>
      </c>
      <c r="E59" s="162">
        <f t="shared" si="0"/>
        <v>5.9886333333333305E-2</v>
      </c>
      <c r="G59" s="295" t="s">
        <v>1389</v>
      </c>
      <c r="H59" s="154"/>
      <c r="I59" s="154"/>
      <c r="J59" s="154"/>
      <c r="K59" s="154"/>
      <c r="L59" s="154"/>
      <c r="M59" s="154"/>
      <c r="N59" s="154"/>
      <c r="O59" s="154"/>
    </row>
    <row r="60" spans="2:25" ht="15.75" x14ac:dyDescent="0.25">
      <c r="B60" s="163">
        <v>2006.2</v>
      </c>
      <c r="C60" s="162">
        <v>0.106</v>
      </c>
      <c r="D60" s="162">
        <v>5.1916999999999998E-2</v>
      </c>
      <c r="E60" s="162">
        <f t="shared" si="0"/>
        <v>5.4082999999999999E-2</v>
      </c>
      <c r="G60" s="295" t="s">
        <v>1390</v>
      </c>
      <c r="H60" s="154"/>
      <c r="I60" s="154"/>
      <c r="J60" s="154"/>
      <c r="K60" s="154"/>
      <c r="L60" s="154"/>
      <c r="M60" s="154"/>
      <c r="N60" s="154"/>
      <c r="O60" s="154"/>
    </row>
    <row r="61" spans="2:25" ht="15.75" x14ac:dyDescent="0.25">
      <c r="B61" s="163">
        <v>2006.3</v>
      </c>
      <c r="C61" s="162">
        <v>0.10337499999999999</v>
      </c>
      <c r="D61" s="162">
        <v>4.9012E-2</v>
      </c>
      <c r="E61" s="162">
        <f t="shared" si="0"/>
        <v>5.4362999999999995E-2</v>
      </c>
      <c r="G61" s="184" t="s">
        <v>1240</v>
      </c>
      <c r="H61" s="154"/>
      <c r="I61" s="154"/>
      <c r="J61" s="154"/>
      <c r="K61" s="154"/>
      <c r="L61" s="154"/>
      <c r="M61" s="154"/>
      <c r="N61" s="154"/>
      <c r="O61" s="154"/>
    </row>
    <row r="62" spans="2:25" ht="15.75" x14ac:dyDescent="0.25">
      <c r="B62" s="163">
        <v>2006.4</v>
      </c>
      <c r="C62" s="162">
        <v>0.10142</v>
      </c>
      <c r="D62" s="162">
        <v>4.6955666666666673E-2</v>
      </c>
      <c r="E62" s="162">
        <f t="shared" si="0"/>
        <v>5.4464333333333323E-2</v>
      </c>
      <c r="G62" s="184" t="str">
        <f>"[8] Equals "&amp;TEXT(H41,"0.000000")&amp;" + ("&amp;TEXT(H42,"0.000000")&amp;" x [7])"</f>
        <v>[8] Equals 0.084099 + (-0.555997 x [7])</v>
      </c>
      <c r="H62" s="154"/>
      <c r="I62" s="154"/>
      <c r="J62" s="154"/>
      <c r="K62" s="154"/>
      <c r="L62" s="154"/>
      <c r="M62" s="154"/>
      <c r="N62" s="154"/>
      <c r="O62" s="154"/>
    </row>
    <row r="63" spans="2:25" ht="15.75" x14ac:dyDescent="0.25">
      <c r="B63" s="163">
        <v>2007.1</v>
      </c>
      <c r="C63" s="162">
        <v>0.10518181818181818</v>
      </c>
      <c r="D63" s="162">
        <v>4.8102333333333337E-2</v>
      </c>
      <c r="E63" s="162">
        <f t="shared" si="0"/>
        <v>5.7079484848484845E-2</v>
      </c>
      <c r="G63" s="184" t="s">
        <v>1241</v>
      </c>
      <c r="H63" s="154"/>
      <c r="I63" s="154"/>
      <c r="J63" s="154"/>
      <c r="K63" s="154"/>
      <c r="L63" s="154"/>
      <c r="M63" s="154"/>
      <c r="N63" s="154"/>
      <c r="O63" s="154"/>
    </row>
    <row r="64" spans="2:25" ht="15.75" x14ac:dyDescent="0.25">
      <c r="B64" s="163">
        <v>2007.2</v>
      </c>
      <c r="C64" s="162">
        <v>0.10126666666666666</v>
      </c>
      <c r="D64" s="162">
        <v>4.9822666666666668E-2</v>
      </c>
      <c r="E64" s="162">
        <f t="shared" si="0"/>
        <v>5.144399999999999E-2</v>
      </c>
      <c r="G64" s="154"/>
      <c r="H64" s="154"/>
      <c r="I64" s="154"/>
      <c r="J64" s="154"/>
      <c r="K64" s="154"/>
      <c r="L64" s="154"/>
      <c r="M64" s="154"/>
      <c r="N64" s="154"/>
      <c r="O64" s="154"/>
    </row>
    <row r="65" spans="2:15" ht="15.75" x14ac:dyDescent="0.25">
      <c r="B65" s="163">
        <v>2007.3</v>
      </c>
      <c r="C65" s="162">
        <v>0.10026249999999999</v>
      </c>
      <c r="D65" s="162">
        <v>4.8534333333333339E-2</v>
      </c>
      <c r="E65" s="162">
        <f t="shared" si="0"/>
        <v>5.1728166666666651E-2</v>
      </c>
      <c r="G65" s="154"/>
      <c r="H65" s="154"/>
      <c r="I65" s="154"/>
      <c r="J65" s="154"/>
      <c r="K65" s="154"/>
      <c r="L65" s="154"/>
      <c r="M65" s="154"/>
      <c r="N65" s="154"/>
      <c r="O65" s="154"/>
    </row>
    <row r="66" spans="2:15" ht="15.75" x14ac:dyDescent="0.25">
      <c r="B66" s="163">
        <v>2007.4</v>
      </c>
      <c r="C66" s="162">
        <v>0.10117692307692311</v>
      </c>
      <c r="D66" s="162">
        <v>4.5256333333333322E-2</v>
      </c>
      <c r="E66" s="162">
        <f t="shared" si="0"/>
        <v>5.5920589743589787E-2</v>
      </c>
      <c r="G66" s="154"/>
      <c r="H66" s="154"/>
      <c r="I66" s="154"/>
      <c r="J66" s="154"/>
      <c r="K66" s="154"/>
      <c r="L66" s="154"/>
      <c r="M66" s="154"/>
      <c r="N66" s="154"/>
      <c r="O66" s="154"/>
    </row>
    <row r="67" spans="2:15" ht="15.75" x14ac:dyDescent="0.25">
      <c r="B67" s="163">
        <v>2008.1</v>
      </c>
      <c r="C67" s="162">
        <v>0.10375714285714285</v>
      </c>
      <c r="D67" s="162">
        <v>4.3388333333333327E-2</v>
      </c>
      <c r="E67" s="162">
        <f t="shared" si="0"/>
        <v>6.0368809523809526E-2</v>
      </c>
      <c r="G67" s="154"/>
      <c r="H67" s="154"/>
      <c r="I67" s="154"/>
      <c r="J67" s="154"/>
      <c r="K67" s="154"/>
      <c r="L67" s="154"/>
      <c r="M67" s="154"/>
      <c r="N67" s="154"/>
      <c r="O67" s="154"/>
    </row>
    <row r="68" spans="2:15" ht="15.75" x14ac:dyDescent="0.25">
      <c r="B68" s="163">
        <v>2008.2</v>
      </c>
      <c r="C68" s="162">
        <v>0.10166666666666668</v>
      </c>
      <c r="D68" s="162">
        <v>4.5685999999999997E-2</v>
      </c>
      <c r="E68" s="162">
        <f t="shared" si="0"/>
        <v>5.5980666666666686E-2</v>
      </c>
      <c r="G68" s="154"/>
      <c r="H68" s="154"/>
      <c r="I68" s="154"/>
      <c r="J68" s="154"/>
      <c r="K68" s="154"/>
      <c r="L68" s="154"/>
      <c r="M68" s="154"/>
      <c r="N68" s="154"/>
      <c r="O68" s="154"/>
    </row>
    <row r="69" spans="2:15" ht="15.75" x14ac:dyDescent="0.25">
      <c r="B69" s="163">
        <v>2008.3</v>
      </c>
      <c r="C69" s="162">
        <v>0.10551111111111111</v>
      </c>
      <c r="D69" s="162">
        <v>4.4354666666666667E-2</v>
      </c>
      <c r="E69" s="162">
        <f t="shared" si="0"/>
        <v>6.1156444444444444E-2</v>
      </c>
    </row>
    <row r="70" spans="2:15" ht="15.75" x14ac:dyDescent="0.25">
      <c r="B70" s="163">
        <v>2008.4</v>
      </c>
      <c r="C70" s="162">
        <v>0.10338461538461538</v>
      </c>
      <c r="D70" s="162">
        <v>3.4930333333333327E-2</v>
      </c>
      <c r="E70" s="162">
        <f t="shared" si="0"/>
        <v>6.8454282051282053E-2</v>
      </c>
    </row>
    <row r="71" spans="2:15" ht="15.75" x14ac:dyDescent="0.25">
      <c r="B71" s="163">
        <v>2009.1</v>
      </c>
      <c r="C71" s="162">
        <v>0.10242500000000002</v>
      </c>
      <c r="D71" s="162">
        <v>3.6150666666666671E-2</v>
      </c>
      <c r="E71" s="162">
        <f t="shared" si="0"/>
        <v>6.6274333333333352E-2</v>
      </c>
    </row>
    <row r="72" spans="2:15" ht="15.75" x14ac:dyDescent="0.25">
      <c r="B72" s="163">
        <v>2009.2</v>
      </c>
      <c r="C72" s="162">
        <v>0.101075</v>
      </c>
      <c r="D72" s="162">
        <v>4.2326333333333334E-2</v>
      </c>
      <c r="E72" s="162">
        <f t="shared" ref="E72:E103" si="1">C72-D72</f>
        <v>5.8748666666666664E-2</v>
      </c>
    </row>
    <row r="73" spans="2:15" ht="15.75" x14ac:dyDescent="0.25">
      <c r="B73" s="163">
        <v>2009.3</v>
      </c>
      <c r="C73" s="162">
        <v>9.8799999999999999E-2</v>
      </c>
      <c r="D73" s="162">
        <v>4.1755333333333339E-2</v>
      </c>
      <c r="E73" s="162">
        <f t="shared" si="1"/>
        <v>5.704466666666666E-2</v>
      </c>
    </row>
    <row r="74" spans="2:15" ht="15.75" x14ac:dyDescent="0.25">
      <c r="B74" s="163">
        <v>2009.4</v>
      </c>
      <c r="C74" s="162">
        <v>0.10305000000000002</v>
      </c>
      <c r="D74" s="162">
        <v>4.3526999999999996E-2</v>
      </c>
      <c r="E74" s="162">
        <f t="shared" si="1"/>
        <v>5.952300000000002E-2</v>
      </c>
    </row>
    <row r="75" spans="2:15" ht="15.75" x14ac:dyDescent="0.25">
      <c r="B75" s="163">
        <v>2010.1</v>
      </c>
      <c r="C75" s="162">
        <v>0.10236666666666666</v>
      </c>
      <c r="D75" s="162">
        <v>4.5859666666666667E-2</v>
      </c>
      <c r="E75" s="162">
        <f t="shared" si="1"/>
        <v>5.6506999999999995E-2</v>
      </c>
    </row>
    <row r="76" spans="2:15" ht="15.75" x14ac:dyDescent="0.25">
      <c r="B76" s="163">
        <v>2010.2</v>
      </c>
      <c r="C76" s="162">
        <v>9.985454545454546E-2</v>
      </c>
      <c r="D76" s="162">
        <v>4.2033333333333332E-2</v>
      </c>
      <c r="E76" s="162">
        <f t="shared" si="1"/>
        <v>5.7821212121212127E-2</v>
      </c>
    </row>
    <row r="77" spans="2:15" ht="15.75" x14ac:dyDescent="0.25">
      <c r="B77" s="163">
        <v>2010.3</v>
      </c>
      <c r="C77" s="162">
        <v>0.10425</v>
      </c>
      <c r="D77" s="162">
        <v>3.7295000000000002E-2</v>
      </c>
      <c r="E77" s="162">
        <f t="shared" si="1"/>
        <v>6.6954999999999987E-2</v>
      </c>
    </row>
    <row r="78" spans="2:15" ht="15.75" x14ac:dyDescent="0.25">
      <c r="B78" s="163">
        <v>2010.4</v>
      </c>
      <c r="C78" s="162">
        <v>0.10092307692307692</v>
      </c>
      <c r="D78" s="162">
        <v>4.1424333333333341E-2</v>
      </c>
      <c r="E78" s="162">
        <f t="shared" si="1"/>
        <v>5.949874358974358E-2</v>
      </c>
    </row>
    <row r="79" spans="2:15" ht="15.75" x14ac:dyDescent="0.25">
      <c r="B79" s="163">
        <v>2011.1</v>
      </c>
      <c r="C79" s="162">
        <v>0.10100000000000001</v>
      </c>
      <c r="D79" s="162">
        <v>4.5264666666666668E-2</v>
      </c>
      <c r="E79" s="162">
        <f t="shared" si="1"/>
        <v>5.5735333333333338E-2</v>
      </c>
    </row>
    <row r="80" spans="2:15" ht="15.75" x14ac:dyDescent="0.25">
      <c r="B80" s="164">
        <v>2011.2</v>
      </c>
      <c r="C80" s="162">
        <v>9.845000000000001E-2</v>
      </c>
      <c r="D80" s="162">
        <v>4.3306666666666667E-2</v>
      </c>
      <c r="E80" s="162">
        <f t="shared" si="1"/>
        <v>5.5143333333333343E-2</v>
      </c>
    </row>
    <row r="81" spans="2:5" ht="15.75" x14ac:dyDescent="0.25">
      <c r="B81" s="164">
        <v>2011.3</v>
      </c>
      <c r="C81" s="162">
        <v>9.6500000000000002E-2</v>
      </c>
      <c r="D81" s="162">
        <v>3.5442000000000001E-2</v>
      </c>
      <c r="E81" s="162">
        <f t="shared" si="1"/>
        <v>6.1058000000000001E-2</v>
      </c>
    </row>
    <row r="82" spans="2:5" ht="15.75" x14ac:dyDescent="0.25">
      <c r="B82" s="164">
        <v>2011.4</v>
      </c>
      <c r="C82" s="162">
        <v>9.8750000000000004E-2</v>
      </c>
      <c r="D82" s="162">
        <v>3.0267333333333341E-2</v>
      </c>
      <c r="E82" s="162">
        <f t="shared" si="1"/>
        <v>6.8482666666666664E-2</v>
      </c>
    </row>
    <row r="83" spans="2:5" ht="15.75" x14ac:dyDescent="0.25">
      <c r="B83" s="163">
        <v>2012.1</v>
      </c>
      <c r="C83" s="162">
        <v>9.6319999999999989E-2</v>
      </c>
      <c r="D83" s="162">
        <v>3.1193666666666665E-2</v>
      </c>
      <c r="E83" s="162">
        <f t="shared" si="1"/>
        <v>6.5126333333333328E-2</v>
      </c>
    </row>
    <row r="84" spans="2:5" ht="15.75" x14ac:dyDescent="0.25">
      <c r="B84" s="163">
        <v>2012.2</v>
      </c>
      <c r="C84" s="162">
        <v>9.8312499999999997E-2</v>
      </c>
      <c r="D84" s="162">
        <v>2.8355000000000002E-2</v>
      </c>
      <c r="E84" s="162">
        <f t="shared" si="1"/>
        <v>6.9957499999999992E-2</v>
      </c>
    </row>
    <row r="85" spans="2:5" ht="15.75" x14ac:dyDescent="0.25">
      <c r="B85" s="163">
        <v>2012.3</v>
      </c>
      <c r="C85" s="162">
        <v>9.7500000000000003E-2</v>
      </c>
      <c r="D85" s="162">
        <v>2.6806666666666666E-2</v>
      </c>
      <c r="E85" s="162">
        <f t="shared" si="1"/>
        <v>7.069333333333333E-2</v>
      </c>
    </row>
    <row r="86" spans="2:5" ht="15.75" x14ac:dyDescent="0.25">
      <c r="B86" s="164">
        <v>2012.4</v>
      </c>
      <c r="C86" s="162">
        <v>0.10055000000000003</v>
      </c>
      <c r="D86" s="162">
        <v>2.8722333333333336E-2</v>
      </c>
      <c r="E86" s="162">
        <f t="shared" si="1"/>
        <v>7.1827666666666692E-2</v>
      </c>
    </row>
    <row r="87" spans="2:5" ht="15.75" x14ac:dyDescent="0.25">
      <c r="B87" s="164">
        <v>2013.1</v>
      </c>
      <c r="C87" s="162">
        <v>9.5666666666666678E-2</v>
      </c>
      <c r="D87" s="162">
        <v>3.1199333333333336E-2</v>
      </c>
      <c r="E87" s="162">
        <f t="shared" si="1"/>
        <v>6.4467333333333349E-2</v>
      </c>
    </row>
    <row r="88" spans="2:5" ht="15.75" x14ac:dyDescent="0.25">
      <c r="B88" s="164">
        <v>2013.2</v>
      </c>
      <c r="C88" s="162">
        <v>9.4683333333333328E-2</v>
      </c>
      <c r="D88" s="162">
        <v>3.2182333333333334E-2</v>
      </c>
      <c r="E88" s="162">
        <f t="shared" si="1"/>
        <v>6.2501000000000001E-2</v>
      </c>
    </row>
    <row r="89" spans="2:5" ht="15.75" x14ac:dyDescent="0.25">
      <c r="B89" s="164">
        <v>2013.3</v>
      </c>
      <c r="C89" s="162">
        <v>9.6000000000000002E-2</v>
      </c>
      <c r="D89" s="162">
        <v>3.6731666666666669E-2</v>
      </c>
      <c r="E89" s="162">
        <f t="shared" si="1"/>
        <v>5.9268333333333333E-2</v>
      </c>
    </row>
    <row r="90" spans="2:5" ht="15.75" x14ac:dyDescent="0.25">
      <c r="B90" s="164">
        <v>2013.4</v>
      </c>
      <c r="C90" s="162">
        <v>9.8290909090909082E-2</v>
      </c>
      <c r="D90" s="162">
        <v>3.8057000000000001E-2</v>
      </c>
      <c r="E90" s="162">
        <f t="shared" si="1"/>
        <v>6.0233909090909081E-2</v>
      </c>
    </row>
    <row r="91" spans="2:5" ht="15.75" x14ac:dyDescent="0.25">
      <c r="B91" s="164">
        <v>2014.1</v>
      </c>
      <c r="C91" s="162">
        <v>9.5416666666666664E-2</v>
      </c>
      <c r="D91" s="185">
        <v>3.5796666666666671E-2</v>
      </c>
      <c r="E91" s="162">
        <f t="shared" si="1"/>
        <v>5.9619999999999992E-2</v>
      </c>
    </row>
    <row r="92" spans="2:5" ht="15.75" x14ac:dyDescent="0.25">
      <c r="B92" s="164">
        <v>2014.2</v>
      </c>
      <c r="C92" s="162">
        <v>9.8362499999999992E-2</v>
      </c>
      <c r="D92" s="185">
        <v>3.3822999999999992E-2</v>
      </c>
      <c r="E92" s="162">
        <f t="shared" si="1"/>
        <v>6.45395E-2</v>
      </c>
    </row>
    <row r="93" spans="2:5" ht="15.75" x14ac:dyDescent="0.25">
      <c r="B93" s="164">
        <v>2014.3</v>
      </c>
      <c r="C93" s="162">
        <v>9.4500000000000015E-2</v>
      </c>
      <c r="D93" s="185">
        <v>3.1975333333333335E-2</v>
      </c>
      <c r="E93" s="162">
        <f t="shared" si="1"/>
        <v>6.2524666666666673E-2</v>
      </c>
    </row>
    <row r="94" spans="2:5" ht="15.75" x14ac:dyDescent="0.25">
      <c r="B94" s="164">
        <v>2014.4</v>
      </c>
      <c r="C94" s="162">
        <v>0.10283333333333333</v>
      </c>
      <c r="D94" s="185">
        <v>2.9022666666666662E-2</v>
      </c>
      <c r="E94" s="162">
        <f t="shared" si="1"/>
        <v>7.3810666666666663E-2</v>
      </c>
    </row>
    <row r="95" spans="2:5" ht="15.75" x14ac:dyDescent="0.25">
      <c r="B95" s="164">
        <v>2015.1</v>
      </c>
      <c r="C95" s="162">
        <v>9.4666666666666677E-2</v>
      </c>
      <c r="D95" s="185">
        <v>2.4494666666666665E-2</v>
      </c>
      <c r="E95" s="162">
        <f t="shared" si="1"/>
        <v>7.0172000000000012E-2</v>
      </c>
    </row>
    <row r="96" spans="2:5" ht="15.75" x14ac:dyDescent="0.25">
      <c r="B96" s="164">
        <v>2015.2</v>
      </c>
      <c r="C96" s="162">
        <v>9.4333333333333338E-2</v>
      </c>
      <c r="D96" s="185">
        <v>2.9152666666666664E-2</v>
      </c>
      <c r="E96" s="162">
        <f t="shared" si="1"/>
        <v>6.5180666666666678E-2</v>
      </c>
    </row>
    <row r="97" spans="2:5" ht="15.75" x14ac:dyDescent="0.25">
      <c r="B97" s="164">
        <v>2015.3</v>
      </c>
      <c r="C97" s="162">
        <v>9.7500000000000003E-2</v>
      </c>
      <c r="D97" s="185">
        <v>2.9072666666666667E-2</v>
      </c>
      <c r="E97" s="162">
        <f t="shared" si="1"/>
        <v>6.842733333333334E-2</v>
      </c>
    </row>
    <row r="98" spans="2:5" ht="15.75" x14ac:dyDescent="0.25">
      <c r="B98" s="164">
        <v>2015.4</v>
      </c>
      <c r="C98" s="162">
        <v>9.6777777777777768E-2</v>
      </c>
      <c r="D98" s="185">
        <v>2.9700999999999998E-2</v>
      </c>
      <c r="E98" s="162">
        <f t="shared" si="1"/>
        <v>6.7076777777777763E-2</v>
      </c>
    </row>
    <row r="99" spans="2:5" ht="15.75" x14ac:dyDescent="0.25">
      <c r="B99" s="164" t="s">
        <v>1242</v>
      </c>
      <c r="C99" s="162">
        <v>9.4833333333333325E-2</v>
      </c>
      <c r="D99" s="162">
        <v>2.6571000000000001E-2</v>
      </c>
      <c r="E99" s="162">
        <f t="shared" si="1"/>
        <v>6.8262333333333328E-2</v>
      </c>
    </row>
    <row r="100" spans="2:5" ht="15.75" x14ac:dyDescent="0.25">
      <c r="B100" s="164" t="s">
        <v>1243</v>
      </c>
      <c r="C100" s="162">
        <v>9.4149999999999998E-2</v>
      </c>
      <c r="D100" s="162">
        <v>2.5352666666666669E-2</v>
      </c>
      <c r="E100" s="162">
        <f t="shared" si="1"/>
        <v>6.8797333333333321E-2</v>
      </c>
    </row>
    <row r="101" spans="2:5" ht="15.75" x14ac:dyDescent="0.25">
      <c r="B101" s="164" t="s">
        <v>1244</v>
      </c>
      <c r="C101" s="162">
        <v>9.4649999999999998E-2</v>
      </c>
      <c r="D101" s="162">
        <v>2.2433666666666668E-2</v>
      </c>
      <c r="E101" s="162">
        <f t="shared" si="1"/>
        <v>7.2216333333333327E-2</v>
      </c>
    </row>
    <row r="102" spans="2:5" ht="15.75" x14ac:dyDescent="0.25">
      <c r="B102" s="164" t="s">
        <v>1245</v>
      </c>
      <c r="C102" s="162">
        <v>9.5857142857142849E-2</v>
      </c>
      <c r="D102" s="162">
        <v>2.8928666666666665E-2</v>
      </c>
      <c r="E102" s="162">
        <f t="shared" si="1"/>
        <v>6.6928476190476177E-2</v>
      </c>
    </row>
    <row r="103" spans="2:5" ht="15.75" x14ac:dyDescent="0.25">
      <c r="B103" s="164">
        <v>2017.1</v>
      </c>
      <c r="C103" s="162">
        <v>9.6000000000000002E-2</v>
      </c>
      <c r="D103" s="162">
        <v>3.02196666666667E-2</v>
      </c>
      <c r="E103" s="162">
        <f t="shared" si="1"/>
        <v>6.5780333333333302E-2</v>
      </c>
    </row>
    <row r="104" spans="2:5" ht="15.75" x14ac:dyDescent="0.25">
      <c r="B104" s="164">
        <v>2017.2</v>
      </c>
      <c r="C104" s="162">
        <v>9.2333333333333323E-2</v>
      </c>
      <c r="D104" s="162">
        <v>2.9600000000000001E-2</v>
      </c>
      <c r="E104" s="162">
        <f>C104-D104</f>
        <v>6.2733333333333322E-2</v>
      </c>
    </row>
    <row r="105" spans="2:5" ht="15.75" x14ac:dyDescent="0.25">
      <c r="B105" s="171"/>
      <c r="C105" s="162"/>
      <c r="D105" s="162"/>
      <c r="E105" s="162"/>
    </row>
    <row r="106" spans="2:5" ht="15.75" x14ac:dyDescent="0.25">
      <c r="B106" s="186" t="s">
        <v>7</v>
      </c>
      <c r="C106" s="187">
        <f>AVERAGE(C7:C104)</f>
        <v>0.10592390645730151</v>
      </c>
      <c r="D106" s="187">
        <f t="shared" ref="D106:E106" si="2">AVERAGE(D7:D104)</f>
        <v>4.915556802721089E-2</v>
      </c>
      <c r="E106" s="187">
        <f t="shared" si="2"/>
        <v>5.6768338430090597E-2</v>
      </c>
    </row>
    <row r="107" spans="2:5" ht="16.5" thickBot="1" x14ac:dyDescent="0.3">
      <c r="B107" s="188" t="s">
        <v>1</v>
      </c>
      <c r="C107" s="189">
        <f>MEDIAN(C7:C104)</f>
        <v>0.10562222222222223</v>
      </c>
      <c r="D107" s="189">
        <f t="shared" ref="D107:E107" si="3">MEDIAN(D7:D104)</f>
        <v>4.8550500000000003E-2</v>
      </c>
      <c r="E107" s="189">
        <f t="shared" si="3"/>
        <v>5.7190166666666667E-2</v>
      </c>
    </row>
  </sheetData>
  <printOptions horizontalCentered="1"/>
  <pageMargins left="0.7" right="0.7" top="0.75" bottom="0.75" header="0.3" footer="0.3"/>
  <pageSetup scale="70" orientation="portrait" useFirstPageNumber="1" verticalDpi="1200" r:id="rId1"/>
  <headerFooter>
    <oddHeader xml:space="preserve">&amp;RDocket No.UG-17-____
Exhibit No.___(JSG-2)
Schedule 5
Page &amp;P of 3
</oddHeader>
  </headerFooter>
  <rowBreaks count="1" manualBreakCount="1">
    <brk id="62" min="1" max="4" man="1"/>
  </rowBreaks>
  <ignoredErrors>
    <ignoredError sqref="B99:B102"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534"/>
  <sheetViews>
    <sheetView view="pageBreakPreview" zoomScale="80" zoomScaleNormal="70" zoomScaleSheetLayoutView="80" zoomScalePageLayoutView="80" workbookViewId="0">
      <selection activeCell="J6" sqref="J6"/>
    </sheetView>
  </sheetViews>
  <sheetFormatPr defaultColWidth="9" defaultRowHeight="15.75" x14ac:dyDescent="0.25"/>
  <cols>
    <col min="1" max="1" width="35.625" style="6" customWidth="1"/>
    <col min="2" max="4" width="11.625" style="6" customWidth="1"/>
    <col min="5" max="5" width="12.5" style="6" customWidth="1"/>
    <col min="6" max="6" width="13" style="6" customWidth="1"/>
    <col min="7" max="8" width="11.875" style="6" customWidth="1"/>
    <col min="9" max="9" width="12.5" style="6" customWidth="1"/>
    <col min="10" max="10" width="13.125" style="6" customWidth="1"/>
    <col min="11" max="11" width="4" style="6" customWidth="1"/>
    <col min="12" max="13" width="9" style="6"/>
    <col min="14" max="18" width="9" style="6" customWidth="1"/>
    <col min="19" max="20" width="9" style="6"/>
    <col min="21" max="22" width="9.625" style="6" bestFit="1" customWidth="1"/>
    <col min="23" max="16384" width="9" style="6"/>
  </cols>
  <sheetData>
    <row r="1" spans="1:16" ht="20.25" x14ac:dyDescent="0.3">
      <c r="A1" s="24" t="s">
        <v>1105</v>
      </c>
      <c r="B1" s="86"/>
      <c r="C1" s="86"/>
      <c r="D1" s="86"/>
      <c r="E1" s="86"/>
      <c r="F1" s="86"/>
      <c r="G1" s="86"/>
      <c r="H1" s="86"/>
      <c r="I1" s="86"/>
      <c r="J1" s="86"/>
    </row>
    <row r="2" spans="1:16" x14ac:dyDescent="0.25">
      <c r="J2" s="86"/>
    </row>
    <row r="3" spans="1:16" ht="18.75" x14ac:dyDescent="0.3">
      <c r="A3" s="112" t="s">
        <v>1341</v>
      </c>
      <c r="B3" s="86"/>
      <c r="C3" s="86"/>
      <c r="D3" s="86"/>
      <c r="E3" s="86"/>
      <c r="F3" s="86"/>
      <c r="G3" s="86"/>
      <c r="H3" s="86"/>
      <c r="I3" s="86"/>
      <c r="J3" s="86"/>
    </row>
    <row r="5" spans="1:16" ht="16.5" thickBot="1" x14ac:dyDescent="0.3">
      <c r="C5" s="7" t="s">
        <v>77</v>
      </c>
      <c r="D5" s="7" t="s">
        <v>78</v>
      </c>
      <c r="E5" s="7" t="s">
        <v>79</v>
      </c>
      <c r="F5" s="7" t="s">
        <v>80</v>
      </c>
    </row>
    <row r="6" spans="1:16" ht="78.75" x14ac:dyDescent="0.25">
      <c r="A6" s="113"/>
      <c r="B6" s="113"/>
      <c r="C6" s="89" t="s">
        <v>160</v>
      </c>
      <c r="D6" s="89" t="s">
        <v>159</v>
      </c>
      <c r="E6" s="89" t="s">
        <v>46</v>
      </c>
      <c r="F6" s="89" t="s">
        <v>158</v>
      </c>
    </row>
    <row r="8" spans="1:16" x14ac:dyDescent="0.25">
      <c r="A8" s="114" t="s">
        <v>157</v>
      </c>
      <c r="C8" s="115">
        <f>SUM(I14:I518)</f>
        <v>2.3892391264174376E-2</v>
      </c>
      <c r="D8" s="115">
        <f>(1+(0.625*E8))*C8</f>
        <v>2.5385288224816328E-2</v>
      </c>
      <c r="E8" s="115">
        <f>SUM(J14:J518)</f>
        <v>9.9974720429460581E-2</v>
      </c>
      <c r="F8" s="115">
        <f>D8+E8</f>
        <v>0.12536000865427691</v>
      </c>
    </row>
    <row r="9" spans="1:16" x14ac:dyDescent="0.25">
      <c r="C9" s="100"/>
      <c r="D9" s="100"/>
      <c r="E9" s="100"/>
      <c r="F9" s="100"/>
    </row>
    <row r="11" spans="1:16" ht="16.5" thickBot="1" x14ac:dyDescent="0.3">
      <c r="C11" s="60" t="s">
        <v>81</v>
      </c>
      <c r="D11" s="60" t="s">
        <v>82</v>
      </c>
      <c r="E11" s="60" t="s">
        <v>156</v>
      </c>
      <c r="F11" s="60" t="s">
        <v>155</v>
      </c>
      <c r="G11" s="60" t="s">
        <v>154</v>
      </c>
      <c r="H11" s="60" t="s">
        <v>153</v>
      </c>
      <c r="I11" s="7" t="s">
        <v>152</v>
      </c>
      <c r="J11" s="7" t="s">
        <v>151</v>
      </c>
    </row>
    <row r="12" spans="1:16" ht="78.75" x14ac:dyDescent="0.25">
      <c r="A12" s="88" t="s">
        <v>132</v>
      </c>
      <c r="B12" s="88" t="s">
        <v>133</v>
      </c>
      <c r="C12" s="79" t="s">
        <v>150</v>
      </c>
      <c r="D12" s="78" t="s">
        <v>72</v>
      </c>
      <c r="E12" s="89" t="s">
        <v>149</v>
      </c>
      <c r="F12" s="89" t="s">
        <v>148</v>
      </c>
      <c r="G12" s="79" t="s">
        <v>147</v>
      </c>
      <c r="H12" s="79" t="s">
        <v>1295</v>
      </c>
      <c r="I12" s="89" t="s">
        <v>146</v>
      </c>
      <c r="J12" s="89" t="s">
        <v>1296</v>
      </c>
    </row>
    <row r="13" spans="1:16" x14ac:dyDescent="0.25">
      <c r="G13" s="67"/>
    </row>
    <row r="14" spans="1:16" x14ac:dyDescent="0.25">
      <c r="A14" s="6" t="s">
        <v>396</v>
      </c>
      <c r="B14" s="7" t="s">
        <v>750</v>
      </c>
      <c r="C14" s="116">
        <v>402.80500000000001</v>
      </c>
      <c r="D14" s="117">
        <v>84.76</v>
      </c>
      <c r="E14" s="118">
        <f>C14*D14</f>
        <v>34141.751800000005</v>
      </c>
      <c r="F14" s="119">
        <f>IF(OR(G14="n/a",H14="n/a",H14&lt;0%),0%,E14/SUMIFS(E$14:E$518,G$14:G$518,"&lt;&gt;n/a",$H$14:$H$518,"&lt;&gt;n/a",$H$14:$H$518,"&gt;=0"))</f>
        <v>1.965322436042197E-3</v>
      </c>
      <c r="G14" s="120">
        <v>4.0113000000000003E-2</v>
      </c>
      <c r="H14" s="120">
        <v>6.5000000000000002E-2</v>
      </c>
      <c r="I14" s="121">
        <f t="shared" ref="I14:I77" si="0">IF(G14="n/a","n/a",$F14*G14)</f>
        <v>7.8834978876960647E-5</v>
      </c>
      <c r="J14" s="121">
        <f t="shared" ref="J14:J77" si="1">IF(H14="n/a","n/a",$F14*H14)</f>
        <v>1.277459583427428E-4</v>
      </c>
      <c r="M14" s="6">
        <v>4.0113000000000003</v>
      </c>
      <c r="N14" s="6">
        <v>6.5</v>
      </c>
      <c r="O14" s="6">
        <f>IFERROR(M14/100, "n/a")</f>
        <v>4.0113000000000003E-2</v>
      </c>
      <c r="P14" s="6">
        <f>IFERROR(N14/100, "n/a")</f>
        <v>6.5000000000000002E-2</v>
      </c>
    </row>
    <row r="15" spans="1:16" x14ac:dyDescent="0.25">
      <c r="A15" s="6" t="s">
        <v>196</v>
      </c>
      <c r="B15" s="7" t="s">
        <v>582</v>
      </c>
      <c r="C15" s="116">
        <v>893.779</v>
      </c>
      <c r="D15" s="117">
        <v>79.25</v>
      </c>
      <c r="E15" s="118">
        <f t="shared" ref="E15:E77" si="2">C15*D15</f>
        <v>70831.985749999993</v>
      </c>
      <c r="F15" s="119">
        <f t="shared" ref="F15:F78" si="3">IF(OR(G15="n/a",H15="n/a",H15&lt;0%),0%,E15/SUMIFS(E$14:E$518,G$14:G$518,"&lt;&gt;n/a",$H$14:$H$518,"&lt;&gt;n/a",$H$14:$H$518,"&gt;=0"))</f>
        <v>4.0773447009797587E-3</v>
      </c>
      <c r="G15" s="120">
        <v>1.6150999999999999E-2</v>
      </c>
      <c r="H15" s="120">
        <v>8.199999999999999E-2</v>
      </c>
      <c r="I15" s="121">
        <f t="shared" si="0"/>
        <v>6.5853194265524072E-5</v>
      </c>
      <c r="J15" s="121">
        <f t="shared" si="1"/>
        <v>3.3434226548034019E-4</v>
      </c>
      <c r="M15" s="6">
        <v>1.6151</v>
      </c>
      <c r="N15" s="6">
        <v>8.1999999999999993</v>
      </c>
      <c r="O15" s="6">
        <f t="shared" ref="O15:O78" si="4">IFERROR(M15/100, "n/a")</f>
        <v>1.6150999999999999E-2</v>
      </c>
      <c r="P15" s="6">
        <f t="shared" ref="P15:P78" si="5">IFERROR(N15/100, "n/a")</f>
        <v>8.199999999999999E-2</v>
      </c>
    </row>
    <row r="16" spans="1:16" x14ac:dyDescent="0.25">
      <c r="A16" s="6" t="s">
        <v>540</v>
      </c>
      <c r="B16" s="7" t="s">
        <v>869</v>
      </c>
      <c r="C16" s="116">
        <v>4079.3690000000001</v>
      </c>
      <c r="D16" s="117">
        <v>45.91</v>
      </c>
      <c r="E16" s="118">
        <f t="shared" si="2"/>
        <v>187283.83078999998</v>
      </c>
      <c r="F16" s="119">
        <f t="shared" si="3"/>
        <v>1.0780733124523427E-2</v>
      </c>
      <c r="G16" s="120">
        <v>5.0316E-2</v>
      </c>
      <c r="H16" s="120">
        <v>2.7149999999999997E-2</v>
      </c>
      <c r="I16" s="121">
        <f t="shared" si="0"/>
        <v>5.4244336789352075E-4</v>
      </c>
      <c r="J16" s="121">
        <f t="shared" si="1"/>
        <v>2.9269690433081103E-4</v>
      </c>
      <c r="M16" s="6">
        <v>5.0316000000000001</v>
      </c>
      <c r="N16" s="6">
        <v>2.7149999999999999</v>
      </c>
      <c r="O16" s="6">
        <f t="shared" si="4"/>
        <v>5.0316E-2</v>
      </c>
      <c r="P16" s="6">
        <f t="shared" si="5"/>
        <v>2.7149999999999997E-2</v>
      </c>
    </row>
    <row r="17" spans="1:16" x14ac:dyDescent="0.25">
      <c r="A17" s="6" t="s">
        <v>1121</v>
      </c>
      <c r="B17" s="7" t="s">
        <v>902</v>
      </c>
      <c r="C17" s="116">
        <v>401.36200000000002</v>
      </c>
      <c r="D17" s="117">
        <v>220.81</v>
      </c>
      <c r="E17" s="118">
        <f t="shared" si="2"/>
        <v>88624.743220000004</v>
      </c>
      <c r="F17" s="119">
        <f t="shared" si="3"/>
        <v>5.1015600271203587E-3</v>
      </c>
      <c r="G17" s="120">
        <v>1.8477E-2</v>
      </c>
      <c r="H17" s="120">
        <v>0.1542</v>
      </c>
      <c r="I17" s="121">
        <f t="shared" si="0"/>
        <v>9.4261524621102864E-5</v>
      </c>
      <c r="J17" s="121">
        <f t="shared" si="1"/>
        <v>7.8666055618195933E-4</v>
      </c>
      <c r="M17" s="6">
        <v>1.8477000000000001</v>
      </c>
      <c r="N17" s="6">
        <v>15.42</v>
      </c>
      <c r="O17" s="6">
        <f t="shared" si="4"/>
        <v>1.8477E-2</v>
      </c>
      <c r="P17" s="6">
        <f t="shared" si="5"/>
        <v>0.1542</v>
      </c>
    </row>
    <row r="18" spans="1:16" x14ac:dyDescent="0.25">
      <c r="A18" s="6" t="s">
        <v>231</v>
      </c>
      <c r="B18" s="7" t="s">
        <v>610</v>
      </c>
      <c r="C18" s="116">
        <v>603.58100000000002</v>
      </c>
      <c r="D18" s="117">
        <v>184.83</v>
      </c>
      <c r="E18" s="118">
        <f t="shared" si="2"/>
        <v>111559.87623000001</v>
      </c>
      <c r="F18" s="119">
        <f t="shared" si="3"/>
        <v>6.4217890458951078E-3</v>
      </c>
      <c r="G18" s="120">
        <v>3.0731000000000001E-2</v>
      </c>
      <c r="H18" s="120">
        <v>0.14324999999999999</v>
      </c>
      <c r="I18" s="121">
        <f t="shared" si="0"/>
        <v>1.9734799916940258E-4</v>
      </c>
      <c r="J18" s="121">
        <f t="shared" si="1"/>
        <v>9.1992128082447411E-4</v>
      </c>
      <c r="M18" s="6">
        <v>3.0731000000000002</v>
      </c>
      <c r="N18" s="6">
        <v>14.324999999999999</v>
      </c>
      <c r="O18" s="6">
        <f t="shared" si="4"/>
        <v>3.0731000000000001E-2</v>
      </c>
      <c r="P18" s="6">
        <f t="shared" si="5"/>
        <v>0.14324999999999999</v>
      </c>
    </row>
    <row r="19" spans="1:16" x14ac:dyDescent="0.25">
      <c r="A19" s="6" t="s">
        <v>244</v>
      </c>
      <c r="B19" s="7" t="s">
        <v>622</v>
      </c>
      <c r="C19" s="116">
        <v>589.15700000000004</v>
      </c>
      <c r="D19" s="117">
        <v>102.26</v>
      </c>
      <c r="E19" s="118">
        <f t="shared" si="2"/>
        <v>60247.194820000004</v>
      </c>
      <c r="F19" s="119">
        <f t="shared" si="3"/>
        <v>3.4680459392347649E-3</v>
      </c>
      <c r="G19" s="120">
        <v>3.0118999999999996E-2</v>
      </c>
      <c r="H19" s="120">
        <v>7.6399999999999996E-2</v>
      </c>
      <c r="I19" s="121">
        <f t="shared" si="0"/>
        <v>1.0445407564381188E-4</v>
      </c>
      <c r="J19" s="121">
        <f t="shared" si="1"/>
        <v>2.6495870975753603E-4</v>
      </c>
      <c r="M19" s="6">
        <v>3.0118999999999998</v>
      </c>
      <c r="N19" s="6">
        <v>7.64</v>
      </c>
      <c r="O19" s="6">
        <f t="shared" si="4"/>
        <v>3.0118999999999996E-2</v>
      </c>
      <c r="P19" s="6">
        <f t="shared" si="5"/>
        <v>7.6399999999999996E-2</v>
      </c>
    </row>
    <row r="20" spans="1:16" x14ac:dyDescent="0.25">
      <c r="A20" s="6" t="s">
        <v>375</v>
      </c>
      <c r="B20" s="7" t="s">
        <v>730</v>
      </c>
      <c r="C20" s="116">
        <v>3557.8580000000002</v>
      </c>
      <c r="D20" s="117">
        <v>87</v>
      </c>
      <c r="E20" s="118">
        <f t="shared" si="2"/>
        <v>309533.64600000001</v>
      </c>
      <c r="F20" s="119">
        <f t="shared" si="3"/>
        <v>1.781787363335419E-2</v>
      </c>
      <c r="G20" s="120">
        <v>2.2989000000000002E-2</v>
      </c>
      <c r="H20" s="120">
        <v>7.8E-2</v>
      </c>
      <c r="I20" s="121">
        <f t="shared" si="0"/>
        <v>4.0961509695717954E-4</v>
      </c>
      <c r="J20" s="121">
        <f t="shared" si="1"/>
        <v>1.3897941434016269E-3</v>
      </c>
      <c r="M20" s="6">
        <v>2.2989000000000002</v>
      </c>
      <c r="N20" s="6">
        <v>7.8</v>
      </c>
      <c r="O20" s="6">
        <f t="shared" si="4"/>
        <v>2.2989000000000002E-2</v>
      </c>
      <c r="P20" s="6">
        <f t="shared" si="5"/>
        <v>7.8E-2</v>
      </c>
    </row>
    <row r="21" spans="1:16" x14ac:dyDescent="0.25">
      <c r="A21" s="6" t="s">
        <v>255</v>
      </c>
      <c r="B21" s="7" t="s">
        <v>630</v>
      </c>
      <c r="C21" s="116">
        <v>1894.5619999999999</v>
      </c>
      <c r="D21" s="117">
        <v>106.7</v>
      </c>
      <c r="E21" s="118">
        <f t="shared" si="2"/>
        <v>202149.7654</v>
      </c>
      <c r="F21" s="119">
        <f t="shared" si="3"/>
        <v>1.1636469965237302E-2</v>
      </c>
      <c r="G21" s="120">
        <v>4.0487000000000002E-2</v>
      </c>
      <c r="H21" s="120">
        <v>0.28864999999999996</v>
      </c>
      <c r="I21" s="121">
        <f t="shared" si="0"/>
        <v>4.7112575948256264E-4</v>
      </c>
      <c r="J21" s="121">
        <f t="shared" si="1"/>
        <v>3.3588670554657468E-3</v>
      </c>
      <c r="M21" s="6">
        <v>4.0487000000000002</v>
      </c>
      <c r="N21" s="6">
        <v>28.864999999999998</v>
      </c>
      <c r="O21" s="6">
        <f t="shared" si="4"/>
        <v>4.0487000000000002E-2</v>
      </c>
      <c r="P21" s="6">
        <f t="shared" si="5"/>
        <v>0.28864999999999996</v>
      </c>
    </row>
    <row r="22" spans="1:16" x14ac:dyDescent="0.25">
      <c r="A22" s="6" t="s">
        <v>266</v>
      </c>
      <c r="B22" s="7" t="s">
        <v>638</v>
      </c>
      <c r="C22" s="116">
        <v>4272.5590000000002</v>
      </c>
      <c r="D22" s="117">
        <v>43.15</v>
      </c>
      <c r="E22" s="118">
        <f t="shared" si="2"/>
        <v>184360.92084999999</v>
      </c>
      <c r="F22" s="119">
        <f t="shared" si="3"/>
        <v>1.0612479880891893E-2</v>
      </c>
      <c r="G22" s="120">
        <v>3.4298999999999996E-2</v>
      </c>
      <c r="H22" s="120">
        <v>5.16E-2</v>
      </c>
      <c r="I22" s="121">
        <f t="shared" si="0"/>
        <v>3.6399744743471099E-4</v>
      </c>
      <c r="J22" s="121">
        <f t="shared" si="1"/>
        <v>5.4760396185402169E-4</v>
      </c>
      <c r="M22" s="6">
        <v>3.4298999999999999</v>
      </c>
      <c r="N22" s="6">
        <v>5.16</v>
      </c>
      <c r="O22" s="6">
        <f t="shared" si="4"/>
        <v>3.4298999999999996E-2</v>
      </c>
      <c r="P22" s="6">
        <f t="shared" si="5"/>
        <v>5.16E-2</v>
      </c>
    </row>
    <row r="23" spans="1:16" x14ac:dyDescent="0.25">
      <c r="A23" s="6" t="s">
        <v>179</v>
      </c>
      <c r="B23" s="7" t="s">
        <v>571</v>
      </c>
      <c r="C23" s="116">
        <v>1593.577</v>
      </c>
      <c r="D23" s="117">
        <v>65.94</v>
      </c>
      <c r="E23" s="118">
        <f t="shared" si="2"/>
        <v>105080.46738</v>
      </c>
      <c r="F23" s="119">
        <f t="shared" si="3"/>
        <v>6.0488108911773593E-3</v>
      </c>
      <c r="G23" s="120">
        <v>3.8822999999999996E-2</v>
      </c>
      <c r="H23" s="120">
        <v>9.2680000000000012E-2</v>
      </c>
      <c r="I23" s="121">
        <f t="shared" si="0"/>
        <v>2.3483298522817859E-4</v>
      </c>
      <c r="J23" s="121">
        <f t="shared" si="1"/>
        <v>5.606037933943177E-4</v>
      </c>
      <c r="M23" s="6">
        <v>3.8822999999999999</v>
      </c>
      <c r="N23" s="6">
        <v>9.2680000000000007</v>
      </c>
      <c r="O23" s="6">
        <f t="shared" si="4"/>
        <v>3.8822999999999996E-2</v>
      </c>
      <c r="P23" s="6">
        <f t="shared" si="5"/>
        <v>9.2680000000000012E-2</v>
      </c>
    </row>
    <row r="24" spans="1:16" x14ac:dyDescent="0.25">
      <c r="A24" s="6" t="s">
        <v>548</v>
      </c>
      <c r="B24" s="7" t="s">
        <v>875</v>
      </c>
      <c r="C24" s="116">
        <v>1581.248</v>
      </c>
      <c r="D24" s="117">
        <v>115.6</v>
      </c>
      <c r="E24" s="118">
        <f t="shared" si="2"/>
        <v>182792.26879999999</v>
      </c>
      <c r="F24" s="119">
        <f t="shared" si="3"/>
        <v>1.0522182608324626E-2</v>
      </c>
      <c r="G24" s="120">
        <v>1.3495E-2</v>
      </c>
      <c r="H24" s="120">
        <v>7.7530000000000002E-2</v>
      </c>
      <c r="I24" s="121">
        <f t="shared" si="0"/>
        <v>1.4199685429934082E-4</v>
      </c>
      <c r="J24" s="121">
        <f t="shared" si="1"/>
        <v>8.1578481762340828E-4</v>
      </c>
      <c r="M24" s="6">
        <v>1.3494999999999999</v>
      </c>
      <c r="N24" s="6">
        <v>7.7530000000000001</v>
      </c>
      <c r="O24" s="6">
        <f t="shared" si="4"/>
        <v>1.3495E-2</v>
      </c>
      <c r="P24" s="6">
        <f t="shared" si="5"/>
        <v>7.7530000000000002E-2</v>
      </c>
    </row>
    <row r="25" spans="1:16" x14ac:dyDescent="0.25">
      <c r="A25" s="6" t="s">
        <v>1122</v>
      </c>
      <c r="B25" s="7" t="s">
        <v>1123</v>
      </c>
      <c r="C25" s="116">
        <v>125.91200000000001</v>
      </c>
      <c r="D25" s="117">
        <v>75.53</v>
      </c>
      <c r="E25" s="118">
        <f t="shared" si="2"/>
        <v>9510.1333599999998</v>
      </c>
      <c r="F25" s="119">
        <f t="shared" si="3"/>
        <v>5.4743759405342994E-4</v>
      </c>
      <c r="G25" s="120">
        <v>4.1307999999999997E-2</v>
      </c>
      <c r="H25" s="120">
        <v>7.5399999999999995E-2</v>
      </c>
      <c r="I25" s="121">
        <f t="shared" si="0"/>
        <v>2.2613552135159084E-5</v>
      </c>
      <c r="J25" s="121">
        <f t="shared" si="1"/>
        <v>4.1276794591628615E-5</v>
      </c>
      <c r="M25" s="6">
        <v>4.1307999999999998</v>
      </c>
      <c r="N25" s="6">
        <v>7.54</v>
      </c>
      <c r="O25" s="6">
        <f t="shared" si="4"/>
        <v>4.1307999999999997E-2</v>
      </c>
      <c r="P25" s="6">
        <f t="shared" si="5"/>
        <v>7.5399999999999995E-2</v>
      </c>
    </row>
    <row r="26" spans="1:16" x14ac:dyDescent="0.25">
      <c r="A26" s="6" t="s">
        <v>304</v>
      </c>
      <c r="B26" s="7" t="s">
        <v>671</v>
      </c>
      <c r="C26" s="116">
        <v>867.03200000000004</v>
      </c>
      <c r="D26" s="117">
        <v>79.75</v>
      </c>
      <c r="E26" s="118">
        <f t="shared" si="2"/>
        <v>69145.801999999996</v>
      </c>
      <c r="F26" s="119">
        <f t="shared" si="3"/>
        <v>3.9802818796407331E-3</v>
      </c>
      <c r="G26" s="120">
        <v>1.9060000000000001E-2</v>
      </c>
      <c r="H26" s="120">
        <v>6.7199999999999996E-2</v>
      </c>
      <c r="I26" s="121">
        <f t="shared" si="0"/>
        <v>7.5864172625952369E-5</v>
      </c>
      <c r="J26" s="121">
        <f t="shared" si="1"/>
        <v>2.6747494231185725E-4</v>
      </c>
      <c r="M26" s="6">
        <v>1.9060000000000001</v>
      </c>
      <c r="N26" s="6">
        <v>6.72</v>
      </c>
      <c r="O26" s="6">
        <f t="shared" si="4"/>
        <v>1.9060000000000001E-2</v>
      </c>
      <c r="P26" s="6">
        <f t="shared" si="5"/>
        <v>6.7199999999999996E-2</v>
      </c>
    </row>
    <row r="27" spans="1:16" x14ac:dyDescent="0.25">
      <c r="A27" s="6" t="s">
        <v>319</v>
      </c>
      <c r="B27" s="7" t="s">
        <v>682</v>
      </c>
      <c r="C27" s="116">
        <v>4239.732</v>
      </c>
      <c r="D27" s="117">
        <v>81.650000000000006</v>
      </c>
      <c r="E27" s="118">
        <f t="shared" si="2"/>
        <v>346174.11780000001</v>
      </c>
      <c r="F27" s="119">
        <f t="shared" si="3"/>
        <v>1.9927031409368232E-2</v>
      </c>
      <c r="G27" s="120">
        <v>3.7721999999999999E-2</v>
      </c>
      <c r="H27" s="120">
        <v>0.13803000000000001</v>
      </c>
      <c r="I27" s="121">
        <f t="shared" si="0"/>
        <v>7.5168747882418843E-4</v>
      </c>
      <c r="J27" s="121">
        <f t="shared" si="1"/>
        <v>2.7505281454350975E-3</v>
      </c>
      <c r="M27" s="6">
        <v>3.7721999999999998</v>
      </c>
      <c r="N27" s="6">
        <v>13.803000000000001</v>
      </c>
      <c r="O27" s="6">
        <f t="shared" si="4"/>
        <v>3.7721999999999999E-2</v>
      </c>
      <c r="P27" s="6">
        <f t="shared" si="5"/>
        <v>0.13803000000000001</v>
      </c>
    </row>
    <row r="28" spans="1:16" x14ac:dyDescent="0.25">
      <c r="A28" s="6" t="s">
        <v>459</v>
      </c>
      <c r="B28" s="7" t="s">
        <v>799</v>
      </c>
      <c r="C28" s="116">
        <v>516.971</v>
      </c>
      <c r="D28" s="117">
        <v>79.56</v>
      </c>
      <c r="E28" s="118">
        <f t="shared" si="2"/>
        <v>41130.212760000002</v>
      </c>
      <c r="F28" s="119">
        <f t="shared" si="3"/>
        <v>0</v>
      </c>
      <c r="G28" s="120">
        <v>3.1674000000000001E-2</v>
      </c>
      <c r="H28" s="120">
        <v>-0.1232</v>
      </c>
      <c r="I28" s="121">
        <f t="shared" si="0"/>
        <v>0</v>
      </c>
      <c r="J28" s="121">
        <f t="shared" si="1"/>
        <v>0</v>
      </c>
      <c r="M28" s="6">
        <v>3.1673999999999998</v>
      </c>
      <c r="N28" s="6">
        <v>-12.32</v>
      </c>
      <c r="O28" s="6">
        <f t="shared" si="4"/>
        <v>3.1674000000000001E-2</v>
      </c>
      <c r="P28" s="6">
        <f t="shared" si="5"/>
        <v>-0.1232</v>
      </c>
    </row>
    <row r="29" spans="1:16" x14ac:dyDescent="0.25">
      <c r="A29" s="6" t="s">
        <v>337</v>
      </c>
      <c r="B29" s="7" t="s">
        <v>695</v>
      </c>
      <c r="C29" s="116">
        <v>8708.7139999999999</v>
      </c>
      <c r="D29" s="117">
        <v>28.99</v>
      </c>
      <c r="E29" s="118">
        <f t="shared" si="2"/>
        <v>252465.61885999999</v>
      </c>
      <c r="F29" s="119">
        <f t="shared" si="3"/>
        <v>1.4532832057985846E-2</v>
      </c>
      <c r="G29" s="120">
        <v>3.3114999999999999E-2</v>
      </c>
      <c r="H29" s="120">
        <v>0.10025000000000001</v>
      </c>
      <c r="I29" s="121">
        <f t="shared" si="0"/>
        <v>4.8125473360020128E-4</v>
      </c>
      <c r="J29" s="121">
        <f t="shared" si="1"/>
        <v>1.4569164138130812E-3</v>
      </c>
      <c r="M29" s="6">
        <v>3.3115000000000001</v>
      </c>
      <c r="N29" s="6">
        <v>10.025</v>
      </c>
      <c r="O29" s="6">
        <f t="shared" si="4"/>
        <v>3.3114999999999999E-2</v>
      </c>
      <c r="P29" s="6">
        <f t="shared" si="5"/>
        <v>0.10025000000000001</v>
      </c>
    </row>
    <row r="30" spans="1:16" x14ac:dyDescent="0.25">
      <c r="A30" s="6" t="s">
        <v>1124</v>
      </c>
      <c r="B30" s="7" t="s">
        <v>711</v>
      </c>
      <c r="C30" s="116">
        <v>1690.7819999999999</v>
      </c>
      <c r="D30" s="117">
        <v>18.82</v>
      </c>
      <c r="E30" s="118">
        <f t="shared" si="2"/>
        <v>31820.517239999997</v>
      </c>
      <c r="F30" s="119">
        <f t="shared" si="3"/>
        <v>1.8317037984629575E-3</v>
      </c>
      <c r="G30" s="120">
        <v>2.8204000000000003E-2</v>
      </c>
      <c r="H30" s="120">
        <v>1.7469999999999999E-2</v>
      </c>
      <c r="I30" s="121">
        <f t="shared" si="0"/>
        <v>5.1661373931849262E-5</v>
      </c>
      <c r="J30" s="121">
        <f t="shared" si="1"/>
        <v>3.1999865359147868E-5</v>
      </c>
      <c r="M30" s="6">
        <v>2.8204000000000002</v>
      </c>
      <c r="N30" s="6">
        <v>1.7469999999999999</v>
      </c>
      <c r="O30" s="6">
        <f t="shared" si="4"/>
        <v>2.8204000000000003E-2</v>
      </c>
      <c r="P30" s="6">
        <f t="shared" si="5"/>
        <v>1.7469999999999999E-2</v>
      </c>
    </row>
    <row r="31" spans="1:16" x14ac:dyDescent="0.25">
      <c r="A31" s="6" t="s">
        <v>354</v>
      </c>
      <c r="B31" s="7" t="s">
        <v>712</v>
      </c>
      <c r="C31" s="116">
        <v>1201.1690000000001</v>
      </c>
      <c r="D31" s="117">
        <v>156.1</v>
      </c>
      <c r="E31" s="118">
        <f t="shared" si="2"/>
        <v>187502.4809</v>
      </c>
      <c r="F31" s="119">
        <f t="shared" si="3"/>
        <v>1.0793319413866263E-2</v>
      </c>
      <c r="G31" s="120">
        <v>2.2806000000000003E-2</v>
      </c>
      <c r="H31" s="120">
        <v>0.12445000000000001</v>
      </c>
      <c r="I31" s="121">
        <f t="shared" si="0"/>
        <v>2.4615244255263405E-4</v>
      </c>
      <c r="J31" s="121">
        <f t="shared" si="1"/>
        <v>1.3432286010556565E-3</v>
      </c>
      <c r="M31" s="6">
        <v>2.2806000000000002</v>
      </c>
      <c r="N31" s="6">
        <v>12.445</v>
      </c>
      <c r="O31" s="6">
        <f t="shared" si="4"/>
        <v>2.2806000000000003E-2</v>
      </c>
      <c r="P31" s="6">
        <f t="shared" si="5"/>
        <v>0.12445000000000001</v>
      </c>
    </row>
    <row r="32" spans="1:16" x14ac:dyDescent="0.25">
      <c r="A32" s="6" t="s">
        <v>364</v>
      </c>
      <c r="B32" s="7" t="s">
        <v>720</v>
      </c>
      <c r="C32" s="116">
        <v>939.49699999999996</v>
      </c>
      <c r="D32" s="117">
        <v>160.29</v>
      </c>
      <c r="E32" s="118">
        <f t="shared" si="2"/>
        <v>150591.97412999999</v>
      </c>
      <c r="F32" s="119">
        <f t="shared" si="3"/>
        <v>8.668617450542624E-3</v>
      </c>
      <c r="G32" s="120">
        <v>3.7432E-2</v>
      </c>
      <c r="H32" s="120">
        <v>6.6400000000000001E-2</v>
      </c>
      <c r="I32" s="121">
        <f t="shared" si="0"/>
        <v>3.2448368840871152E-4</v>
      </c>
      <c r="J32" s="121">
        <f t="shared" si="1"/>
        <v>5.7559619871603023E-4</v>
      </c>
      <c r="M32" s="6">
        <v>3.7431999999999999</v>
      </c>
      <c r="N32" s="6">
        <v>6.64</v>
      </c>
      <c r="O32" s="6">
        <f t="shared" si="4"/>
        <v>3.7432E-2</v>
      </c>
      <c r="P32" s="6">
        <f t="shared" si="5"/>
        <v>6.6400000000000001E-2</v>
      </c>
    </row>
    <row r="33" spans="1:16" x14ac:dyDescent="0.25">
      <c r="A33" s="6" t="s">
        <v>1125</v>
      </c>
      <c r="B33" s="7" t="s">
        <v>1126</v>
      </c>
      <c r="C33" s="116">
        <v>148.17099999999999</v>
      </c>
      <c r="D33" s="117">
        <v>126.66</v>
      </c>
      <c r="E33" s="118">
        <f t="shared" si="2"/>
        <v>18767.33886</v>
      </c>
      <c r="F33" s="119">
        <f t="shared" si="3"/>
        <v>0</v>
      </c>
      <c r="G33" s="120" t="s">
        <v>996</v>
      </c>
      <c r="H33" s="120">
        <v>3.2400000000000005E-2</v>
      </c>
      <c r="I33" s="121" t="str">
        <f t="shared" si="0"/>
        <v>n/a</v>
      </c>
      <c r="J33" s="121">
        <f t="shared" si="1"/>
        <v>0</v>
      </c>
      <c r="M33" s="6" t="s">
        <v>996</v>
      </c>
      <c r="N33" s="6">
        <v>3.24</v>
      </c>
      <c r="O33" s="6" t="str">
        <f t="shared" si="4"/>
        <v>n/a</v>
      </c>
      <c r="P33" s="6">
        <f t="shared" si="5"/>
        <v>3.2400000000000005E-2</v>
      </c>
    </row>
    <row r="34" spans="1:16" x14ac:dyDescent="0.25">
      <c r="A34" s="6" t="s">
        <v>374</v>
      </c>
      <c r="B34" s="7" t="s">
        <v>728</v>
      </c>
      <c r="C34" s="116">
        <v>2710.8919999999998</v>
      </c>
      <c r="D34" s="117">
        <v>123.47</v>
      </c>
      <c r="E34" s="118">
        <f t="shared" si="2"/>
        <v>334713.83523999999</v>
      </c>
      <c r="F34" s="119">
        <f t="shared" si="3"/>
        <v>1.9267336190139584E-2</v>
      </c>
      <c r="G34" s="120">
        <v>2.7213000000000001E-2</v>
      </c>
      <c r="H34" s="120">
        <v>6.4530000000000004E-2</v>
      </c>
      <c r="I34" s="121">
        <f t="shared" si="0"/>
        <v>5.243220197422685E-4</v>
      </c>
      <c r="J34" s="121">
        <f t="shared" si="1"/>
        <v>1.2433212043497074E-3</v>
      </c>
      <c r="M34" s="6">
        <v>2.7213000000000003</v>
      </c>
      <c r="N34" s="6">
        <v>6.4530000000000003</v>
      </c>
      <c r="O34" s="6">
        <f t="shared" si="4"/>
        <v>2.7213000000000001E-2</v>
      </c>
      <c r="P34" s="6">
        <f t="shared" si="5"/>
        <v>6.4530000000000004E-2</v>
      </c>
    </row>
    <row r="35" spans="1:16" x14ac:dyDescent="0.25">
      <c r="A35" s="6" t="s">
        <v>406</v>
      </c>
      <c r="B35" s="7" t="s">
        <v>760</v>
      </c>
      <c r="C35" s="116">
        <v>816.75300000000004</v>
      </c>
      <c r="D35" s="117">
        <v>139.93</v>
      </c>
      <c r="E35" s="118">
        <f t="shared" si="2"/>
        <v>114288.24729000001</v>
      </c>
      <c r="F35" s="119">
        <f t="shared" si="3"/>
        <v>6.5788439295893369E-3</v>
      </c>
      <c r="G35" s="120">
        <v>2.6870999999999999E-2</v>
      </c>
      <c r="H35" s="120">
        <v>9.7710000000000005E-2</v>
      </c>
      <c r="I35" s="121">
        <f t="shared" si="0"/>
        <v>1.7678011523199506E-4</v>
      </c>
      <c r="J35" s="121">
        <f t="shared" si="1"/>
        <v>6.428188403601741E-4</v>
      </c>
      <c r="M35" s="6">
        <v>2.6871</v>
      </c>
      <c r="N35" s="6">
        <v>9.7710000000000008</v>
      </c>
      <c r="O35" s="6">
        <f t="shared" si="4"/>
        <v>2.6870999999999999E-2</v>
      </c>
      <c r="P35" s="6">
        <f t="shared" si="5"/>
        <v>9.7710000000000005E-2</v>
      </c>
    </row>
    <row r="36" spans="1:16" x14ac:dyDescent="0.25">
      <c r="A36" s="6" t="s">
        <v>409</v>
      </c>
      <c r="B36" s="7" t="s">
        <v>764</v>
      </c>
      <c r="C36" s="116">
        <v>2741.53</v>
      </c>
      <c r="D36" s="117">
        <v>62.33</v>
      </c>
      <c r="E36" s="118">
        <f t="shared" si="2"/>
        <v>170879.5649</v>
      </c>
      <c r="F36" s="119">
        <f t="shared" si="3"/>
        <v>9.8364443841776929E-3</v>
      </c>
      <c r="G36" s="120">
        <v>3.0162000000000001E-2</v>
      </c>
      <c r="H36" s="120">
        <v>5.3600000000000002E-2</v>
      </c>
      <c r="I36" s="121">
        <f t="shared" si="0"/>
        <v>2.9668683551556759E-4</v>
      </c>
      <c r="J36" s="121">
        <f t="shared" si="1"/>
        <v>5.2723341899192438E-4</v>
      </c>
      <c r="M36" s="6">
        <v>3.0162</v>
      </c>
      <c r="N36" s="6">
        <v>5.36</v>
      </c>
      <c r="O36" s="6">
        <f t="shared" si="4"/>
        <v>3.0162000000000001E-2</v>
      </c>
      <c r="P36" s="6">
        <f t="shared" si="5"/>
        <v>5.3600000000000002E-2</v>
      </c>
    </row>
    <row r="37" spans="1:16" x14ac:dyDescent="0.25">
      <c r="A37" s="6" t="s">
        <v>177</v>
      </c>
      <c r="B37" s="7" t="s">
        <v>569</v>
      </c>
      <c r="C37" s="116">
        <v>597.59699999999998</v>
      </c>
      <c r="D37" s="117">
        <v>195.83</v>
      </c>
      <c r="E37" s="118">
        <f t="shared" si="2"/>
        <v>117027.42051</v>
      </c>
      <c r="F37" s="119">
        <f t="shared" si="3"/>
        <v>6.7365206245933677E-3</v>
      </c>
      <c r="G37" s="120">
        <v>2.4E-2</v>
      </c>
      <c r="H37" s="120">
        <v>8.4000000000000005E-2</v>
      </c>
      <c r="I37" s="121">
        <f t="shared" si="0"/>
        <v>1.6167649499024083E-4</v>
      </c>
      <c r="J37" s="121">
        <f t="shared" si="1"/>
        <v>5.6586773246584292E-4</v>
      </c>
      <c r="M37" s="6">
        <v>2.4</v>
      </c>
      <c r="N37" s="6">
        <v>8.4</v>
      </c>
      <c r="O37" s="6">
        <f t="shared" si="4"/>
        <v>2.4E-2</v>
      </c>
      <c r="P37" s="6">
        <f t="shared" si="5"/>
        <v>8.4000000000000005E-2</v>
      </c>
    </row>
    <row r="38" spans="1:16" x14ac:dyDescent="0.25">
      <c r="A38" s="6" t="s">
        <v>1127</v>
      </c>
      <c r="B38" s="7" t="s">
        <v>1128</v>
      </c>
      <c r="C38" s="116">
        <v>177.727</v>
      </c>
      <c r="D38" s="117">
        <v>79.760000000000005</v>
      </c>
      <c r="E38" s="118">
        <f t="shared" si="2"/>
        <v>14175.505520000001</v>
      </c>
      <c r="F38" s="119">
        <f t="shared" si="3"/>
        <v>8.1599325084121801E-4</v>
      </c>
      <c r="G38" s="120">
        <v>2.0812000000000001E-2</v>
      </c>
      <c r="H38" s="120">
        <v>7.0000000000000007E-2</v>
      </c>
      <c r="I38" s="121">
        <f t="shared" si="0"/>
        <v>1.6982451536507431E-5</v>
      </c>
      <c r="J38" s="121">
        <f t="shared" si="1"/>
        <v>5.7119527558885269E-5</v>
      </c>
      <c r="M38" s="6">
        <v>2.0811999999999999</v>
      </c>
      <c r="N38" s="6">
        <v>7</v>
      </c>
      <c r="O38" s="6">
        <f t="shared" si="4"/>
        <v>2.0812000000000001E-2</v>
      </c>
      <c r="P38" s="6">
        <f t="shared" si="5"/>
        <v>7.0000000000000007E-2</v>
      </c>
    </row>
    <row r="39" spans="1:16" x14ac:dyDescent="0.25">
      <c r="A39" s="6" t="s">
        <v>222</v>
      </c>
      <c r="B39" s="7" t="s">
        <v>602</v>
      </c>
      <c r="C39" s="116">
        <v>10011.942999999999</v>
      </c>
      <c r="D39" s="117">
        <v>23.34</v>
      </c>
      <c r="E39" s="118">
        <f t="shared" si="2"/>
        <v>233678.74961999999</v>
      </c>
      <c r="F39" s="119">
        <f t="shared" si="3"/>
        <v>1.3451392071055737E-2</v>
      </c>
      <c r="G39" s="120">
        <v>1.2852999999999998E-2</v>
      </c>
      <c r="H39" s="120">
        <v>0.1394</v>
      </c>
      <c r="I39" s="121">
        <f t="shared" si="0"/>
        <v>1.7289074228927937E-4</v>
      </c>
      <c r="J39" s="121">
        <f t="shared" si="1"/>
        <v>1.8751240547051698E-3</v>
      </c>
      <c r="M39" s="6">
        <v>1.2852999999999999</v>
      </c>
      <c r="N39" s="6">
        <v>13.94</v>
      </c>
      <c r="O39" s="6">
        <f t="shared" si="4"/>
        <v>1.2852999999999998E-2</v>
      </c>
      <c r="P39" s="6">
        <f t="shared" si="5"/>
        <v>0.1394</v>
      </c>
    </row>
    <row r="40" spans="1:16" x14ac:dyDescent="0.25">
      <c r="A40" s="6" t="s">
        <v>1129</v>
      </c>
      <c r="B40" s="7" t="s">
        <v>1130</v>
      </c>
      <c r="C40" s="116">
        <v>163.11000000000001</v>
      </c>
      <c r="D40" s="117">
        <v>29.08</v>
      </c>
      <c r="E40" s="118">
        <f t="shared" si="2"/>
        <v>4743.2388000000001</v>
      </c>
      <c r="F40" s="119">
        <f t="shared" si="3"/>
        <v>2.7303794157234386E-4</v>
      </c>
      <c r="G40" s="120">
        <v>1.3755E-2</v>
      </c>
      <c r="H40" s="120">
        <v>6.2E-2</v>
      </c>
      <c r="I40" s="121">
        <f t="shared" si="0"/>
        <v>3.7556368863275898E-6</v>
      </c>
      <c r="J40" s="121">
        <f t="shared" si="1"/>
        <v>1.6928352377485319E-5</v>
      </c>
      <c r="M40" s="6">
        <v>1.3754999999999999</v>
      </c>
      <c r="N40" s="6">
        <v>6.2</v>
      </c>
      <c r="O40" s="6">
        <f t="shared" si="4"/>
        <v>1.3755E-2</v>
      </c>
      <c r="P40" s="6">
        <f t="shared" si="5"/>
        <v>6.2E-2</v>
      </c>
    </row>
    <row r="41" spans="1:16" x14ac:dyDescent="0.25">
      <c r="A41" s="6" t="s">
        <v>456</v>
      </c>
      <c r="B41" s="7" t="s">
        <v>796</v>
      </c>
      <c r="C41" s="116">
        <v>5955.1260000000002</v>
      </c>
      <c r="D41" s="117">
        <v>33.92</v>
      </c>
      <c r="E41" s="118">
        <f t="shared" si="2"/>
        <v>201997.87392000001</v>
      </c>
      <c r="F41" s="119">
        <f t="shared" si="3"/>
        <v>1.1627726543539543E-2</v>
      </c>
      <c r="G41" s="120">
        <v>3.7735999999999999E-2</v>
      </c>
      <c r="H41" s="120">
        <v>5.0770000000000003E-2</v>
      </c>
      <c r="I41" s="121">
        <f t="shared" si="0"/>
        <v>4.3878388884700819E-4</v>
      </c>
      <c r="J41" s="121">
        <f t="shared" si="1"/>
        <v>5.9033967661550261E-4</v>
      </c>
      <c r="M41" s="6">
        <v>3.7736000000000001</v>
      </c>
      <c r="N41" s="6">
        <v>5.077</v>
      </c>
      <c r="O41" s="6">
        <f t="shared" si="4"/>
        <v>3.7735999999999999E-2</v>
      </c>
      <c r="P41" s="6">
        <f t="shared" si="5"/>
        <v>5.0770000000000003E-2</v>
      </c>
    </row>
    <row r="42" spans="1:16" x14ac:dyDescent="0.25">
      <c r="A42" s="6" t="s">
        <v>468</v>
      </c>
      <c r="B42" s="7" t="s">
        <v>807</v>
      </c>
      <c r="C42" s="116">
        <v>2557.614</v>
      </c>
      <c r="D42" s="117">
        <v>87.33</v>
      </c>
      <c r="E42" s="118">
        <f t="shared" si="2"/>
        <v>223356.43062</v>
      </c>
      <c r="F42" s="119">
        <f t="shared" si="3"/>
        <v>1.2857202140746284E-2</v>
      </c>
      <c r="G42" s="120">
        <v>3.1585999999999996E-2</v>
      </c>
      <c r="H42" s="120">
        <v>7.5620000000000007E-2</v>
      </c>
      <c r="I42" s="121">
        <f t="shared" si="0"/>
        <v>4.0610758681761209E-4</v>
      </c>
      <c r="J42" s="121">
        <f t="shared" si="1"/>
        <v>9.7226162588323411E-4</v>
      </c>
      <c r="M42" s="6">
        <v>3.1585999999999999</v>
      </c>
      <c r="N42" s="6">
        <v>7.5620000000000003</v>
      </c>
      <c r="O42" s="6">
        <f t="shared" si="4"/>
        <v>3.1585999999999996E-2</v>
      </c>
      <c r="P42" s="6">
        <f t="shared" si="5"/>
        <v>7.5620000000000007E-2</v>
      </c>
    </row>
    <row r="43" spans="1:16" x14ac:dyDescent="0.25">
      <c r="A43" s="6" t="s">
        <v>213</v>
      </c>
      <c r="B43" s="7" t="s">
        <v>595</v>
      </c>
      <c r="C43" s="116">
        <v>6147</v>
      </c>
      <c r="D43" s="117">
        <v>39.630000000000003</v>
      </c>
      <c r="E43" s="118">
        <f t="shared" si="2"/>
        <v>243605.61000000002</v>
      </c>
      <c r="F43" s="119">
        <f t="shared" si="3"/>
        <v>1.4022817976163289E-2</v>
      </c>
      <c r="G43" s="120">
        <v>4.9457000000000001E-2</v>
      </c>
      <c r="H43" s="120">
        <v>4.7500000000000001E-2</v>
      </c>
      <c r="I43" s="121">
        <f t="shared" si="0"/>
        <v>6.935265086471078E-4</v>
      </c>
      <c r="J43" s="121">
        <f t="shared" si="1"/>
        <v>6.6608385386775627E-4</v>
      </c>
      <c r="M43" s="6">
        <v>4.9457000000000004</v>
      </c>
      <c r="N43" s="6">
        <v>4.75</v>
      </c>
      <c r="O43" s="6">
        <f t="shared" si="4"/>
        <v>4.9457000000000001E-2</v>
      </c>
      <c r="P43" s="6">
        <f t="shared" si="5"/>
        <v>4.7500000000000001E-2</v>
      </c>
    </row>
    <row r="44" spans="1:16" x14ac:dyDescent="0.25">
      <c r="A44" s="6" t="s">
        <v>526</v>
      </c>
      <c r="B44" s="7" t="s">
        <v>857</v>
      </c>
      <c r="C44" s="116">
        <v>279.416</v>
      </c>
      <c r="D44" s="117">
        <v>121.66</v>
      </c>
      <c r="E44" s="118">
        <f t="shared" si="2"/>
        <v>33993.75056</v>
      </c>
      <c r="F44" s="119">
        <f t="shared" si="3"/>
        <v>1.9568029505969871E-3</v>
      </c>
      <c r="G44" s="120">
        <v>2.3673000000000003E-2</v>
      </c>
      <c r="H44" s="120">
        <v>6.88E-2</v>
      </c>
      <c r="I44" s="121">
        <f t="shared" si="0"/>
        <v>4.6323396249482482E-5</v>
      </c>
      <c r="J44" s="121">
        <f t="shared" si="1"/>
        <v>1.346280430010727E-4</v>
      </c>
      <c r="M44" s="6">
        <v>2.3673000000000002</v>
      </c>
      <c r="N44" s="6">
        <v>6.88</v>
      </c>
      <c r="O44" s="6">
        <f t="shared" si="4"/>
        <v>2.3673000000000003E-2</v>
      </c>
      <c r="P44" s="6">
        <f t="shared" si="5"/>
        <v>6.88E-2</v>
      </c>
    </row>
    <row r="45" spans="1:16" x14ac:dyDescent="0.25">
      <c r="A45" s="6" t="s">
        <v>533</v>
      </c>
      <c r="B45" s="7" t="s">
        <v>862</v>
      </c>
      <c r="C45" s="116">
        <v>801.22799999999995</v>
      </c>
      <c r="D45" s="117">
        <v>118.99</v>
      </c>
      <c r="E45" s="118">
        <f t="shared" si="2"/>
        <v>95338.119719999988</v>
      </c>
      <c r="F45" s="119">
        <f t="shared" si="3"/>
        <v>5.4880062040575488E-3</v>
      </c>
      <c r="G45" s="120">
        <v>2.2187000000000002E-2</v>
      </c>
      <c r="H45" s="120">
        <v>7.9229999999999995E-2</v>
      </c>
      <c r="I45" s="121">
        <f t="shared" si="0"/>
        <v>1.2176239364942484E-4</v>
      </c>
      <c r="J45" s="121">
        <f t="shared" si="1"/>
        <v>4.3481473154747955E-4</v>
      </c>
      <c r="M45" s="6">
        <v>2.2187000000000001</v>
      </c>
      <c r="N45" s="6">
        <v>7.923</v>
      </c>
      <c r="O45" s="6">
        <f t="shared" si="4"/>
        <v>2.2187000000000002E-2</v>
      </c>
      <c r="P45" s="6">
        <f t="shared" si="5"/>
        <v>7.9229999999999995E-2</v>
      </c>
    </row>
    <row r="46" spans="1:16" x14ac:dyDescent="0.25">
      <c r="A46" s="6" t="s">
        <v>205</v>
      </c>
      <c r="B46" s="7" t="s">
        <v>897</v>
      </c>
      <c r="C46" s="116">
        <v>365.09100000000001</v>
      </c>
      <c r="D46" s="117">
        <v>76.2</v>
      </c>
      <c r="E46" s="118">
        <f t="shared" si="2"/>
        <v>27819.934200000003</v>
      </c>
      <c r="F46" s="119">
        <f t="shared" si="3"/>
        <v>1.6014158023513493E-3</v>
      </c>
      <c r="G46" s="120">
        <v>2.3622000000000001E-2</v>
      </c>
      <c r="H46" s="120">
        <v>0.1096</v>
      </c>
      <c r="I46" s="121">
        <f t="shared" si="0"/>
        <v>3.7828644083143574E-5</v>
      </c>
      <c r="J46" s="121">
        <f t="shared" si="1"/>
        <v>1.7551517193770789E-4</v>
      </c>
      <c r="M46" s="6">
        <v>2.3622000000000001</v>
      </c>
      <c r="N46" s="6">
        <v>10.96</v>
      </c>
      <c r="O46" s="6">
        <f t="shared" si="4"/>
        <v>2.3622000000000001E-2</v>
      </c>
      <c r="P46" s="6">
        <f t="shared" si="5"/>
        <v>0.1096</v>
      </c>
    </row>
    <row r="47" spans="1:16" x14ac:dyDescent="0.25">
      <c r="A47" s="6" t="s">
        <v>547</v>
      </c>
      <c r="B47" s="7" t="s">
        <v>874</v>
      </c>
      <c r="C47" s="116">
        <v>3031.556</v>
      </c>
      <c r="D47" s="117">
        <v>75.180000000000007</v>
      </c>
      <c r="E47" s="118">
        <f t="shared" si="2"/>
        <v>227912.38008000003</v>
      </c>
      <c r="F47" s="119">
        <f t="shared" si="3"/>
        <v>1.3119459032064098E-2</v>
      </c>
      <c r="G47" s="120">
        <v>2.7134999999999999E-2</v>
      </c>
      <c r="H47" s="120">
        <v>4.8379999999999999E-2</v>
      </c>
      <c r="I47" s="121">
        <f t="shared" si="0"/>
        <v>3.559965208350593E-4</v>
      </c>
      <c r="J47" s="121">
        <f t="shared" si="1"/>
        <v>6.3471942797126103E-4</v>
      </c>
      <c r="M47" s="6">
        <v>2.7134999999999998</v>
      </c>
      <c r="N47" s="6">
        <v>4.8380000000000001</v>
      </c>
      <c r="O47" s="6">
        <f t="shared" si="4"/>
        <v>2.7134999999999999E-2</v>
      </c>
      <c r="P47" s="6">
        <f t="shared" si="5"/>
        <v>4.8379999999999999E-2</v>
      </c>
    </row>
    <row r="48" spans="1:16" x14ac:dyDescent="0.25">
      <c r="A48" s="6" t="s">
        <v>260</v>
      </c>
      <c r="B48" s="7" t="s">
        <v>910</v>
      </c>
      <c r="C48" s="116">
        <v>5007.8559999999998</v>
      </c>
      <c r="D48" s="117">
        <v>34.07</v>
      </c>
      <c r="E48" s="118">
        <f t="shared" si="2"/>
        <v>170617.65391999998</v>
      </c>
      <c r="F48" s="119">
        <f t="shared" si="3"/>
        <v>9.8213678430483699E-3</v>
      </c>
      <c r="G48" s="120">
        <v>3.4047999999999995E-2</v>
      </c>
      <c r="H48" s="120">
        <v>7.4400000000000008E-2</v>
      </c>
      <c r="I48" s="121">
        <f t="shared" si="0"/>
        <v>3.3439793232011087E-4</v>
      </c>
      <c r="J48" s="121">
        <f t="shared" si="1"/>
        <v>7.3070976752279875E-4</v>
      </c>
      <c r="M48" s="6">
        <v>3.4047999999999998</v>
      </c>
      <c r="N48" s="6">
        <v>7.44</v>
      </c>
      <c r="O48" s="6">
        <f t="shared" si="4"/>
        <v>3.4047999999999995E-2</v>
      </c>
      <c r="P48" s="6">
        <f t="shared" si="5"/>
        <v>7.4400000000000008E-2</v>
      </c>
    </row>
    <row r="49" spans="1:16" x14ac:dyDescent="0.25">
      <c r="A49" s="6" t="s">
        <v>362</v>
      </c>
      <c r="B49" s="7" t="s">
        <v>938</v>
      </c>
      <c r="C49" s="116">
        <v>4709</v>
      </c>
      <c r="D49" s="117">
        <v>36.15</v>
      </c>
      <c r="E49" s="118">
        <f t="shared" si="2"/>
        <v>170230.35</v>
      </c>
      <c r="F49" s="119">
        <f t="shared" si="3"/>
        <v>9.7990732318051638E-3</v>
      </c>
      <c r="G49" s="120">
        <v>3.0152000000000002E-2</v>
      </c>
      <c r="H49" s="120">
        <v>7.7859999999999999E-2</v>
      </c>
      <c r="I49" s="121">
        <f t="shared" si="0"/>
        <v>2.9546165608538931E-4</v>
      </c>
      <c r="J49" s="121">
        <f t="shared" si="1"/>
        <v>7.6295584182835003E-4</v>
      </c>
      <c r="M49" s="6">
        <v>3.0152000000000001</v>
      </c>
      <c r="N49" s="6">
        <v>7.7859999999999996</v>
      </c>
      <c r="O49" s="6">
        <f t="shared" si="4"/>
        <v>3.0152000000000002E-2</v>
      </c>
      <c r="P49" s="6">
        <f t="shared" si="5"/>
        <v>7.7859999999999999E-2</v>
      </c>
    </row>
    <row r="50" spans="1:16" x14ac:dyDescent="0.25">
      <c r="A50" s="6" t="s">
        <v>339</v>
      </c>
      <c r="B50" s="7" t="s">
        <v>698</v>
      </c>
      <c r="C50" s="116">
        <v>1509.1110000000001</v>
      </c>
      <c r="D50" s="117">
        <v>34.64</v>
      </c>
      <c r="E50" s="118">
        <f t="shared" si="2"/>
        <v>52275.605040000002</v>
      </c>
      <c r="F50" s="119">
        <f t="shared" si="3"/>
        <v>3.0091724655672922E-3</v>
      </c>
      <c r="G50" s="120">
        <v>4.3880000000000002E-2</v>
      </c>
      <c r="H50" s="120">
        <v>0.10228</v>
      </c>
      <c r="I50" s="121">
        <f t="shared" si="0"/>
        <v>1.320424877890928E-4</v>
      </c>
      <c r="J50" s="121">
        <f t="shared" si="1"/>
        <v>3.0777815977822264E-4</v>
      </c>
      <c r="M50" s="6">
        <v>4.3879999999999999</v>
      </c>
      <c r="N50" s="6">
        <v>10.228</v>
      </c>
      <c r="O50" s="6">
        <f t="shared" si="4"/>
        <v>4.3880000000000002E-2</v>
      </c>
      <c r="P50" s="6">
        <f t="shared" si="5"/>
        <v>0.10228</v>
      </c>
    </row>
    <row r="51" spans="1:16" x14ac:dyDescent="0.25">
      <c r="A51" s="6" t="s">
        <v>414</v>
      </c>
      <c r="B51" s="7" t="s">
        <v>946</v>
      </c>
      <c r="C51" s="116">
        <v>7720.5150000000003</v>
      </c>
      <c r="D51" s="117">
        <v>68.459999999999994</v>
      </c>
      <c r="E51" s="118">
        <f t="shared" si="2"/>
        <v>528546.45689999999</v>
      </c>
      <c r="F51" s="119">
        <f t="shared" si="3"/>
        <v>3.0425041348820885E-2</v>
      </c>
      <c r="G51" s="120">
        <v>2.2787000000000002E-2</v>
      </c>
      <c r="H51" s="120">
        <v>9.5680000000000001E-2</v>
      </c>
      <c r="I51" s="121">
        <f t="shared" si="0"/>
        <v>6.9329541721558155E-4</v>
      </c>
      <c r="J51" s="121">
        <f t="shared" si="1"/>
        <v>2.9110679562551825E-3</v>
      </c>
      <c r="M51" s="6">
        <v>2.2787000000000002</v>
      </c>
      <c r="N51" s="6">
        <v>9.5679999999999996</v>
      </c>
      <c r="O51" s="6">
        <f t="shared" si="4"/>
        <v>2.2787000000000002E-2</v>
      </c>
      <c r="P51" s="6">
        <f t="shared" si="5"/>
        <v>9.5680000000000001E-2</v>
      </c>
    </row>
    <row r="52" spans="1:16" x14ac:dyDescent="0.25">
      <c r="A52" s="6" t="s">
        <v>288</v>
      </c>
      <c r="B52" s="7" t="s">
        <v>659</v>
      </c>
      <c r="C52" s="116">
        <v>274.892</v>
      </c>
      <c r="D52" s="117">
        <v>72.709999999999994</v>
      </c>
      <c r="E52" s="118">
        <f t="shared" si="2"/>
        <v>19987.397319999996</v>
      </c>
      <c r="F52" s="119">
        <f t="shared" si="3"/>
        <v>1.1505467153880976E-3</v>
      </c>
      <c r="G52" s="120">
        <v>1.4303E-2</v>
      </c>
      <c r="H52" s="120">
        <v>9.6530000000000005E-2</v>
      </c>
      <c r="I52" s="121">
        <f t="shared" si="0"/>
        <v>1.645626967019596E-5</v>
      </c>
      <c r="J52" s="121">
        <f t="shared" si="1"/>
        <v>1.1106227443641306E-4</v>
      </c>
      <c r="M52" s="6">
        <v>1.4302999999999999</v>
      </c>
      <c r="N52" s="6">
        <v>9.6530000000000005</v>
      </c>
      <c r="O52" s="6">
        <f t="shared" si="4"/>
        <v>1.4303E-2</v>
      </c>
      <c r="P52" s="6">
        <f t="shared" si="5"/>
        <v>9.6530000000000005E-2</v>
      </c>
    </row>
    <row r="53" spans="1:16" x14ac:dyDescent="0.25">
      <c r="A53" s="6" t="s">
        <v>382</v>
      </c>
      <c r="B53" s="7" t="s">
        <v>737</v>
      </c>
      <c r="C53" s="116">
        <v>2232.442</v>
      </c>
      <c r="D53" s="117">
        <v>20.63</v>
      </c>
      <c r="E53" s="118">
        <f t="shared" si="2"/>
        <v>46055.278460000001</v>
      </c>
      <c r="F53" s="119">
        <f t="shared" si="3"/>
        <v>2.6511080212237065E-3</v>
      </c>
      <c r="G53" s="120">
        <v>2.4237000000000002E-2</v>
      </c>
      <c r="H53" s="120">
        <v>0.1</v>
      </c>
      <c r="I53" s="121">
        <f t="shared" si="0"/>
        <v>6.4254905110398982E-5</v>
      </c>
      <c r="J53" s="121">
        <f t="shared" si="1"/>
        <v>2.6511080212237068E-4</v>
      </c>
      <c r="M53" s="6">
        <v>2.4237000000000002</v>
      </c>
      <c r="N53" s="6">
        <v>10</v>
      </c>
      <c r="O53" s="6">
        <f t="shared" si="4"/>
        <v>2.4237000000000002E-2</v>
      </c>
      <c r="P53" s="6">
        <f t="shared" si="5"/>
        <v>0.1</v>
      </c>
    </row>
    <row r="54" spans="1:16" x14ac:dyDescent="0.25">
      <c r="A54" s="6" t="s">
        <v>261</v>
      </c>
      <c r="B54" s="7" t="s">
        <v>634</v>
      </c>
      <c r="C54" s="116">
        <v>2764.8649999999998</v>
      </c>
      <c r="D54" s="117">
        <v>59.12</v>
      </c>
      <c r="E54" s="118">
        <f t="shared" si="2"/>
        <v>163458.81879999998</v>
      </c>
      <c r="F54" s="119">
        <f t="shared" si="3"/>
        <v>9.4092794604814615E-3</v>
      </c>
      <c r="G54" s="120">
        <v>1.0825E-2</v>
      </c>
      <c r="H54" s="120">
        <v>4.4299999999999999E-2</v>
      </c>
      <c r="I54" s="121">
        <f t="shared" si="0"/>
        <v>1.0185545015971181E-4</v>
      </c>
      <c r="J54" s="121">
        <f t="shared" si="1"/>
        <v>4.1683108009932875E-4</v>
      </c>
      <c r="M54" s="6">
        <v>1.0825</v>
      </c>
      <c r="N54" s="6">
        <v>4.43</v>
      </c>
      <c r="O54" s="6">
        <f t="shared" si="4"/>
        <v>1.0825E-2</v>
      </c>
      <c r="P54" s="6">
        <f t="shared" si="5"/>
        <v>4.4299999999999999E-2</v>
      </c>
    </row>
    <row r="55" spans="1:16" x14ac:dyDescent="0.25">
      <c r="A55" s="6" t="s">
        <v>197</v>
      </c>
      <c r="B55" s="7" t="s">
        <v>583</v>
      </c>
      <c r="C55" s="116">
        <v>979.56</v>
      </c>
      <c r="D55" s="117">
        <v>60.91</v>
      </c>
      <c r="E55" s="118">
        <f t="shared" si="2"/>
        <v>59664.999599999996</v>
      </c>
      <c r="F55" s="119">
        <f t="shared" si="3"/>
        <v>3.4345326814873246E-3</v>
      </c>
      <c r="G55" s="120">
        <v>2.1015000000000002E-2</v>
      </c>
      <c r="H55" s="120">
        <v>0.11</v>
      </c>
      <c r="I55" s="121">
        <f t="shared" si="0"/>
        <v>7.217670430145614E-5</v>
      </c>
      <c r="J55" s="121">
        <f t="shared" si="1"/>
        <v>3.7779859496360572E-4</v>
      </c>
      <c r="M55" s="6">
        <v>2.1015000000000001</v>
      </c>
      <c r="N55" s="6">
        <v>11</v>
      </c>
      <c r="O55" s="6">
        <f t="shared" si="4"/>
        <v>2.1015000000000002E-2</v>
      </c>
      <c r="P55" s="6">
        <f t="shared" si="5"/>
        <v>0.11</v>
      </c>
    </row>
    <row r="56" spans="1:16" x14ac:dyDescent="0.25">
      <c r="A56" s="6" t="s">
        <v>355</v>
      </c>
      <c r="B56" s="7" t="s">
        <v>713</v>
      </c>
      <c r="C56" s="116">
        <v>762.33799999999997</v>
      </c>
      <c r="D56" s="117">
        <v>131.13999999999999</v>
      </c>
      <c r="E56" s="118">
        <f t="shared" si="2"/>
        <v>99973.005319999982</v>
      </c>
      <c r="F56" s="119">
        <f t="shared" si="3"/>
        <v>5.7548069444392676E-3</v>
      </c>
      <c r="G56" s="120">
        <v>2.0284E-2</v>
      </c>
      <c r="H56" s="120">
        <v>9.2880000000000004E-2</v>
      </c>
      <c r="I56" s="121">
        <f t="shared" si="0"/>
        <v>1.167305040610061E-4</v>
      </c>
      <c r="J56" s="121">
        <f t="shared" si="1"/>
        <v>5.3450646899951915E-4</v>
      </c>
      <c r="M56" s="6">
        <v>2.0284</v>
      </c>
      <c r="N56" s="6">
        <v>9.2880000000000003</v>
      </c>
      <c r="O56" s="6">
        <f t="shared" si="4"/>
        <v>2.0284E-2</v>
      </c>
      <c r="P56" s="6">
        <f t="shared" si="5"/>
        <v>9.2880000000000004E-2</v>
      </c>
    </row>
    <row r="57" spans="1:16" x14ac:dyDescent="0.25">
      <c r="A57" s="6" t="s">
        <v>192</v>
      </c>
      <c r="B57" s="7" t="s">
        <v>105</v>
      </c>
      <c r="C57" s="116">
        <v>1935.72</v>
      </c>
      <c r="D57" s="117">
        <v>71.78</v>
      </c>
      <c r="E57" s="118">
        <f t="shared" si="2"/>
        <v>138945.9816</v>
      </c>
      <c r="F57" s="119">
        <f t="shared" si="3"/>
        <v>7.9982320952958902E-3</v>
      </c>
      <c r="G57" s="120">
        <v>3.3993000000000002E-2</v>
      </c>
      <c r="H57" s="120">
        <v>7.6429999999999998E-2</v>
      </c>
      <c r="I57" s="121">
        <f t="shared" si="0"/>
        <v>2.7188390361539323E-4</v>
      </c>
      <c r="J57" s="121">
        <f t="shared" si="1"/>
        <v>6.1130487904346488E-4</v>
      </c>
      <c r="M57" s="6">
        <v>3.3993000000000002</v>
      </c>
      <c r="N57" s="6">
        <v>7.6429999999999998</v>
      </c>
      <c r="O57" s="6">
        <f t="shared" si="4"/>
        <v>3.3993000000000002E-2</v>
      </c>
      <c r="P57" s="6">
        <f t="shared" si="5"/>
        <v>7.6429999999999998E-2</v>
      </c>
    </row>
    <row r="58" spans="1:16" x14ac:dyDescent="0.25">
      <c r="A58" s="6" t="s">
        <v>1005</v>
      </c>
      <c r="B58" s="7" t="s">
        <v>1006</v>
      </c>
      <c r="C58" s="116">
        <v>370.44099999999997</v>
      </c>
      <c r="D58" s="117">
        <v>84.21</v>
      </c>
      <c r="E58" s="118">
        <f t="shared" si="2"/>
        <v>31194.836609999995</v>
      </c>
      <c r="F58" s="119">
        <f t="shared" si="3"/>
        <v>0</v>
      </c>
      <c r="G58" s="120" t="s">
        <v>996</v>
      </c>
      <c r="H58" s="120">
        <v>0.1118</v>
      </c>
      <c r="I58" s="121" t="str">
        <f t="shared" si="0"/>
        <v>n/a</v>
      </c>
      <c r="J58" s="121">
        <f t="shared" si="1"/>
        <v>0</v>
      </c>
      <c r="M58" s="6" t="s">
        <v>996</v>
      </c>
      <c r="N58" s="6">
        <v>11.18</v>
      </c>
      <c r="O58" s="6" t="str">
        <f t="shared" si="4"/>
        <v>n/a</v>
      </c>
      <c r="P58" s="6">
        <f t="shared" si="5"/>
        <v>0.1118</v>
      </c>
    </row>
    <row r="59" spans="1:16" x14ac:dyDescent="0.25">
      <c r="A59" s="6" t="s">
        <v>530</v>
      </c>
      <c r="B59" s="7" t="s">
        <v>1131</v>
      </c>
      <c r="C59" s="116">
        <v>184.667</v>
      </c>
      <c r="D59" s="117">
        <v>21.49</v>
      </c>
      <c r="E59" s="118">
        <f t="shared" si="2"/>
        <v>3968.4938299999999</v>
      </c>
      <c r="F59" s="119">
        <f t="shared" si="3"/>
        <v>0</v>
      </c>
      <c r="G59" s="120" t="s">
        <v>996</v>
      </c>
      <c r="H59" s="120">
        <v>0.17976</v>
      </c>
      <c r="I59" s="121" t="str">
        <f t="shared" si="0"/>
        <v>n/a</v>
      </c>
      <c r="J59" s="121">
        <f t="shared" si="1"/>
        <v>0</v>
      </c>
      <c r="M59" s="6" t="s">
        <v>996</v>
      </c>
      <c r="N59" s="6">
        <v>17.975999999999999</v>
      </c>
      <c r="O59" s="6" t="str">
        <f t="shared" si="4"/>
        <v>n/a</v>
      </c>
      <c r="P59" s="6">
        <f t="shared" si="5"/>
        <v>0.17976</v>
      </c>
    </row>
    <row r="60" spans="1:16" x14ac:dyDescent="0.25">
      <c r="A60" s="6" t="s">
        <v>366</v>
      </c>
      <c r="B60" s="7" t="s">
        <v>722</v>
      </c>
      <c r="C60" s="116">
        <v>412.89600000000002</v>
      </c>
      <c r="D60" s="117">
        <v>53.97</v>
      </c>
      <c r="E60" s="118">
        <f t="shared" si="2"/>
        <v>22283.99712</v>
      </c>
      <c r="F60" s="119">
        <f t="shared" si="3"/>
        <v>1.2827472872858181E-3</v>
      </c>
      <c r="G60" s="120">
        <v>3.4278000000000003E-2</v>
      </c>
      <c r="H60" s="120">
        <v>6.8570000000000006E-2</v>
      </c>
      <c r="I60" s="121">
        <f t="shared" si="0"/>
        <v>4.3970011513583273E-5</v>
      </c>
      <c r="J60" s="121">
        <f t="shared" si="1"/>
        <v>8.7957981489188546E-5</v>
      </c>
      <c r="M60" s="6">
        <v>3.4278</v>
      </c>
      <c r="N60" s="6">
        <v>6.8570000000000002</v>
      </c>
      <c r="O60" s="6">
        <f t="shared" si="4"/>
        <v>3.4278000000000003E-2</v>
      </c>
      <c r="P60" s="6">
        <f t="shared" si="5"/>
        <v>6.8570000000000006E-2</v>
      </c>
    </row>
    <row r="61" spans="1:16" x14ac:dyDescent="0.25">
      <c r="A61" s="6" t="s">
        <v>1132</v>
      </c>
      <c r="B61" s="7" t="s">
        <v>1133</v>
      </c>
      <c r="C61" s="116">
        <v>1657.7049999999999</v>
      </c>
      <c r="D61" s="117">
        <v>18.63</v>
      </c>
      <c r="E61" s="118">
        <f t="shared" si="2"/>
        <v>30883.044149999998</v>
      </c>
      <c r="F61" s="119">
        <f t="shared" si="3"/>
        <v>0</v>
      </c>
      <c r="G61" s="120">
        <v>1.3956E-2</v>
      </c>
      <c r="H61" s="120">
        <v>-4.8000000000000001E-2</v>
      </c>
      <c r="I61" s="121">
        <f t="shared" si="0"/>
        <v>0</v>
      </c>
      <c r="J61" s="121">
        <f t="shared" si="1"/>
        <v>0</v>
      </c>
      <c r="M61" s="6">
        <v>1.3956</v>
      </c>
      <c r="N61" s="6">
        <v>-4.8</v>
      </c>
      <c r="O61" s="6">
        <f t="shared" si="4"/>
        <v>1.3956E-2</v>
      </c>
      <c r="P61" s="6">
        <f t="shared" si="5"/>
        <v>-4.8000000000000001E-2</v>
      </c>
    </row>
    <row r="62" spans="1:16" x14ac:dyDescent="0.25">
      <c r="A62" s="6" t="s">
        <v>178</v>
      </c>
      <c r="B62" s="7" t="s">
        <v>570</v>
      </c>
      <c r="C62" s="116">
        <v>1727.998</v>
      </c>
      <c r="D62" s="117">
        <v>43.64</v>
      </c>
      <c r="E62" s="118">
        <f t="shared" si="2"/>
        <v>75409.832720000006</v>
      </c>
      <c r="F62" s="119">
        <f t="shared" si="3"/>
        <v>4.3408620919915706E-3</v>
      </c>
      <c r="G62" s="120">
        <v>2.4289999999999999E-2</v>
      </c>
      <c r="H62" s="120">
        <v>0.107</v>
      </c>
      <c r="I62" s="121">
        <f t="shared" si="0"/>
        <v>1.0543954021447525E-4</v>
      </c>
      <c r="J62" s="121">
        <f t="shared" si="1"/>
        <v>4.6447224384309806E-4</v>
      </c>
      <c r="M62" s="6">
        <v>2.4289999999999998</v>
      </c>
      <c r="N62" s="6">
        <v>10.7</v>
      </c>
      <c r="O62" s="6">
        <f t="shared" si="4"/>
        <v>2.4289999999999999E-2</v>
      </c>
      <c r="P62" s="6">
        <f t="shared" si="5"/>
        <v>0.107</v>
      </c>
    </row>
    <row r="63" spans="1:16" x14ac:dyDescent="0.25">
      <c r="A63" s="6" t="s">
        <v>184</v>
      </c>
      <c r="B63" s="7" t="s">
        <v>575</v>
      </c>
      <c r="C63" s="116">
        <v>401.17700000000002</v>
      </c>
      <c r="D63" s="117">
        <v>74.88</v>
      </c>
      <c r="E63" s="118">
        <f t="shared" si="2"/>
        <v>30040.133760000001</v>
      </c>
      <c r="F63" s="119">
        <f t="shared" si="3"/>
        <v>1.7292185007401007E-3</v>
      </c>
      <c r="G63" s="120">
        <v>2.2970000000000001E-2</v>
      </c>
      <c r="H63" s="120">
        <v>3.3000000000000002E-2</v>
      </c>
      <c r="I63" s="121">
        <f t="shared" si="0"/>
        <v>3.9720148962000117E-5</v>
      </c>
      <c r="J63" s="121">
        <f t="shared" si="1"/>
        <v>5.7064210524423328E-5</v>
      </c>
      <c r="M63" s="6">
        <v>2.2970000000000002</v>
      </c>
      <c r="N63" s="6">
        <v>3.3</v>
      </c>
      <c r="O63" s="6">
        <f t="shared" si="4"/>
        <v>2.2970000000000001E-2</v>
      </c>
      <c r="P63" s="6">
        <f t="shared" si="5"/>
        <v>3.3000000000000002E-2</v>
      </c>
    </row>
    <row r="64" spans="1:16" x14ac:dyDescent="0.25">
      <c r="A64" s="6" t="s">
        <v>186</v>
      </c>
      <c r="B64" s="7" t="s">
        <v>576</v>
      </c>
      <c r="C64" s="116">
        <v>217.72399999999999</v>
      </c>
      <c r="D64" s="117">
        <v>140.5</v>
      </c>
      <c r="E64" s="118">
        <f t="shared" si="2"/>
        <v>30590.221999999998</v>
      </c>
      <c r="F64" s="119">
        <f t="shared" si="3"/>
        <v>1.7608835648588951E-3</v>
      </c>
      <c r="G64" s="120">
        <v>2.7046000000000001E-2</v>
      </c>
      <c r="H64" s="120">
        <v>8.1900000000000001E-2</v>
      </c>
      <c r="I64" s="121">
        <f t="shared" si="0"/>
        <v>4.7624856895173677E-5</v>
      </c>
      <c r="J64" s="121">
        <f t="shared" si="1"/>
        <v>1.442163639619435E-4</v>
      </c>
      <c r="M64" s="6">
        <v>2.7046000000000001</v>
      </c>
      <c r="N64" s="6">
        <v>8.19</v>
      </c>
      <c r="O64" s="6">
        <f t="shared" si="4"/>
        <v>2.7046000000000001E-2</v>
      </c>
      <c r="P64" s="6">
        <f t="shared" si="5"/>
        <v>8.1900000000000001E-2</v>
      </c>
    </row>
    <row r="65" spans="1:16" x14ac:dyDescent="0.25">
      <c r="A65" s="6" t="s">
        <v>1007</v>
      </c>
      <c r="B65" s="7" t="s">
        <v>1008</v>
      </c>
      <c r="C65" s="116">
        <v>214.922</v>
      </c>
      <c r="D65" s="117">
        <v>106.6</v>
      </c>
      <c r="E65" s="118">
        <f t="shared" si="2"/>
        <v>22910.6852</v>
      </c>
      <c r="F65" s="119">
        <f t="shared" si="3"/>
        <v>1.3188217146098491E-3</v>
      </c>
      <c r="G65" s="120">
        <v>1.8010999999999999E-2</v>
      </c>
      <c r="H65" s="120">
        <v>0.18567</v>
      </c>
      <c r="I65" s="121">
        <f t="shared" si="0"/>
        <v>2.3753297901837992E-5</v>
      </c>
      <c r="J65" s="121">
        <f t="shared" si="1"/>
        <v>2.4486562775161071E-4</v>
      </c>
      <c r="M65" s="6">
        <v>1.8010999999999999</v>
      </c>
      <c r="N65" s="6">
        <v>18.567</v>
      </c>
      <c r="O65" s="6">
        <f t="shared" si="4"/>
        <v>1.8010999999999999E-2</v>
      </c>
      <c r="P65" s="6">
        <f t="shared" si="5"/>
        <v>0.18567</v>
      </c>
    </row>
    <row r="66" spans="1:16" x14ac:dyDescent="0.25">
      <c r="A66" s="6" t="s">
        <v>195</v>
      </c>
      <c r="B66" s="7" t="s">
        <v>581</v>
      </c>
      <c r="C66" s="116">
        <v>491.71199999999999</v>
      </c>
      <c r="D66" s="117">
        <v>67.83</v>
      </c>
      <c r="E66" s="118">
        <f t="shared" si="2"/>
        <v>33352.824959999998</v>
      </c>
      <c r="F66" s="119">
        <f t="shared" si="3"/>
        <v>1.9199089602448629E-3</v>
      </c>
      <c r="G66" s="120">
        <v>3.4792999999999998E-2</v>
      </c>
      <c r="H66" s="120">
        <v>4.7500000000000001E-2</v>
      </c>
      <c r="I66" s="121">
        <f t="shared" si="0"/>
        <v>6.6799392453799515E-5</v>
      </c>
      <c r="J66" s="121">
        <f t="shared" si="1"/>
        <v>9.1195675611630995E-5</v>
      </c>
      <c r="M66" s="6">
        <v>3.4792999999999998</v>
      </c>
      <c r="N66" s="6">
        <v>4.75</v>
      </c>
      <c r="O66" s="6">
        <f t="shared" si="4"/>
        <v>3.4792999999999998E-2</v>
      </c>
      <c r="P66" s="6">
        <f t="shared" si="5"/>
        <v>4.7500000000000001E-2</v>
      </c>
    </row>
    <row r="67" spans="1:16" x14ac:dyDescent="0.25">
      <c r="A67" s="6" t="s">
        <v>353</v>
      </c>
      <c r="B67" s="7" t="s">
        <v>710</v>
      </c>
      <c r="C67" s="116">
        <v>316.52300000000002</v>
      </c>
      <c r="D67" s="117">
        <v>48.83</v>
      </c>
      <c r="E67" s="118">
        <f t="shared" si="2"/>
        <v>15455.818090000001</v>
      </c>
      <c r="F67" s="119">
        <f t="shared" si="3"/>
        <v>0</v>
      </c>
      <c r="G67" s="120">
        <v>2.0478999999999997E-2</v>
      </c>
      <c r="H67" s="120">
        <v>-9.6000000000000002E-2</v>
      </c>
      <c r="I67" s="121">
        <f t="shared" si="0"/>
        <v>0</v>
      </c>
      <c r="J67" s="121">
        <f t="shared" si="1"/>
        <v>0</v>
      </c>
      <c r="M67" s="6">
        <v>2.0478999999999998</v>
      </c>
      <c r="N67" s="6">
        <v>-9.6</v>
      </c>
      <c r="O67" s="6">
        <f t="shared" si="4"/>
        <v>2.0478999999999997E-2</v>
      </c>
      <c r="P67" s="6">
        <f t="shared" si="5"/>
        <v>-9.6000000000000002E-2</v>
      </c>
    </row>
    <row r="68" spans="1:16" x14ac:dyDescent="0.25">
      <c r="A68" s="6" t="s">
        <v>204</v>
      </c>
      <c r="B68" s="7" t="s">
        <v>589</v>
      </c>
      <c r="C68" s="116">
        <v>558.702</v>
      </c>
      <c r="D68" s="117">
        <v>57.02</v>
      </c>
      <c r="E68" s="118">
        <f t="shared" si="2"/>
        <v>31857.188040000001</v>
      </c>
      <c r="F68" s="119">
        <f t="shared" si="3"/>
        <v>0</v>
      </c>
      <c r="G68" s="120">
        <v>3.5079999999999998E-3</v>
      </c>
      <c r="H68" s="120">
        <v>-4.8700000000000002E-3</v>
      </c>
      <c r="I68" s="121">
        <f t="shared" si="0"/>
        <v>0</v>
      </c>
      <c r="J68" s="121">
        <f t="shared" si="1"/>
        <v>0</v>
      </c>
      <c r="M68" s="6">
        <v>0.3508</v>
      </c>
      <c r="N68" s="6">
        <v>-0.48699999999999999</v>
      </c>
      <c r="O68" s="6">
        <f t="shared" si="4"/>
        <v>3.5079999999999998E-3</v>
      </c>
      <c r="P68" s="6">
        <f t="shared" si="5"/>
        <v>-4.8700000000000002E-3</v>
      </c>
    </row>
    <row r="69" spans="1:16" x14ac:dyDescent="0.25">
      <c r="A69" s="6" t="s">
        <v>206</v>
      </c>
      <c r="B69" s="7" t="s">
        <v>590</v>
      </c>
      <c r="C69" s="116">
        <v>262.601</v>
      </c>
      <c r="D69" s="117">
        <v>119.84</v>
      </c>
      <c r="E69" s="118">
        <f t="shared" si="2"/>
        <v>31470.10384</v>
      </c>
      <c r="F69" s="119">
        <f t="shared" si="3"/>
        <v>1.8115327386724687E-3</v>
      </c>
      <c r="G69" s="120">
        <v>1.2016000000000001E-2</v>
      </c>
      <c r="H69" s="120">
        <v>9.7669999999999993E-2</v>
      </c>
      <c r="I69" s="121">
        <f t="shared" si="0"/>
        <v>2.1767377387888385E-5</v>
      </c>
      <c r="J69" s="121">
        <f t="shared" si="1"/>
        <v>1.7693240258614E-4</v>
      </c>
      <c r="M69" s="6">
        <v>1.2016</v>
      </c>
      <c r="N69" s="6">
        <v>9.7669999999999995</v>
      </c>
      <c r="O69" s="6">
        <f t="shared" si="4"/>
        <v>1.2016000000000001E-2</v>
      </c>
      <c r="P69" s="6">
        <f t="shared" si="5"/>
        <v>9.7669999999999993E-2</v>
      </c>
    </row>
    <row r="70" spans="1:16" x14ac:dyDescent="0.25">
      <c r="A70" s="6" t="s">
        <v>207</v>
      </c>
      <c r="B70" s="7" t="s">
        <v>591</v>
      </c>
      <c r="C70" s="116">
        <v>380.37</v>
      </c>
      <c r="D70" s="117">
        <v>48.64</v>
      </c>
      <c r="E70" s="118">
        <f t="shared" si="2"/>
        <v>18501.196800000002</v>
      </c>
      <c r="F70" s="119">
        <f t="shared" si="3"/>
        <v>0</v>
      </c>
      <c r="G70" s="120">
        <v>2.0558999999999997E-2</v>
      </c>
      <c r="H70" s="120">
        <v>-0.14699999999999999</v>
      </c>
      <c r="I70" s="121">
        <f t="shared" si="0"/>
        <v>0</v>
      </c>
      <c r="J70" s="121">
        <f t="shared" si="1"/>
        <v>0</v>
      </c>
      <c r="M70" s="6">
        <v>2.0558999999999998</v>
      </c>
      <c r="N70" s="6">
        <v>-14.7</v>
      </c>
      <c r="O70" s="6">
        <f t="shared" si="4"/>
        <v>2.0558999999999997E-2</v>
      </c>
      <c r="P70" s="6">
        <f t="shared" si="5"/>
        <v>-0.14699999999999999</v>
      </c>
    </row>
    <row r="71" spans="1:16" x14ac:dyDescent="0.25">
      <c r="A71" s="6" t="s">
        <v>211</v>
      </c>
      <c r="B71" s="7" t="s">
        <v>593</v>
      </c>
      <c r="C71" s="116">
        <v>570.66600000000005</v>
      </c>
      <c r="D71" s="117">
        <v>45.75</v>
      </c>
      <c r="E71" s="118">
        <f t="shared" si="2"/>
        <v>26107.969500000003</v>
      </c>
      <c r="F71" s="119">
        <f t="shared" si="3"/>
        <v>1.5028689364983134E-3</v>
      </c>
      <c r="G71" s="120">
        <v>2.7977999999999999E-2</v>
      </c>
      <c r="H71" s="120">
        <v>0.11863</v>
      </c>
      <c r="I71" s="121">
        <f t="shared" si="0"/>
        <v>4.2047267105349814E-5</v>
      </c>
      <c r="J71" s="121">
        <f t="shared" si="1"/>
        <v>1.7828534193679491E-4</v>
      </c>
      <c r="M71" s="6">
        <v>2.7978000000000001</v>
      </c>
      <c r="N71" s="6">
        <v>11.863</v>
      </c>
      <c r="O71" s="6">
        <f t="shared" si="4"/>
        <v>2.7977999999999999E-2</v>
      </c>
      <c r="P71" s="6">
        <f t="shared" si="5"/>
        <v>0.11863</v>
      </c>
    </row>
    <row r="72" spans="1:16" x14ac:dyDescent="0.25">
      <c r="A72" s="6" t="s">
        <v>215</v>
      </c>
      <c r="B72" s="7" t="s">
        <v>901</v>
      </c>
      <c r="C72" s="116">
        <v>448.90300000000002</v>
      </c>
      <c r="D72" s="117">
        <v>104.49</v>
      </c>
      <c r="E72" s="118">
        <f t="shared" si="2"/>
        <v>46905.874470000002</v>
      </c>
      <c r="F72" s="119">
        <f t="shared" si="3"/>
        <v>2.7000713969829132E-3</v>
      </c>
      <c r="G72" s="120">
        <v>2.1819999999999999E-2</v>
      </c>
      <c r="H72" s="120">
        <v>0.11016999999999999</v>
      </c>
      <c r="I72" s="121">
        <f t="shared" si="0"/>
        <v>5.891555788216716E-5</v>
      </c>
      <c r="J72" s="121">
        <f t="shared" si="1"/>
        <v>2.9746686580560752E-4</v>
      </c>
      <c r="M72" s="6">
        <v>2.1819999999999999</v>
      </c>
      <c r="N72" s="6">
        <v>11.016999999999999</v>
      </c>
      <c r="O72" s="6">
        <f t="shared" si="4"/>
        <v>2.1819999999999999E-2</v>
      </c>
      <c r="P72" s="6">
        <f t="shared" si="5"/>
        <v>0.11016999999999999</v>
      </c>
    </row>
    <row r="73" spans="1:16" x14ac:dyDescent="0.25">
      <c r="A73" s="6" t="s">
        <v>1089</v>
      </c>
      <c r="B73" s="7" t="s">
        <v>1090</v>
      </c>
      <c r="C73" s="116">
        <v>166.376</v>
      </c>
      <c r="D73" s="117">
        <v>82.81</v>
      </c>
      <c r="E73" s="118">
        <f t="shared" si="2"/>
        <v>13777.59656</v>
      </c>
      <c r="F73" s="119">
        <f t="shared" si="3"/>
        <v>0</v>
      </c>
      <c r="G73" s="120" t="s">
        <v>996</v>
      </c>
      <c r="H73" s="120">
        <v>0.10548</v>
      </c>
      <c r="I73" s="121" t="str">
        <f t="shared" si="0"/>
        <v>n/a</v>
      </c>
      <c r="J73" s="121">
        <f t="shared" si="1"/>
        <v>0</v>
      </c>
      <c r="M73" s="6" t="s">
        <v>996</v>
      </c>
      <c r="N73" s="6">
        <v>10.548</v>
      </c>
      <c r="O73" s="6" t="str">
        <f>IFERROR(M73/100, "n/a")</f>
        <v>n/a</v>
      </c>
      <c r="P73" s="6">
        <f t="shared" si="5"/>
        <v>0.10548</v>
      </c>
    </row>
    <row r="74" spans="1:16" x14ac:dyDescent="0.25">
      <c r="A74" s="6" t="s">
        <v>217</v>
      </c>
      <c r="B74" s="7" t="s">
        <v>597</v>
      </c>
      <c r="C74" s="116">
        <v>28.407</v>
      </c>
      <c r="D74" s="117">
        <v>692.19</v>
      </c>
      <c r="E74" s="118">
        <f t="shared" si="2"/>
        <v>19663.04133</v>
      </c>
      <c r="F74" s="119">
        <f t="shared" si="3"/>
        <v>0</v>
      </c>
      <c r="G74" s="120" t="s">
        <v>996</v>
      </c>
      <c r="H74" s="120">
        <v>0.14011999999999999</v>
      </c>
      <c r="I74" s="121" t="str">
        <f t="shared" si="0"/>
        <v>n/a</v>
      </c>
      <c r="J74" s="121">
        <f t="shared" si="1"/>
        <v>0</v>
      </c>
      <c r="M74" s="6" t="s">
        <v>996</v>
      </c>
      <c r="N74" s="6">
        <v>14.012</v>
      </c>
      <c r="O74" s="6" t="str">
        <f t="shared" si="4"/>
        <v>n/a</v>
      </c>
      <c r="P74" s="6">
        <f t="shared" si="5"/>
        <v>0.14011999999999999</v>
      </c>
    </row>
    <row r="75" spans="1:16" x14ac:dyDescent="0.25">
      <c r="A75" s="6" t="s">
        <v>219</v>
      </c>
      <c r="B75" s="7" t="s">
        <v>599</v>
      </c>
      <c r="C75" s="116">
        <v>88.123999999999995</v>
      </c>
      <c r="D75" s="117">
        <v>83.21</v>
      </c>
      <c r="E75" s="118">
        <f t="shared" si="2"/>
        <v>7332.7980399999988</v>
      </c>
      <c r="F75" s="119">
        <f t="shared" si="3"/>
        <v>4.221023159971025E-4</v>
      </c>
      <c r="G75" s="120">
        <v>2.1631999999999998E-2</v>
      </c>
      <c r="H75" s="120">
        <v>7.0999999999999994E-2</v>
      </c>
      <c r="I75" s="121">
        <f t="shared" si="0"/>
        <v>9.1309172996493205E-6</v>
      </c>
      <c r="J75" s="121">
        <f t="shared" si="1"/>
        <v>2.9969264435794273E-5</v>
      </c>
      <c r="M75" s="6">
        <v>2.1631999999999998</v>
      </c>
      <c r="N75" s="6">
        <v>7.1</v>
      </c>
      <c r="O75" s="6">
        <f t="shared" si="4"/>
        <v>2.1631999999999998E-2</v>
      </c>
      <c r="P75" s="6">
        <f t="shared" si="5"/>
        <v>7.0999999999999994E-2</v>
      </c>
    </row>
    <row r="76" spans="1:16" x14ac:dyDescent="0.25">
      <c r="A76" s="6" t="s">
        <v>220</v>
      </c>
      <c r="B76" s="7" t="s">
        <v>600</v>
      </c>
      <c r="C76" s="116">
        <v>425.464</v>
      </c>
      <c r="D76" s="117">
        <v>59.37</v>
      </c>
      <c r="E76" s="118">
        <f t="shared" si="2"/>
        <v>25259.79768</v>
      </c>
      <c r="F76" s="119">
        <f t="shared" si="3"/>
        <v>1.4540451058633326E-3</v>
      </c>
      <c r="G76" s="120">
        <v>1.1453999999999999E-2</v>
      </c>
      <c r="H76" s="120">
        <v>0.20499999999999999</v>
      </c>
      <c r="I76" s="121">
        <f t="shared" si="0"/>
        <v>1.665463264255861E-5</v>
      </c>
      <c r="J76" s="121">
        <f t="shared" si="1"/>
        <v>2.9807924670198315E-4</v>
      </c>
      <c r="M76" s="6">
        <v>1.1454</v>
      </c>
      <c r="N76" s="6">
        <v>20.5</v>
      </c>
      <c r="O76" s="6">
        <f t="shared" si="4"/>
        <v>1.1453999999999999E-2</v>
      </c>
      <c r="P76" s="6">
        <f t="shared" si="5"/>
        <v>0.20499999999999999</v>
      </c>
    </row>
    <row r="77" spans="1:16" x14ac:dyDescent="0.25">
      <c r="A77" s="6" t="s">
        <v>221</v>
      </c>
      <c r="B77" s="7" t="s">
        <v>601</v>
      </c>
      <c r="C77" s="116">
        <v>175.066</v>
      </c>
      <c r="D77" s="117">
        <v>76.89</v>
      </c>
      <c r="E77" s="118">
        <f t="shared" si="2"/>
        <v>13460.82474</v>
      </c>
      <c r="F77" s="119">
        <f t="shared" si="3"/>
        <v>7.7485364617857337E-4</v>
      </c>
      <c r="G77" s="120">
        <v>5.202E-3</v>
      </c>
      <c r="H77" s="120">
        <v>5.5E-2</v>
      </c>
      <c r="I77" s="121">
        <f t="shared" si="0"/>
        <v>4.030788667420939E-6</v>
      </c>
      <c r="J77" s="121">
        <f t="shared" si="1"/>
        <v>4.2616950539821536E-5</v>
      </c>
      <c r="M77" s="6">
        <v>0.5202</v>
      </c>
      <c r="N77" s="6">
        <v>5.5</v>
      </c>
      <c r="O77" s="6">
        <f t="shared" si="4"/>
        <v>5.202E-3</v>
      </c>
      <c r="P77" s="6">
        <f t="shared" si="5"/>
        <v>5.5E-2</v>
      </c>
    </row>
    <row r="78" spans="1:16" x14ac:dyDescent="0.25">
      <c r="A78" s="6" t="s">
        <v>223</v>
      </c>
      <c r="B78" s="7" t="s">
        <v>603</v>
      </c>
      <c r="C78" s="116">
        <v>1035.635</v>
      </c>
      <c r="D78" s="117">
        <v>47.06</v>
      </c>
      <c r="E78" s="118">
        <f t="shared" ref="E78:E141" si="6">C78*D78</f>
        <v>48736.983100000005</v>
      </c>
      <c r="F78" s="119">
        <f t="shared" si="3"/>
        <v>2.8054766173843306E-3</v>
      </c>
      <c r="G78" s="120">
        <v>1.6150000000000001E-2</v>
      </c>
      <c r="H78" s="120">
        <v>0.12307</v>
      </c>
      <c r="I78" s="121">
        <f t="shared" ref="I78:I141" si="7">IF(G78="n/a","n/a",$F78*G78)</f>
        <v>4.5308447370756943E-5</v>
      </c>
      <c r="J78" s="121">
        <f t="shared" ref="J78:J141" si="8">IF(H78="n/a","n/a",$F78*H78)</f>
        <v>3.4527000730148955E-4</v>
      </c>
      <c r="M78" s="6">
        <v>1.615</v>
      </c>
      <c r="N78" s="6">
        <v>12.307</v>
      </c>
      <c r="O78" s="6">
        <f t="shared" si="4"/>
        <v>1.6150000000000001E-2</v>
      </c>
      <c r="P78" s="6">
        <f t="shared" si="5"/>
        <v>0.12307</v>
      </c>
    </row>
    <row r="79" spans="1:16" x14ac:dyDescent="0.25">
      <c r="A79" s="6" t="s">
        <v>276</v>
      </c>
      <c r="B79" s="7" t="s">
        <v>646</v>
      </c>
      <c r="C79" s="116">
        <v>72.417000000000002</v>
      </c>
      <c r="D79" s="117">
        <v>307.48</v>
      </c>
      <c r="E79" s="118">
        <f t="shared" si="6"/>
        <v>22266.779160000002</v>
      </c>
      <c r="F79" s="119">
        <f t="shared" ref="F79:F142" si="9">IF(OR(G79="n/a",H79="n/a",H79&lt;0%),0%,E79/SUMIFS(E$14:E$518,G$14:G$518,"&lt;&gt;n/a",$H$14:$H$518,"&lt;&gt;n/a",$H$14:$H$518,"&gt;=0"))</f>
        <v>1.2817561593762399E-3</v>
      </c>
      <c r="G79" s="120">
        <v>3.382E-3</v>
      </c>
      <c r="H79" s="120">
        <v>9.3000000000000013E-2</v>
      </c>
      <c r="I79" s="121">
        <f t="shared" si="7"/>
        <v>4.3348993310104431E-6</v>
      </c>
      <c r="J79" s="121">
        <f t="shared" si="8"/>
        <v>1.1920332282199032E-4</v>
      </c>
      <c r="M79" s="6">
        <v>0.3382</v>
      </c>
      <c r="N79" s="6">
        <v>9.3000000000000007</v>
      </c>
      <c r="O79" s="6">
        <f t="shared" ref="O79:O142" si="10">IFERROR(M79/100, "n/a")</f>
        <v>3.382E-3</v>
      </c>
      <c r="P79" s="6">
        <f t="shared" ref="P79:P142" si="11">IFERROR(N79/100, "n/a")</f>
        <v>9.3000000000000013E-2</v>
      </c>
    </row>
    <row r="80" spans="1:16" x14ac:dyDescent="0.25">
      <c r="A80" s="6" t="s">
        <v>224</v>
      </c>
      <c r="B80" s="7" t="s">
        <v>604</v>
      </c>
      <c r="C80" s="116">
        <v>541.95699999999999</v>
      </c>
      <c r="D80" s="117">
        <v>55.68</v>
      </c>
      <c r="E80" s="118">
        <f t="shared" si="6"/>
        <v>30176.16576</v>
      </c>
      <c r="F80" s="119">
        <f t="shared" si="9"/>
        <v>1.7370489935392339E-3</v>
      </c>
      <c r="G80" s="120">
        <v>9.3390000000000001E-3</v>
      </c>
      <c r="H80" s="120">
        <v>0.1308</v>
      </c>
      <c r="I80" s="121">
        <f t="shared" si="7"/>
        <v>1.6222300550662904E-5</v>
      </c>
      <c r="J80" s="121">
        <f t="shared" si="8"/>
        <v>2.272060083549318E-4</v>
      </c>
      <c r="M80" s="6">
        <v>0.93389999999999995</v>
      </c>
      <c r="N80" s="6">
        <v>13.08</v>
      </c>
      <c r="O80" s="6">
        <f t="shared" si="10"/>
        <v>9.3390000000000001E-3</v>
      </c>
      <c r="P80" s="6">
        <f t="shared" si="11"/>
        <v>0.1308</v>
      </c>
    </row>
    <row r="81" spans="1:16" x14ac:dyDescent="0.25">
      <c r="A81" s="6" t="s">
        <v>226</v>
      </c>
      <c r="B81" s="7" t="s">
        <v>606</v>
      </c>
      <c r="C81" s="116">
        <v>212.82499999999999</v>
      </c>
      <c r="D81" s="117">
        <v>186.97</v>
      </c>
      <c r="E81" s="118">
        <f t="shared" si="6"/>
        <v>39791.890249999997</v>
      </c>
      <c r="F81" s="119">
        <f t="shared" si="9"/>
        <v>2.2905647940670033E-3</v>
      </c>
      <c r="G81" s="120">
        <v>1.5617000000000001E-2</v>
      </c>
      <c r="H81" s="120">
        <v>0.10189999999999999</v>
      </c>
      <c r="I81" s="121">
        <f t="shared" si="7"/>
        <v>3.5771750388944389E-5</v>
      </c>
      <c r="J81" s="121">
        <f t="shared" si="8"/>
        <v>2.3340855251542761E-4</v>
      </c>
      <c r="M81" s="6">
        <v>1.5617000000000001</v>
      </c>
      <c r="N81" s="6">
        <v>10.19</v>
      </c>
      <c r="O81" s="6">
        <f t="shared" si="10"/>
        <v>1.5617000000000001E-2</v>
      </c>
      <c r="P81" s="6">
        <f t="shared" si="11"/>
        <v>0.10189999999999999</v>
      </c>
    </row>
    <row r="82" spans="1:16" x14ac:dyDescent="0.25">
      <c r="A82" s="6" t="s">
        <v>228</v>
      </c>
      <c r="B82" s="7" t="s">
        <v>607</v>
      </c>
      <c r="C82" s="116">
        <v>1310.3040000000001</v>
      </c>
      <c r="D82" s="117">
        <v>165.21</v>
      </c>
      <c r="E82" s="118">
        <f t="shared" si="6"/>
        <v>216475.32384000003</v>
      </c>
      <c r="F82" s="119">
        <f t="shared" si="9"/>
        <v>0</v>
      </c>
      <c r="G82" s="120" t="s">
        <v>996</v>
      </c>
      <c r="H82" s="120" t="s">
        <v>996</v>
      </c>
      <c r="I82" s="121" t="str">
        <f t="shared" si="7"/>
        <v>n/a</v>
      </c>
      <c r="J82" s="121" t="str">
        <f t="shared" si="8"/>
        <v>n/a</v>
      </c>
      <c r="M82" s="6" t="s">
        <v>996</v>
      </c>
      <c r="N82" s="6" t="s">
        <v>996</v>
      </c>
      <c r="O82" s="6" t="str">
        <f t="shared" si="10"/>
        <v>n/a</v>
      </c>
      <c r="P82" s="6" t="str">
        <f t="shared" si="11"/>
        <v>n/a</v>
      </c>
    </row>
    <row r="83" spans="1:16" x14ac:dyDescent="0.25">
      <c r="A83" s="6" t="s">
        <v>229</v>
      </c>
      <c r="B83" s="7" t="s">
        <v>608</v>
      </c>
      <c r="C83" s="116">
        <v>309.11099999999999</v>
      </c>
      <c r="D83" s="117">
        <v>51.81</v>
      </c>
      <c r="E83" s="118">
        <f t="shared" si="6"/>
        <v>16015.04091</v>
      </c>
      <c r="F83" s="119">
        <f t="shared" si="9"/>
        <v>9.218835459566735E-4</v>
      </c>
      <c r="G83" s="120">
        <v>2.6249999999999999E-2</v>
      </c>
      <c r="H83" s="120">
        <v>0.11550000000000001</v>
      </c>
      <c r="I83" s="121">
        <f t="shared" si="7"/>
        <v>2.419944308136268E-5</v>
      </c>
      <c r="J83" s="121">
        <f t="shared" si="8"/>
        <v>1.0647754955799579E-4</v>
      </c>
      <c r="M83" s="6">
        <v>2.625</v>
      </c>
      <c r="N83" s="6">
        <v>11.55</v>
      </c>
      <c r="O83" s="6">
        <f t="shared" si="10"/>
        <v>2.6249999999999999E-2</v>
      </c>
      <c r="P83" s="6">
        <f t="shared" si="11"/>
        <v>0.11550000000000001</v>
      </c>
    </row>
    <row r="84" spans="1:16" x14ac:dyDescent="0.25">
      <c r="A84" s="6" t="s">
        <v>344</v>
      </c>
      <c r="B84" s="7" t="s">
        <v>701</v>
      </c>
      <c r="C84" s="116">
        <v>207.167</v>
      </c>
      <c r="D84" s="117">
        <v>24.79</v>
      </c>
      <c r="E84" s="118">
        <f t="shared" si="6"/>
        <v>5135.66993</v>
      </c>
      <c r="F84" s="119">
        <f t="shared" si="9"/>
        <v>2.9562769352497776E-4</v>
      </c>
      <c r="G84" s="120">
        <v>3.5498000000000002E-2</v>
      </c>
      <c r="H84" s="120">
        <v>0.11</v>
      </c>
      <c r="I84" s="121">
        <f t="shared" si="7"/>
        <v>1.049419186474966E-5</v>
      </c>
      <c r="J84" s="121">
        <f t="shared" si="8"/>
        <v>3.2519046287747552E-5</v>
      </c>
      <c r="M84" s="6">
        <v>3.5497999999999998</v>
      </c>
      <c r="N84" s="6">
        <v>11</v>
      </c>
      <c r="O84" s="6">
        <f t="shared" si="10"/>
        <v>3.5498000000000002E-2</v>
      </c>
      <c r="P84" s="6">
        <f t="shared" si="11"/>
        <v>0.11</v>
      </c>
    </row>
    <row r="85" spans="1:16" x14ac:dyDescent="0.25">
      <c r="A85" s="6" t="s">
        <v>234</v>
      </c>
      <c r="B85" s="7" t="s">
        <v>613</v>
      </c>
      <c r="C85" s="116">
        <v>1368.971</v>
      </c>
      <c r="D85" s="117">
        <v>26.38</v>
      </c>
      <c r="E85" s="118">
        <f t="shared" si="6"/>
        <v>36113.454980000002</v>
      </c>
      <c r="F85" s="119">
        <f t="shared" si="9"/>
        <v>0</v>
      </c>
      <c r="G85" s="120" t="s">
        <v>996</v>
      </c>
      <c r="H85" s="120">
        <v>9.8000000000000004E-2</v>
      </c>
      <c r="I85" s="121" t="str">
        <f t="shared" si="7"/>
        <v>n/a</v>
      </c>
      <c r="J85" s="121">
        <f t="shared" si="8"/>
        <v>0</v>
      </c>
      <c r="M85" s="6" t="s">
        <v>996</v>
      </c>
      <c r="N85" s="6">
        <v>9.8000000000000007</v>
      </c>
      <c r="O85" s="6" t="str">
        <f t="shared" si="10"/>
        <v>n/a</v>
      </c>
      <c r="P85" s="6">
        <f t="shared" si="11"/>
        <v>9.8000000000000004E-2</v>
      </c>
    </row>
    <row r="86" spans="1:16" x14ac:dyDescent="0.25">
      <c r="A86" s="6" t="s">
        <v>235</v>
      </c>
      <c r="B86" s="7" t="s">
        <v>614</v>
      </c>
      <c r="C86" s="116">
        <v>1647.434</v>
      </c>
      <c r="D86" s="117">
        <v>56.05</v>
      </c>
      <c r="E86" s="118">
        <f t="shared" si="6"/>
        <v>92338.675699999993</v>
      </c>
      <c r="F86" s="119">
        <f t="shared" si="9"/>
        <v>5.3153473826036768E-3</v>
      </c>
      <c r="G86" s="120">
        <v>2.7831999999999999E-2</v>
      </c>
      <c r="H86" s="120">
        <v>0.15325</v>
      </c>
      <c r="I86" s="121">
        <f t="shared" si="7"/>
        <v>1.4793674835262552E-4</v>
      </c>
      <c r="J86" s="121">
        <f t="shared" si="8"/>
        <v>8.1457698638401344E-4</v>
      </c>
      <c r="M86" s="6">
        <v>2.7831999999999999</v>
      </c>
      <c r="N86" s="6">
        <v>15.324999999999999</v>
      </c>
      <c r="O86" s="6">
        <f t="shared" si="10"/>
        <v>2.7831999999999999E-2</v>
      </c>
      <c r="P86" s="6">
        <f t="shared" si="11"/>
        <v>0.15325</v>
      </c>
    </row>
    <row r="87" spans="1:16" x14ac:dyDescent="0.25">
      <c r="A87" s="6" t="s">
        <v>1134</v>
      </c>
      <c r="B87" s="7" t="s">
        <v>1135</v>
      </c>
      <c r="C87" s="116">
        <v>153.50399999999999</v>
      </c>
      <c r="D87" s="117">
        <v>63.74</v>
      </c>
      <c r="E87" s="118">
        <f t="shared" si="6"/>
        <v>9784.3449600000004</v>
      </c>
      <c r="F87" s="119">
        <f t="shared" si="9"/>
        <v>5.6322220325743188E-4</v>
      </c>
      <c r="G87" s="120">
        <v>1.1295999999999999E-2</v>
      </c>
      <c r="H87" s="120">
        <v>0.12480000000000001</v>
      </c>
      <c r="I87" s="121">
        <f t="shared" si="7"/>
        <v>6.3621580079959495E-6</v>
      </c>
      <c r="J87" s="121">
        <f t="shared" si="8"/>
        <v>7.0290130966527506E-5</v>
      </c>
      <c r="M87" s="6">
        <v>1.1295999999999999</v>
      </c>
      <c r="N87" s="6">
        <v>12.48</v>
      </c>
      <c r="O87" s="6">
        <f t="shared" si="10"/>
        <v>1.1295999999999999E-2</v>
      </c>
      <c r="P87" s="6">
        <f t="shared" si="11"/>
        <v>0.12480000000000001</v>
      </c>
    </row>
    <row r="88" spans="1:16" x14ac:dyDescent="0.25">
      <c r="A88" s="6" t="s">
        <v>236</v>
      </c>
      <c r="B88" s="7" t="s">
        <v>615</v>
      </c>
      <c r="C88" s="116">
        <v>214.84899999999999</v>
      </c>
      <c r="D88" s="117">
        <v>47.32</v>
      </c>
      <c r="E88" s="118">
        <f t="shared" si="6"/>
        <v>10166.65468</v>
      </c>
      <c r="F88" s="119">
        <f t="shared" si="9"/>
        <v>5.8522933032678778E-4</v>
      </c>
      <c r="G88" s="120">
        <v>1.5427E-2</v>
      </c>
      <c r="H88" s="120">
        <v>1.525E-2</v>
      </c>
      <c r="I88" s="121">
        <f t="shared" si="7"/>
        <v>9.0283328789513549E-6</v>
      </c>
      <c r="J88" s="121">
        <f t="shared" si="8"/>
        <v>8.9247472874835139E-6</v>
      </c>
      <c r="M88" s="6">
        <v>1.5427</v>
      </c>
      <c r="N88" s="6">
        <v>1.5249999999999999</v>
      </c>
      <c r="O88" s="6">
        <f t="shared" si="10"/>
        <v>1.5427E-2</v>
      </c>
      <c r="P88" s="6">
        <f t="shared" si="11"/>
        <v>1.525E-2</v>
      </c>
    </row>
    <row r="89" spans="1:16" x14ac:dyDescent="0.25">
      <c r="A89" s="6" t="s">
        <v>238</v>
      </c>
      <c r="B89" s="7" t="s">
        <v>616</v>
      </c>
      <c r="C89" s="116">
        <v>465.52300000000002</v>
      </c>
      <c r="D89" s="117">
        <v>23.24</v>
      </c>
      <c r="E89" s="118">
        <f t="shared" si="6"/>
        <v>10818.75452</v>
      </c>
      <c r="F89" s="119">
        <f t="shared" si="9"/>
        <v>6.2276655025618596E-4</v>
      </c>
      <c r="G89" s="120">
        <v>3.4420000000000002E-3</v>
      </c>
      <c r="H89" s="120">
        <v>0.41284999999999994</v>
      </c>
      <c r="I89" s="121">
        <f t="shared" si="7"/>
        <v>2.1435624659817923E-6</v>
      </c>
      <c r="J89" s="121">
        <f t="shared" si="8"/>
        <v>2.5710917027326635E-4</v>
      </c>
      <c r="M89" s="6">
        <v>0.34420000000000001</v>
      </c>
      <c r="N89" s="6">
        <v>41.284999999999997</v>
      </c>
      <c r="O89" s="6">
        <f t="shared" si="10"/>
        <v>3.4420000000000002E-3</v>
      </c>
      <c r="P89" s="6">
        <f t="shared" si="11"/>
        <v>0.41284999999999994</v>
      </c>
    </row>
    <row r="90" spans="1:16" x14ac:dyDescent="0.25">
      <c r="A90" s="6" t="s">
        <v>239</v>
      </c>
      <c r="B90" s="7" t="s">
        <v>617</v>
      </c>
      <c r="C90" s="116">
        <v>304.37900000000002</v>
      </c>
      <c r="D90" s="117">
        <v>57.54</v>
      </c>
      <c r="E90" s="118">
        <f t="shared" si="6"/>
        <v>17513.967660000002</v>
      </c>
      <c r="F90" s="119">
        <f t="shared" si="9"/>
        <v>1.0081671786482688E-3</v>
      </c>
      <c r="G90" s="120">
        <v>2.4331000000000002E-2</v>
      </c>
      <c r="H90" s="120">
        <v>4.9800000000000004E-2</v>
      </c>
      <c r="I90" s="121">
        <f t="shared" si="7"/>
        <v>2.4529715623691031E-5</v>
      </c>
      <c r="J90" s="121">
        <f t="shared" si="8"/>
        <v>5.0206725496683793E-5</v>
      </c>
      <c r="M90" s="6">
        <v>2.4331</v>
      </c>
      <c r="N90" s="6">
        <v>4.9800000000000004</v>
      </c>
      <c r="O90" s="6">
        <f t="shared" si="10"/>
        <v>2.4331000000000002E-2</v>
      </c>
      <c r="P90" s="6">
        <f t="shared" si="11"/>
        <v>4.9800000000000004E-2</v>
      </c>
    </row>
    <row r="91" spans="1:16" x14ac:dyDescent="0.25">
      <c r="A91" s="6" t="s">
        <v>377</v>
      </c>
      <c r="B91" s="7" t="s">
        <v>732</v>
      </c>
      <c r="C91" s="116">
        <v>106.084</v>
      </c>
      <c r="D91" s="117">
        <v>90.07</v>
      </c>
      <c r="E91" s="118">
        <f t="shared" si="6"/>
        <v>9554.9858800000002</v>
      </c>
      <c r="F91" s="119">
        <f t="shared" si="9"/>
        <v>5.5001946695747443E-4</v>
      </c>
      <c r="G91" s="120">
        <v>1.4655E-2</v>
      </c>
      <c r="H91" s="120">
        <v>0.12560000000000002</v>
      </c>
      <c r="I91" s="121">
        <f t="shared" si="7"/>
        <v>8.0605352882617877E-6</v>
      </c>
      <c r="J91" s="121">
        <f t="shared" si="8"/>
        <v>6.9082445049858796E-5</v>
      </c>
      <c r="M91" s="6">
        <v>1.4655</v>
      </c>
      <c r="N91" s="6">
        <v>12.56</v>
      </c>
      <c r="O91" s="6">
        <f t="shared" si="10"/>
        <v>1.4655E-2</v>
      </c>
      <c r="P91" s="6">
        <f t="shared" si="11"/>
        <v>0.12560000000000002</v>
      </c>
    </row>
    <row r="92" spans="1:16" x14ac:dyDescent="0.25">
      <c r="A92" s="6" t="s">
        <v>1342</v>
      </c>
      <c r="B92" s="7" t="s">
        <v>1343</v>
      </c>
      <c r="C92" s="116">
        <v>941.399</v>
      </c>
      <c r="D92" s="117">
        <v>13.3</v>
      </c>
      <c r="E92" s="118">
        <f t="shared" si="6"/>
        <v>12520.6067</v>
      </c>
      <c r="F92" s="119">
        <f t="shared" si="9"/>
        <v>0</v>
      </c>
      <c r="G92" s="120" t="s">
        <v>996</v>
      </c>
      <c r="H92" s="120">
        <v>8.3330000000000001E-2</v>
      </c>
      <c r="I92" s="121" t="str">
        <f t="shared" si="7"/>
        <v>n/a</v>
      </c>
      <c r="J92" s="121">
        <f t="shared" si="8"/>
        <v>0</v>
      </c>
      <c r="M92" s="6" t="s">
        <v>996</v>
      </c>
      <c r="N92" s="6">
        <v>8.3330000000000002</v>
      </c>
      <c r="O92" s="6" t="str">
        <f t="shared" si="10"/>
        <v>n/a</v>
      </c>
      <c r="P92" s="6">
        <f t="shared" si="11"/>
        <v>8.3330000000000001E-2</v>
      </c>
    </row>
    <row r="93" spans="1:16" x14ac:dyDescent="0.25">
      <c r="A93" s="6" t="s">
        <v>243</v>
      </c>
      <c r="B93" s="7" t="s">
        <v>621</v>
      </c>
      <c r="C93" s="116">
        <v>536.61500000000001</v>
      </c>
      <c r="D93" s="117">
        <v>61.77</v>
      </c>
      <c r="E93" s="118">
        <f t="shared" si="6"/>
        <v>33146.708550000003</v>
      </c>
      <c r="F93" s="119">
        <f t="shared" si="9"/>
        <v>1.9080441559025895E-3</v>
      </c>
      <c r="G93" s="120">
        <v>2.5902999999999999E-2</v>
      </c>
      <c r="H93" s="120">
        <v>0.13550000000000001</v>
      </c>
      <c r="I93" s="121">
        <f t="shared" si="7"/>
        <v>4.9424067770344776E-5</v>
      </c>
      <c r="J93" s="121">
        <f t="shared" si="8"/>
        <v>2.5853998312480087E-4</v>
      </c>
      <c r="M93" s="6">
        <v>2.5903</v>
      </c>
      <c r="N93" s="6">
        <v>13.55</v>
      </c>
      <c r="O93" s="6">
        <f t="shared" si="10"/>
        <v>2.5902999999999999E-2</v>
      </c>
      <c r="P93" s="6">
        <f t="shared" si="11"/>
        <v>0.13550000000000001</v>
      </c>
    </row>
    <row r="94" spans="1:16" x14ac:dyDescent="0.25">
      <c r="A94" s="6" t="s">
        <v>1057</v>
      </c>
      <c r="B94" s="7" t="s">
        <v>1058</v>
      </c>
      <c r="C94" s="116">
        <v>126.453</v>
      </c>
      <c r="D94" s="117">
        <v>68.03</v>
      </c>
      <c r="E94" s="118">
        <f t="shared" si="6"/>
        <v>8602.5975900000012</v>
      </c>
      <c r="F94" s="119">
        <f t="shared" si="9"/>
        <v>0</v>
      </c>
      <c r="G94" s="120" t="s">
        <v>996</v>
      </c>
      <c r="H94" s="120">
        <v>0.14072999999999999</v>
      </c>
      <c r="I94" s="121" t="str">
        <f t="shared" si="7"/>
        <v>n/a</v>
      </c>
      <c r="J94" s="121">
        <f t="shared" si="8"/>
        <v>0</v>
      </c>
      <c r="M94" s="6" t="s">
        <v>996</v>
      </c>
      <c r="N94" s="6">
        <v>14.073</v>
      </c>
      <c r="O94" s="6" t="str">
        <f t="shared" si="10"/>
        <v>n/a</v>
      </c>
      <c r="P94" s="6">
        <f t="shared" si="11"/>
        <v>0.14072999999999999</v>
      </c>
    </row>
    <row r="95" spans="1:16" x14ac:dyDescent="0.25">
      <c r="A95" s="6" t="s">
        <v>249</v>
      </c>
      <c r="B95" s="7" t="s">
        <v>626</v>
      </c>
      <c r="C95" s="116">
        <v>548.86300000000006</v>
      </c>
      <c r="D95" s="117">
        <v>25.67</v>
      </c>
      <c r="E95" s="118">
        <f t="shared" si="6"/>
        <v>14089.313210000002</v>
      </c>
      <c r="F95" s="119">
        <f t="shared" si="9"/>
        <v>0</v>
      </c>
      <c r="G95" s="120">
        <v>8.4144999999999998E-2</v>
      </c>
      <c r="H95" s="120">
        <v>-4.5000000000000005E-3</v>
      </c>
      <c r="I95" s="121">
        <f t="shared" si="7"/>
        <v>0</v>
      </c>
      <c r="J95" s="121">
        <f t="shared" si="8"/>
        <v>0</v>
      </c>
      <c r="M95" s="6">
        <v>8.4145000000000003</v>
      </c>
      <c r="N95" s="6">
        <v>-0.45</v>
      </c>
      <c r="O95" s="6">
        <f t="shared" si="10"/>
        <v>8.4144999999999998E-2</v>
      </c>
      <c r="P95" s="6">
        <f t="shared" si="11"/>
        <v>-4.5000000000000005E-3</v>
      </c>
    </row>
    <row r="96" spans="1:16" x14ac:dyDescent="0.25">
      <c r="A96" s="6" t="s">
        <v>257</v>
      </c>
      <c r="B96" s="7" t="s">
        <v>633</v>
      </c>
      <c r="C96" s="116">
        <v>256.67</v>
      </c>
      <c r="D96" s="117">
        <v>156.37</v>
      </c>
      <c r="E96" s="118">
        <f t="shared" si="6"/>
        <v>40135.4879</v>
      </c>
      <c r="F96" s="119">
        <f t="shared" si="9"/>
        <v>2.3103435146924743E-3</v>
      </c>
      <c r="G96" s="120">
        <v>2.5599999999999999E-4</v>
      </c>
      <c r="H96" s="120">
        <v>0.11978</v>
      </c>
      <c r="I96" s="121">
        <f t="shared" si="7"/>
        <v>5.9144793976127341E-7</v>
      </c>
      <c r="J96" s="121">
        <f t="shared" si="8"/>
        <v>2.7673294618986454E-4</v>
      </c>
      <c r="M96" s="6">
        <v>2.5600000000000001E-2</v>
      </c>
      <c r="N96" s="6">
        <v>11.978</v>
      </c>
      <c r="O96" s="6">
        <f t="shared" si="10"/>
        <v>2.5599999999999999E-4</v>
      </c>
      <c r="P96" s="6">
        <f t="shared" si="11"/>
        <v>0.11978</v>
      </c>
    </row>
    <row r="97" spans="1:16" x14ac:dyDescent="0.25">
      <c r="A97" s="6" t="s">
        <v>1136</v>
      </c>
      <c r="B97" s="7" t="s">
        <v>1137</v>
      </c>
      <c r="C97" s="116">
        <v>267.392</v>
      </c>
      <c r="D97" s="117">
        <v>37.340000000000003</v>
      </c>
      <c r="E97" s="118">
        <f t="shared" si="6"/>
        <v>9984.4172800000015</v>
      </c>
      <c r="F97" s="119">
        <f t="shared" si="9"/>
        <v>5.7473908796886657E-4</v>
      </c>
      <c r="G97" s="120">
        <v>3.3208000000000001E-2</v>
      </c>
      <c r="H97" s="120">
        <v>6.4070000000000002E-2</v>
      </c>
      <c r="I97" s="121">
        <f t="shared" si="7"/>
        <v>1.9085935633270121E-5</v>
      </c>
      <c r="J97" s="121">
        <f t="shared" si="8"/>
        <v>3.6823533366165283E-5</v>
      </c>
      <c r="M97" s="6">
        <v>3.3208000000000002</v>
      </c>
      <c r="N97" s="6">
        <v>6.407</v>
      </c>
      <c r="O97" s="6">
        <f t="shared" si="10"/>
        <v>3.3208000000000001E-2</v>
      </c>
      <c r="P97" s="6">
        <f t="shared" si="11"/>
        <v>6.4070000000000002E-2</v>
      </c>
    </row>
    <row r="98" spans="1:16" x14ac:dyDescent="0.25">
      <c r="A98" s="6" t="s">
        <v>263</v>
      </c>
      <c r="B98" s="7" t="s">
        <v>635</v>
      </c>
      <c r="C98" s="116">
        <v>128.26599999999999</v>
      </c>
      <c r="D98" s="117">
        <v>133.69</v>
      </c>
      <c r="E98" s="118">
        <f t="shared" si="6"/>
        <v>17147.881539999998</v>
      </c>
      <c r="F98" s="119">
        <f t="shared" si="9"/>
        <v>9.8709394053868717E-4</v>
      </c>
      <c r="G98" s="120">
        <v>2.3936000000000002E-2</v>
      </c>
      <c r="H98" s="120">
        <v>7.0069999999999993E-2</v>
      </c>
      <c r="I98" s="121">
        <f t="shared" si="7"/>
        <v>2.3627080560734017E-5</v>
      </c>
      <c r="J98" s="121">
        <f t="shared" si="8"/>
        <v>6.9165672413545802E-5</v>
      </c>
      <c r="M98" s="6">
        <v>2.3936000000000002</v>
      </c>
      <c r="N98" s="6">
        <v>7.0069999999999997</v>
      </c>
      <c r="O98" s="6">
        <f t="shared" si="10"/>
        <v>2.3936000000000002E-2</v>
      </c>
      <c r="P98" s="6">
        <f t="shared" si="11"/>
        <v>7.0069999999999993E-2</v>
      </c>
    </row>
    <row r="99" spans="1:16" x14ac:dyDescent="0.25">
      <c r="A99" s="6" t="s">
        <v>264</v>
      </c>
      <c r="B99" s="7" t="s">
        <v>636</v>
      </c>
      <c r="C99" s="116">
        <v>280.01299999999998</v>
      </c>
      <c r="D99" s="117">
        <v>45.4</v>
      </c>
      <c r="E99" s="118">
        <f t="shared" si="6"/>
        <v>12712.590199999999</v>
      </c>
      <c r="F99" s="119">
        <f t="shared" si="9"/>
        <v>7.3178256600969598E-4</v>
      </c>
      <c r="G99" s="120">
        <v>2.9295000000000002E-2</v>
      </c>
      <c r="H99" s="120">
        <v>6.3329999999999997E-2</v>
      </c>
      <c r="I99" s="121">
        <f t="shared" si="7"/>
        <v>2.1437570271254045E-5</v>
      </c>
      <c r="J99" s="121">
        <f t="shared" si="8"/>
        <v>4.6343789905394044E-5</v>
      </c>
      <c r="M99" s="6">
        <v>2.9295</v>
      </c>
      <c r="N99" s="6">
        <v>6.3330000000000002</v>
      </c>
      <c r="O99" s="6">
        <f t="shared" si="10"/>
        <v>2.9295000000000002E-2</v>
      </c>
      <c r="P99" s="6">
        <f t="shared" si="11"/>
        <v>6.3329999999999997E-2</v>
      </c>
    </row>
    <row r="100" spans="1:16" x14ac:dyDescent="0.25">
      <c r="A100" s="6" t="s">
        <v>268</v>
      </c>
      <c r="B100" s="7" t="s">
        <v>639</v>
      </c>
      <c r="C100" s="116">
        <v>883.29300000000001</v>
      </c>
      <c r="D100" s="117">
        <v>72.040000000000006</v>
      </c>
      <c r="E100" s="118">
        <f t="shared" si="6"/>
        <v>63632.427720000007</v>
      </c>
      <c r="F100" s="119">
        <f t="shared" si="9"/>
        <v>3.6629121607623374E-3</v>
      </c>
      <c r="G100" s="120">
        <v>2.2210000000000001E-2</v>
      </c>
      <c r="H100" s="120">
        <v>9.0359999999999996E-2</v>
      </c>
      <c r="I100" s="121">
        <f t="shared" si="7"/>
        <v>8.135327909053152E-5</v>
      </c>
      <c r="J100" s="121">
        <f t="shared" si="8"/>
        <v>3.3098074284648477E-4</v>
      </c>
      <c r="M100" s="6">
        <v>2.2210000000000001</v>
      </c>
      <c r="N100" s="6">
        <v>9.0359999999999996</v>
      </c>
      <c r="O100" s="6">
        <f t="shared" si="10"/>
        <v>2.2210000000000001E-2</v>
      </c>
      <c r="P100" s="6">
        <f t="shared" si="11"/>
        <v>9.0359999999999996E-2</v>
      </c>
    </row>
    <row r="101" spans="1:16" x14ac:dyDescent="0.25">
      <c r="A101" s="6" t="s">
        <v>270</v>
      </c>
      <c r="B101" s="7" t="s">
        <v>640</v>
      </c>
      <c r="C101" s="116">
        <v>176.31899999999999</v>
      </c>
      <c r="D101" s="117">
        <v>70.7</v>
      </c>
      <c r="E101" s="118">
        <f t="shared" si="6"/>
        <v>12465.7533</v>
      </c>
      <c r="F101" s="119">
        <f t="shared" si="9"/>
        <v>7.1757374332084075E-4</v>
      </c>
      <c r="G101" s="120">
        <v>1.4710000000000001E-2</v>
      </c>
      <c r="H101" s="120">
        <v>0.10967</v>
      </c>
      <c r="I101" s="121">
        <f t="shared" si="7"/>
        <v>1.0555509764249568E-5</v>
      </c>
      <c r="J101" s="121">
        <f t="shared" si="8"/>
        <v>7.8696312429996608E-5</v>
      </c>
      <c r="M101" s="6">
        <v>1.4710000000000001</v>
      </c>
      <c r="N101" s="6">
        <v>10.967000000000001</v>
      </c>
      <c r="O101" s="6">
        <f t="shared" si="10"/>
        <v>1.4710000000000001E-2</v>
      </c>
      <c r="P101" s="6">
        <f t="shared" si="11"/>
        <v>0.10967</v>
      </c>
    </row>
    <row r="102" spans="1:16" x14ac:dyDescent="0.25">
      <c r="A102" s="6" t="s">
        <v>237</v>
      </c>
      <c r="B102" s="7" t="s">
        <v>108</v>
      </c>
      <c r="C102" s="116">
        <v>417.97399999999999</v>
      </c>
      <c r="D102" s="117">
        <v>32.83</v>
      </c>
      <c r="E102" s="118">
        <f t="shared" si="6"/>
        <v>13722.08642</v>
      </c>
      <c r="F102" s="119">
        <f t="shared" si="9"/>
        <v>7.8989281125685959E-4</v>
      </c>
      <c r="G102" s="120">
        <v>3.1068999999999999E-2</v>
      </c>
      <c r="H102" s="120">
        <v>6.0499999999999998E-2</v>
      </c>
      <c r="I102" s="121">
        <f t="shared" si="7"/>
        <v>2.4541179752939371E-5</v>
      </c>
      <c r="J102" s="121">
        <f t="shared" si="8"/>
        <v>4.7788515081040005E-5</v>
      </c>
      <c r="M102" s="6">
        <v>3.1069</v>
      </c>
      <c r="N102" s="6">
        <v>6.05</v>
      </c>
      <c r="O102" s="6">
        <f t="shared" si="10"/>
        <v>3.1068999999999999E-2</v>
      </c>
      <c r="P102" s="6">
        <f t="shared" si="11"/>
        <v>6.0499999999999998E-2</v>
      </c>
    </row>
    <row r="103" spans="1:16" x14ac:dyDescent="0.25">
      <c r="A103" s="23" t="s">
        <v>1138</v>
      </c>
      <c r="B103" s="7" t="s">
        <v>641</v>
      </c>
      <c r="C103" s="116">
        <v>425.50200000000001</v>
      </c>
      <c r="D103" s="117">
        <v>38.78</v>
      </c>
      <c r="E103" s="118">
        <f t="shared" si="6"/>
        <v>16500.967560000001</v>
      </c>
      <c r="F103" s="119">
        <f t="shared" si="9"/>
        <v>9.4985523742435697E-4</v>
      </c>
      <c r="G103" s="120">
        <v>2.0628999999999998E-2</v>
      </c>
      <c r="H103" s="120">
        <v>8.6500000000000007E-2</v>
      </c>
      <c r="I103" s="121">
        <f t="shared" si="7"/>
        <v>1.9594563692827058E-5</v>
      </c>
      <c r="J103" s="121">
        <f t="shared" si="8"/>
        <v>8.2162478037206882E-5</v>
      </c>
      <c r="M103" s="6">
        <v>2.0629</v>
      </c>
      <c r="N103" s="6">
        <v>8.65</v>
      </c>
      <c r="O103" s="6">
        <f t="shared" si="10"/>
        <v>2.0628999999999998E-2</v>
      </c>
      <c r="P103" s="6">
        <f t="shared" si="11"/>
        <v>8.6500000000000007E-2</v>
      </c>
    </row>
    <row r="104" spans="1:16" x14ac:dyDescent="0.25">
      <c r="A104" s="6" t="s">
        <v>272</v>
      </c>
      <c r="B104" s="7" t="s">
        <v>643</v>
      </c>
      <c r="C104" s="116">
        <v>305.27499999999998</v>
      </c>
      <c r="D104" s="117">
        <v>79.28</v>
      </c>
      <c r="E104" s="118">
        <f t="shared" si="6"/>
        <v>24202.201999999997</v>
      </c>
      <c r="F104" s="119">
        <f t="shared" si="9"/>
        <v>1.3931660821289587E-3</v>
      </c>
      <c r="G104" s="120">
        <v>3.4813000000000004E-2</v>
      </c>
      <c r="H104" s="120">
        <v>3.2669999999999998E-2</v>
      </c>
      <c r="I104" s="121">
        <f t="shared" si="7"/>
        <v>4.8500290817155445E-5</v>
      </c>
      <c r="J104" s="121">
        <f t="shared" si="8"/>
        <v>4.5514735903153077E-5</v>
      </c>
      <c r="M104" s="6">
        <v>3.4813000000000001</v>
      </c>
      <c r="N104" s="6">
        <v>3.2669999999999999</v>
      </c>
      <c r="O104" s="6">
        <f t="shared" si="10"/>
        <v>3.4813000000000004E-2</v>
      </c>
      <c r="P104" s="6">
        <f t="shared" si="11"/>
        <v>3.2669999999999998E-2</v>
      </c>
    </row>
    <row r="105" spans="1:16" x14ac:dyDescent="0.25">
      <c r="A105" s="6" t="s">
        <v>1009</v>
      </c>
      <c r="B105" s="7" t="s">
        <v>1010</v>
      </c>
      <c r="C105" s="116">
        <v>101.83199999999999</v>
      </c>
      <c r="D105" s="117">
        <v>104.93</v>
      </c>
      <c r="E105" s="118">
        <f t="shared" si="6"/>
        <v>10685.231760000001</v>
      </c>
      <c r="F105" s="119">
        <f t="shared" si="9"/>
        <v>6.150804983661867E-4</v>
      </c>
      <c r="G105" s="120">
        <v>2.9544000000000001E-2</v>
      </c>
      <c r="H105" s="120">
        <v>5.77E-3</v>
      </c>
      <c r="I105" s="121">
        <f t="shared" si="7"/>
        <v>1.8171938243730619E-5</v>
      </c>
      <c r="J105" s="121">
        <f t="shared" si="8"/>
        <v>3.5490144755728974E-6</v>
      </c>
      <c r="M105" s="6">
        <v>2.9544000000000001</v>
      </c>
      <c r="N105" s="6">
        <v>0.57699999999999996</v>
      </c>
      <c r="O105" s="6">
        <f t="shared" si="10"/>
        <v>2.9544000000000001E-2</v>
      </c>
      <c r="P105" s="6">
        <f t="shared" si="11"/>
        <v>5.77E-3</v>
      </c>
    </row>
    <row r="106" spans="1:16" x14ac:dyDescent="0.25">
      <c r="A106" s="6" t="s">
        <v>274</v>
      </c>
      <c r="B106" s="7" t="s">
        <v>645</v>
      </c>
      <c r="C106" s="116">
        <v>920.23199999999997</v>
      </c>
      <c r="D106" s="117">
        <v>28.85</v>
      </c>
      <c r="E106" s="118">
        <f t="shared" si="6"/>
        <v>26548.693200000002</v>
      </c>
      <c r="F106" s="119">
        <f t="shared" si="9"/>
        <v>1.5282385830466059E-3</v>
      </c>
      <c r="G106" s="120">
        <v>2.1489999999999999E-2</v>
      </c>
      <c r="H106" s="120">
        <v>9.1880000000000003E-2</v>
      </c>
      <c r="I106" s="121">
        <f t="shared" si="7"/>
        <v>3.2841847149671558E-5</v>
      </c>
      <c r="J106" s="121">
        <f t="shared" si="8"/>
        <v>1.4041456101032216E-4</v>
      </c>
      <c r="M106" s="6">
        <v>2.149</v>
      </c>
      <c r="N106" s="6">
        <v>9.1880000000000006</v>
      </c>
      <c r="O106" s="6">
        <f t="shared" si="10"/>
        <v>2.1489999999999999E-2</v>
      </c>
      <c r="P106" s="6">
        <f t="shared" si="11"/>
        <v>9.1880000000000003E-2</v>
      </c>
    </row>
    <row r="107" spans="1:16" x14ac:dyDescent="0.25">
      <c r="A107" s="6" t="s">
        <v>279</v>
      </c>
      <c r="B107" s="7" t="s">
        <v>649</v>
      </c>
      <c r="C107" s="116">
        <v>167.971</v>
      </c>
      <c r="D107" s="117">
        <v>150.94</v>
      </c>
      <c r="E107" s="118">
        <f t="shared" si="6"/>
        <v>25353.542740000001</v>
      </c>
      <c r="F107" s="119">
        <f t="shared" si="9"/>
        <v>1.4594414098012614E-3</v>
      </c>
      <c r="G107" s="120">
        <v>2.7163E-2</v>
      </c>
      <c r="H107" s="120">
        <v>8.5000000000000006E-2</v>
      </c>
      <c r="I107" s="121">
        <f t="shared" si="7"/>
        <v>3.9642807014431664E-5</v>
      </c>
      <c r="J107" s="121">
        <f t="shared" si="8"/>
        <v>1.2405251983310723E-4</v>
      </c>
      <c r="M107" s="6">
        <v>2.7162999999999999</v>
      </c>
      <c r="N107" s="6">
        <v>8.5</v>
      </c>
      <c r="O107" s="6">
        <f t="shared" si="10"/>
        <v>2.7163E-2</v>
      </c>
      <c r="P107" s="6">
        <f t="shared" si="11"/>
        <v>8.5000000000000006E-2</v>
      </c>
    </row>
    <row r="108" spans="1:16" x14ac:dyDescent="0.25">
      <c r="A108" s="6" t="s">
        <v>280</v>
      </c>
      <c r="B108" s="7" t="s">
        <v>651</v>
      </c>
      <c r="C108" s="116">
        <v>694.12</v>
      </c>
      <c r="D108" s="117">
        <v>83.33</v>
      </c>
      <c r="E108" s="118">
        <f t="shared" si="6"/>
        <v>57841.0196</v>
      </c>
      <c r="F108" s="119">
        <f t="shared" si="9"/>
        <v>3.3295378107527701E-3</v>
      </c>
      <c r="G108" s="120">
        <v>6.7200000000000003E-3</v>
      </c>
      <c r="H108" s="120">
        <v>0.1041</v>
      </c>
      <c r="I108" s="121">
        <f t="shared" si="7"/>
        <v>2.2374494088258615E-5</v>
      </c>
      <c r="J108" s="121">
        <f t="shared" si="8"/>
        <v>3.4660488609936335E-4</v>
      </c>
      <c r="M108" s="6">
        <v>0.67200000000000004</v>
      </c>
      <c r="N108" s="6">
        <v>10.41</v>
      </c>
      <c r="O108" s="6">
        <f t="shared" si="10"/>
        <v>6.7200000000000003E-3</v>
      </c>
      <c r="P108" s="6">
        <f t="shared" si="11"/>
        <v>0.1041</v>
      </c>
    </row>
    <row r="109" spans="1:16" x14ac:dyDescent="0.25">
      <c r="A109" s="6" t="s">
        <v>512</v>
      </c>
      <c r="B109" s="7" t="s">
        <v>845</v>
      </c>
      <c r="C109" s="116">
        <v>552.67499999999995</v>
      </c>
      <c r="D109" s="117">
        <v>55.85</v>
      </c>
      <c r="E109" s="118">
        <f t="shared" si="6"/>
        <v>30866.898749999997</v>
      </c>
      <c r="F109" s="119">
        <f t="shared" si="9"/>
        <v>0</v>
      </c>
      <c r="G109" s="120">
        <v>4.2972000000000003E-2</v>
      </c>
      <c r="H109" s="120">
        <v>-1.11E-2</v>
      </c>
      <c r="I109" s="121">
        <f t="shared" si="7"/>
        <v>0</v>
      </c>
      <c r="J109" s="121">
        <f t="shared" si="8"/>
        <v>0</v>
      </c>
      <c r="M109" s="6">
        <v>4.2972000000000001</v>
      </c>
      <c r="N109" s="6">
        <v>-1.1100000000000001</v>
      </c>
      <c r="O109" s="6">
        <f t="shared" si="10"/>
        <v>4.2972000000000003E-2</v>
      </c>
      <c r="P109" s="6">
        <f t="shared" si="11"/>
        <v>-1.11E-2</v>
      </c>
    </row>
    <row r="110" spans="1:16" x14ac:dyDescent="0.25">
      <c r="A110" s="6" t="s">
        <v>282</v>
      </c>
      <c r="B110" s="7" t="s">
        <v>654</v>
      </c>
      <c r="C110" s="116">
        <v>318.28300000000002</v>
      </c>
      <c r="D110" s="117">
        <v>111.61</v>
      </c>
      <c r="E110" s="118">
        <f t="shared" si="6"/>
        <v>35523.565630000005</v>
      </c>
      <c r="F110" s="119">
        <f t="shared" si="9"/>
        <v>2.0448646264500246E-3</v>
      </c>
      <c r="G110" s="120">
        <v>2.1503000000000001E-2</v>
      </c>
      <c r="H110" s="120">
        <v>7.6999999999999999E-2</v>
      </c>
      <c r="I110" s="121">
        <f t="shared" si="7"/>
        <v>4.3970724062554882E-5</v>
      </c>
      <c r="J110" s="121">
        <f t="shared" si="8"/>
        <v>1.5745457623665189E-4</v>
      </c>
      <c r="M110" s="6">
        <v>2.1503000000000001</v>
      </c>
      <c r="N110" s="6">
        <v>7.7</v>
      </c>
      <c r="O110" s="6">
        <f t="shared" si="10"/>
        <v>2.1503000000000001E-2</v>
      </c>
      <c r="P110" s="6">
        <f t="shared" si="11"/>
        <v>7.6999999999999999E-2</v>
      </c>
    </row>
    <row r="111" spans="1:16" x14ac:dyDescent="0.25">
      <c r="A111" s="6" t="s">
        <v>290</v>
      </c>
      <c r="B111" s="7" t="s">
        <v>660</v>
      </c>
      <c r="C111" s="116">
        <v>628.23199999999997</v>
      </c>
      <c r="D111" s="117">
        <v>77.430000000000007</v>
      </c>
      <c r="E111" s="118">
        <f t="shared" si="6"/>
        <v>48644.00376</v>
      </c>
      <c r="F111" s="119">
        <f t="shared" si="9"/>
        <v>2.8001243910527455E-3</v>
      </c>
      <c r="G111" s="120">
        <v>3.9003000000000003E-2</v>
      </c>
      <c r="H111" s="120">
        <v>5.6749999999999995E-2</v>
      </c>
      <c r="I111" s="121">
        <f t="shared" si="7"/>
        <v>1.0921325162423024E-4</v>
      </c>
      <c r="J111" s="121">
        <f t="shared" si="8"/>
        <v>1.589070591922433E-4</v>
      </c>
      <c r="M111" s="6">
        <v>3.9003000000000001</v>
      </c>
      <c r="N111" s="6">
        <v>5.6749999999999998</v>
      </c>
      <c r="O111" s="6">
        <f t="shared" si="10"/>
        <v>3.9003000000000003E-2</v>
      </c>
      <c r="P111" s="6">
        <f t="shared" si="11"/>
        <v>5.6749999999999995E-2</v>
      </c>
    </row>
    <row r="112" spans="1:16" x14ac:dyDescent="0.25">
      <c r="A112" s="6" t="s">
        <v>291</v>
      </c>
      <c r="B112" s="7" t="s">
        <v>661</v>
      </c>
      <c r="C112" s="116">
        <v>155.66999999999999</v>
      </c>
      <c r="D112" s="117">
        <v>78.88</v>
      </c>
      <c r="E112" s="118">
        <f t="shared" si="6"/>
        <v>12279.249599999999</v>
      </c>
      <c r="F112" s="119">
        <f t="shared" si="9"/>
        <v>7.0683791733973562E-4</v>
      </c>
      <c r="G112" s="120">
        <v>2.2311999999999999E-2</v>
      </c>
      <c r="H112" s="120">
        <v>0.13632999999999998</v>
      </c>
      <c r="I112" s="121">
        <f t="shared" si="7"/>
        <v>1.577096761168418E-5</v>
      </c>
      <c r="J112" s="121">
        <f t="shared" si="8"/>
        <v>9.6363213270926146E-5</v>
      </c>
      <c r="M112" s="6">
        <v>2.2311999999999999</v>
      </c>
      <c r="N112" s="6">
        <v>13.632999999999999</v>
      </c>
      <c r="O112" s="6">
        <f t="shared" si="10"/>
        <v>2.2311999999999999E-2</v>
      </c>
      <c r="P112" s="6">
        <f t="shared" si="11"/>
        <v>0.13632999999999998</v>
      </c>
    </row>
    <row r="113" spans="1:16" x14ac:dyDescent="0.25">
      <c r="A113" s="6" t="s">
        <v>1344</v>
      </c>
      <c r="B113" s="7" t="s">
        <v>1345</v>
      </c>
      <c r="C113" s="116">
        <v>111.98399999999999</v>
      </c>
      <c r="D113" s="117">
        <v>82.41</v>
      </c>
      <c r="E113" s="118">
        <f t="shared" si="6"/>
        <v>9228.6014399999985</v>
      </c>
      <c r="F113" s="119">
        <f t="shared" si="9"/>
        <v>0</v>
      </c>
      <c r="G113" s="120">
        <v>1.2134000000000001E-2</v>
      </c>
      <c r="H113" s="120" t="s">
        <v>996</v>
      </c>
      <c r="I113" s="121">
        <f t="shared" si="7"/>
        <v>0</v>
      </c>
      <c r="J113" s="121" t="str">
        <f t="shared" si="8"/>
        <v>n/a</v>
      </c>
      <c r="M113" s="6">
        <v>1.2134</v>
      </c>
      <c r="N113" s="6" t="s">
        <v>996</v>
      </c>
      <c r="O113" s="6">
        <f t="shared" si="10"/>
        <v>1.2134000000000001E-2</v>
      </c>
      <c r="P113" s="6" t="str">
        <f t="shared" si="11"/>
        <v>n/a</v>
      </c>
    </row>
    <row r="114" spans="1:16" x14ac:dyDescent="0.25">
      <c r="A114" s="6" t="s">
        <v>292</v>
      </c>
      <c r="B114" s="7" t="s">
        <v>662</v>
      </c>
      <c r="C114" s="116">
        <v>1221.703</v>
      </c>
      <c r="D114" s="117">
        <v>62.8</v>
      </c>
      <c r="E114" s="118">
        <f t="shared" si="6"/>
        <v>76722.948399999994</v>
      </c>
      <c r="F114" s="119">
        <f t="shared" si="9"/>
        <v>4.4164497689842541E-3</v>
      </c>
      <c r="G114" s="120">
        <v>2.9298999999999999E-2</v>
      </c>
      <c r="H114" s="120">
        <v>6.5799999999999997E-2</v>
      </c>
      <c r="I114" s="121">
        <f t="shared" si="7"/>
        <v>1.2939756178146966E-4</v>
      </c>
      <c r="J114" s="121">
        <f t="shared" si="8"/>
        <v>2.9060239479916389E-4</v>
      </c>
      <c r="M114" s="6">
        <v>2.9298999999999999</v>
      </c>
      <c r="N114" s="6">
        <v>6.58</v>
      </c>
      <c r="O114" s="6">
        <f t="shared" si="10"/>
        <v>2.9298999999999999E-2</v>
      </c>
      <c r="P114" s="6">
        <f t="shared" si="11"/>
        <v>6.5799999999999997E-2</v>
      </c>
    </row>
    <row r="115" spans="1:16" x14ac:dyDescent="0.25">
      <c r="A115" s="6" t="s">
        <v>296</v>
      </c>
      <c r="B115" s="7" t="s">
        <v>665</v>
      </c>
      <c r="C115" s="116">
        <v>699.88300000000004</v>
      </c>
      <c r="D115" s="117">
        <v>82.5</v>
      </c>
      <c r="E115" s="118">
        <f t="shared" si="6"/>
        <v>57740.347500000003</v>
      </c>
      <c r="F115" s="119">
        <f t="shared" si="9"/>
        <v>3.3237427613958277E-3</v>
      </c>
      <c r="G115" s="120">
        <v>4.1454999999999999E-2</v>
      </c>
      <c r="H115" s="120">
        <v>5.0499999999999996E-2</v>
      </c>
      <c r="I115" s="121">
        <f t="shared" si="7"/>
        <v>1.3778575617366402E-4</v>
      </c>
      <c r="J115" s="121">
        <f t="shared" si="8"/>
        <v>1.6784900945048927E-4</v>
      </c>
      <c r="M115" s="6">
        <v>4.1455000000000002</v>
      </c>
      <c r="N115" s="6">
        <v>5.05</v>
      </c>
      <c r="O115" s="6">
        <f t="shared" si="10"/>
        <v>4.1454999999999999E-2</v>
      </c>
      <c r="P115" s="6">
        <f t="shared" si="11"/>
        <v>5.0499999999999996E-2</v>
      </c>
    </row>
    <row r="116" spans="1:16" x14ac:dyDescent="0.25">
      <c r="A116" s="6" t="s">
        <v>299</v>
      </c>
      <c r="B116" s="7" t="s">
        <v>667</v>
      </c>
      <c r="C116" s="116">
        <v>448.55700000000002</v>
      </c>
      <c r="D116" s="117">
        <v>75.64</v>
      </c>
      <c r="E116" s="118">
        <f t="shared" si="6"/>
        <v>33928.851480000005</v>
      </c>
      <c r="F116" s="119">
        <f t="shared" si="9"/>
        <v>1.953067125360202E-3</v>
      </c>
      <c r="G116" s="120">
        <v>3.1729E-2</v>
      </c>
      <c r="H116" s="120">
        <v>9.1999999999999998E-2</v>
      </c>
      <c r="I116" s="121">
        <f t="shared" si="7"/>
        <v>6.1968866820553853E-5</v>
      </c>
      <c r="J116" s="121">
        <f t="shared" si="8"/>
        <v>1.7968217553313858E-4</v>
      </c>
      <c r="M116" s="6">
        <v>3.1728999999999998</v>
      </c>
      <c r="N116" s="6">
        <v>9.1999999999999993</v>
      </c>
      <c r="O116" s="6">
        <f t="shared" si="10"/>
        <v>3.1729E-2</v>
      </c>
      <c r="P116" s="6">
        <f t="shared" si="11"/>
        <v>9.1999999999999998E-2</v>
      </c>
    </row>
    <row r="117" spans="1:16" x14ac:dyDescent="0.25">
      <c r="A117" s="6" t="s">
        <v>301</v>
      </c>
      <c r="B117" s="7" t="s">
        <v>668</v>
      </c>
      <c r="C117" s="116">
        <v>290.05700000000002</v>
      </c>
      <c r="D117" s="117">
        <v>129.09</v>
      </c>
      <c r="E117" s="118">
        <f t="shared" si="6"/>
        <v>37443.458130000006</v>
      </c>
      <c r="F117" s="119">
        <f t="shared" si="9"/>
        <v>2.1553805667902373E-3</v>
      </c>
      <c r="G117" s="120">
        <v>1.1465000000000001E-2</v>
      </c>
      <c r="H117" s="120">
        <v>0.13</v>
      </c>
      <c r="I117" s="121">
        <f t="shared" si="7"/>
        <v>2.4711438198250073E-5</v>
      </c>
      <c r="J117" s="121">
        <f t="shared" si="8"/>
        <v>2.8019947368273086E-4</v>
      </c>
      <c r="M117" s="6">
        <v>1.1465000000000001</v>
      </c>
      <c r="N117" s="6">
        <v>13</v>
      </c>
      <c r="O117" s="6">
        <f t="shared" si="10"/>
        <v>1.1465000000000001E-2</v>
      </c>
      <c r="P117" s="6">
        <f t="shared" si="11"/>
        <v>0.13</v>
      </c>
    </row>
    <row r="118" spans="1:16" x14ac:dyDescent="0.25">
      <c r="A118" s="6" t="s">
        <v>454</v>
      </c>
      <c r="B118" s="7" t="s">
        <v>794</v>
      </c>
      <c r="C118" s="116">
        <v>109.78700000000001</v>
      </c>
      <c r="D118" s="117">
        <v>59.41</v>
      </c>
      <c r="E118" s="118">
        <f t="shared" si="6"/>
        <v>6522.4456700000001</v>
      </c>
      <c r="F118" s="119">
        <f t="shared" si="9"/>
        <v>3.7545550937773727E-4</v>
      </c>
      <c r="G118" s="120">
        <v>4.7130000000000002E-3</v>
      </c>
      <c r="H118" s="120">
        <v>9.5700000000000007E-2</v>
      </c>
      <c r="I118" s="121">
        <f t="shared" si="7"/>
        <v>1.7695218156972758E-6</v>
      </c>
      <c r="J118" s="121">
        <f t="shared" si="8"/>
        <v>3.5931092247449458E-5</v>
      </c>
      <c r="M118" s="6">
        <v>0.4713</v>
      </c>
      <c r="N118" s="6">
        <v>9.57</v>
      </c>
      <c r="O118" s="6">
        <f t="shared" si="10"/>
        <v>4.7130000000000002E-3</v>
      </c>
      <c r="P118" s="6">
        <f t="shared" si="11"/>
        <v>9.5700000000000007E-2</v>
      </c>
    </row>
    <row r="119" spans="1:16" x14ac:dyDescent="0.25">
      <c r="A119" s="6" t="s">
        <v>307</v>
      </c>
      <c r="B119" s="7" t="s">
        <v>673</v>
      </c>
      <c r="C119" s="116">
        <v>645.06500000000005</v>
      </c>
      <c r="D119" s="117">
        <v>60.28</v>
      </c>
      <c r="E119" s="118">
        <f t="shared" si="6"/>
        <v>38884.518200000006</v>
      </c>
      <c r="F119" s="119">
        <f t="shared" si="9"/>
        <v>2.238333184565859E-3</v>
      </c>
      <c r="G119" s="120">
        <v>3.1850999999999997E-2</v>
      </c>
      <c r="H119" s="120">
        <v>7.075999999999999E-2</v>
      </c>
      <c r="I119" s="121">
        <f t="shared" si="7"/>
        <v>7.1293150261607176E-5</v>
      </c>
      <c r="J119" s="121">
        <f t="shared" si="8"/>
        <v>1.5838445613988017E-4</v>
      </c>
      <c r="M119" s="6">
        <v>3.1850999999999998</v>
      </c>
      <c r="N119" s="6">
        <v>7.0759999999999996</v>
      </c>
      <c r="O119" s="6">
        <f t="shared" si="10"/>
        <v>3.1850999999999997E-2</v>
      </c>
      <c r="P119" s="6">
        <f t="shared" si="11"/>
        <v>7.075999999999999E-2</v>
      </c>
    </row>
    <row r="120" spans="1:16" x14ac:dyDescent="0.25">
      <c r="A120" s="6" t="s">
        <v>309</v>
      </c>
      <c r="B120" s="7" t="s">
        <v>675</v>
      </c>
      <c r="C120" s="116">
        <v>577.16</v>
      </c>
      <c r="D120" s="117">
        <v>92.5</v>
      </c>
      <c r="E120" s="118">
        <f t="shared" si="6"/>
        <v>53387.299999999996</v>
      </c>
      <c r="F120" s="119">
        <f t="shared" si="9"/>
        <v>0</v>
      </c>
      <c r="G120" s="120">
        <v>7.2430000000000003E-3</v>
      </c>
      <c r="H120" s="120">
        <v>-6.0749999999999998E-2</v>
      </c>
      <c r="I120" s="121">
        <f t="shared" si="7"/>
        <v>0</v>
      </c>
      <c r="J120" s="121">
        <f t="shared" si="8"/>
        <v>0</v>
      </c>
      <c r="M120" s="6">
        <v>0.72430000000000005</v>
      </c>
      <c r="N120" s="6">
        <v>-6.0750000000000002</v>
      </c>
      <c r="O120" s="6">
        <f t="shared" si="10"/>
        <v>7.2430000000000003E-3</v>
      </c>
      <c r="P120" s="6">
        <f t="shared" si="11"/>
        <v>-6.0749999999999998E-2</v>
      </c>
    </row>
    <row r="121" spans="1:16" x14ac:dyDescent="0.25">
      <c r="A121" s="6" t="s">
        <v>308</v>
      </c>
      <c r="B121" s="7" t="s">
        <v>674</v>
      </c>
      <c r="C121" s="116">
        <v>180.155</v>
      </c>
      <c r="D121" s="117">
        <v>76.260000000000005</v>
      </c>
      <c r="E121" s="118">
        <f t="shared" si="6"/>
        <v>13738.6203</v>
      </c>
      <c r="F121" s="119">
        <f t="shared" si="9"/>
        <v>0</v>
      </c>
      <c r="G121" s="120">
        <v>4.5633E-2</v>
      </c>
      <c r="H121" s="120">
        <v>-2.7000000000000003E-2</v>
      </c>
      <c r="I121" s="121">
        <f t="shared" si="7"/>
        <v>0</v>
      </c>
      <c r="J121" s="121">
        <f t="shared" si="8"/>
        <v>0</v>
      </c>
      <c r="M121" s="6">
        <v>4.5632999999999999</v>
      </c>
      <c r="N121" s="6">
        <v>-2.7</v>
      </c>
      <c r="O121" s="6">
        <f t="shared" si="10"/>
        <v>4.5633E-2</v>
      </c>
      <c r="P121" s="6">
        <f t="shared" si="11"/>
        <v>-2.7000000000000003E-2</v>
      </c>
    </row>
    <row r="122" spans="1:16" x14ac:dyDescent="0.25">
      <c r="A122" s="6" t="s">
        <v>311</v>
      </c>
      <c r="B122" s="7" t="s">
        <v>677</v>
      </c>
      <c r="C122" s="116">
        <v>120.212</v>
      </c>
      <c r="D122" s="117">
        <v>135.31</v>
      </c>
      <c r="E122" s="118">
        <f t="shared" si="6"/>
        <v>16265.88572</v>
      </c>
      <c r="F122" s="119">
        <f t="shared" si="9"/>
        <v>9.3632307840789766E-4</v>
      </c>
      <c r="G122" s="120">
        <v>1.1529000000000001E-2</v>
      </c>
      <c r="H122" s="120">
        <v>8.900000000000001E-2</v>
      </c>
      <c r="I122" s="121">
        <f t="shared" si="7"/>
        <v>1.0794868770964653E-5</v>
      </c>
      <c r="J122" s="121">
        <f t="shared" si="8"/>
        <v>8.3332753978302896E-5</v>
      </c>
      <c r="M122" s="6">
        <v>1.1529</v>
      </c>
      <c r="N122" s="6">
        <v>8.9</v>
      </c>
      <c r="O122" s="6">
        <f t="shared" si="10"/>
        <v>1.1529000000000001E-2</v>
      </c>
      <c r="P122" s="6">
        <f t="shared" si="11"/>
        <v>8.900000000000001E-2</v>
      </c>
    </row>
    <row r="123" spans="1:16" x14ac:dyDescent="0.25">
      <c r="A123" s="6" t="s">
        <v>310</v>
      </c>
      <c r="B123" s="7" t="s">
        <v>676</v>
      </c>
      <c r="C123" s="116">
        <v>173.316</v>
      </c>
      <c r="D123" s="117">
        <v>58.14</v>
      </c>
      <c r="E123" s="118">
        <f t="shared" si="6"/>
        <v>10076.59224</v>
      </c>
      <c r="F123" s="119">
        <f t="shared" si="9"/>
        <v>5.8004501128500077E-4</v>
      </c>
      <c r="G123" s="120">
        <v>2.0639999999999999E-3</v>
      </c>
      <c r="H123" s="120">
        <v>0.15</v>
      </c>
      <c r="I123" s="121">
        <f t="shared" si="7"/>
        <v>1.1972129032922415E-6</v>
      </c>
      <c r="J123" s="121">
        <f t="shared" si="8"/>
        <v>8.7006751692750119E-5</v>
      </c>
      <c r="M123" s="6">
        <v>0.2064</v>
      </c>
      <c r="N123" s="6">
        <v>15</v>
      </c>
      <c r="O123" s="6">
        <f t="shared" si="10"/>
        <v>2.0639999999999999E-3</v>
      </c>
      <c r="P123" s="6">
        <f t="shared" si="11"/>
        <v>0.15</v>
      </c>
    </row>
    <row r="124" spans="1:16" x14ac:dyDescent="0.25">
      <c r="A124" s="6" t="s">
        <v>1139</v>
      </c>
      <c r="B124" s="7" t="s">
        <v>888</v>
      </c>
      <c r="C124" s="116">
        <v>263.774</v>
      </c>
      <c r="D124" s="117">
        <v>41.85</v>
      </c>
      <c r="E124" s="118">
        <f t="shared" si="6"/>
        <v>11038.9419</v>
      </c>
      <c r="F124" s="119">
        <f t="shared" si="9"/>
        <v>6.3544133040754739E-4</v>
      </c>
      <c r="G124" s="120">
        <v>2.1027000000000001E-2</v>
      </c>
      <c r="H124" s="120">
        <v>0.09</v>
      </c>
      <c r="I124" s="121">
        <f t="shared" si="7"/>
        <v>1.33614248544795E-5</v>
      </c>
      <c r="J124" s="121">
        <f t="shared" si="8"/>
        <v>5.7189719736679263E-5</v>
      </c>
      <c r="M124" s="6">
        <v>2.1027</v>
      </c>
      <c r="N124" s="6">
        <v>9</v>
      </c>
      <c r="O124" s="6">
        <f t="shared" si="10"/>
        <v>2.1027000000000001E-2</v>
      </c>
      <c r="P124" s="6">
        <f t="shared" si="11"/>
        <v>0.09</v>
      </c>
    </row>
    <row r="125" spans="1:16" x14ac:dyDescent="0.25">
      <c r="A125" s="6" t="s">
        <v>1346</v>
      </c>
      <c r="B125" s="7" t="s">
        <v>1347</v>
      </c>
      <c r="C125" s="116">
        <v>90.456000000000003</v>
      </c>
      <c r="D125" s="117">
        <v>114.09</v>
      </c>
      <c r="E125" s="118">
        <f t="shared" si="6"/>
        <v>10320.125040000001</v>
      </c>
      <c r="F125" s="119">
        <f t="shared" si="9"/>
        <v>0</v>
      </c>
      <c r="G125" s="120" t="s">
        <v>996</v>
      </c>
      <c r="H125" s="120">
        <v>0.14832999999999999</v>
      </c>
      <c r="I125" s="121" t="str">
        <f t="shared" si="7"/>
        <v>n/a</v>
      </c>
      <c r="J125" s="121">
        <f t="shared" si="8"/>
        <v>0</v>
      </c>
      <c r="M125" s="6" t="s">
        <v>996</v>
      </c>
      <c r="N125" s="6">
        <v>14.833</v>
      </c>
      <c r="O125" s="6" t="str">
        <f t="shared" si="10"/>
        <v>n/a</v>
      </c>
      <c r="P125" s="6">
        <f t="shared" si="11"/>
        <v>0.14832999999999999</v>
      </c>
    </row>
    <row r="126" spans="1:16" x14ac:dyDescent="0.25">
      <c r="A126" s="6" t="s">
        <v>323</v>
      </c>
      <c r="B126" s="7" t="s">
        <v>683</v>
      </c>
      <c r="C126" s="116">
        <v>267.375</v>
      </c>
      <c r="D126" s="117">
        <v>189.7</v>
      </c>
      <c r="E126" s="118">
        <f t="shared" si="6"/>
        <v>50721.037499999999</v>
      </c>
      <c r="F126" s="119">
        <f t="shared" si="9"/>
        <v>2.9196859482203724E-3</v>
      </c>
      <c r="G126" s="120">
        <v>8.4340000000000005E-3</v>
      </c>
      <c r="H126" s="120">
        <v>0.13666999999999999</v>
      </c>
      <c r="I126" s="121">
        <f t="shared" si="7"/>
        <v>2.4624631287290624E-5</v>
      </c>
      <c r="J126" s="121">
        <f t="shared" si="8"/>
        <v>3.9903347854327827E-4</v>
      </c>
      <c r="M126" s="6">
        <v>0.84340000000000004</v>
      </c>
      <c r="N126" s="6">
        <v>13.667</v>
      </c>
      <c r="O126" s="6">
        <f t="shared" si="10"/>
        <v>8.4340000000000005E-3</v>
      </c>
      <c r="P126" s="6">
        <f t="shared" si="11"/>
        <v>0.13666999999999999</v>
      </c>
    </row>
    <row r="127" spans="1:16" x14ac:dyDescent="0.25">
      <c r="A127" s="6" t="s">
        <v>399</v>
      </c>
      <c r="B127" s="7" t="s">
        <v>753</v>
      </c>
      <c r="C127" s="116">
        <v>305.18700000000001</v>
      </c>
      <c r="D127" s="117">
        <v>29.22</v>
      </c>
      <c r="E127" s="118">
        <f t="shared" si="6"/>
        <v>8917.5641400000004</v>
      </c>
      <c r="F127" s="119">
        <f t="shared" si="9"/>
        <v>5.1332717143082673E-4</v>
      </c>
      <c r="G127" s="120">
        <v>5.1677000000000001E-2</v>
      </c>
      <c r="H127" s="120">
        <v>2.6249999999999999E-2</v>
      </c>
      <c r="I127" s="121">
        <f t="shared" si="7"/>
        <v>2.6527208238030835E-5</v>
      </c>
      <c r="J127" s="121">
        <f t="shared" si="8"/>
        <v>1.3474838250059201E-5</v>
      </c>
      <c r="M127" s="6">
        <v>5.1677</v>
      </c>
      <c r="N127" s="6">
        <v>2.625</v>
      </c>
      <c r="O127" s="6">
        <f t="shared" si="10"/>
        <v>5.1677000000000001E-2</v>
      </c>
      <c r="P127" s="6">
        <f t="shared" si="11"/>
        <v>2.6249999999999999E-2</v>
      </c>
    </row>
    <row r="128" spans="1:16" x14ac:dyDescent="0.25">
      <c r="A128" s="6" t="s">
        <v>331</v>
      </c>
      <c r="B128" s="7" t="s">
        <v>688</v>
      </c>
      <c r="C128" s="116">
        <v>133.827</v>
      </c>
      <c r="D128" s="117">
        <v>73.23</v>
      </c>
      <c r="E128" s="118">
        <f t="shared" si="6"/>
        <v>9800.15121</v>
      </c>
      <c r="F128" s="119">
        <f t="shared" si="9"/>
        <v>5.6413206804517514E-4</v>
      </c>
      <c r="G128" s="120">
        <v>9.0130000000000002E-3</v>
      </c>
      <c r="H128" s="120">
        <v>0.12</v>
      </c>
      <c r="I128" s="121">
        <f t="shared" si="7"/>
        <v>5.0845223292911635E-6</v>
      </c>
      <c r="J128" s="121">
        <f t="shared" si="8"/>
        <v>6.7695848165421016E-5</v>
      </c>
      <c r="M128" s="6">
        <v>0.90129999999999999</v>
      </c>
      <c r="N128" s="6">
        <v>12</v>
      </c>
      <c r="O128" s="6">
        <f t="shared" si="10"/>
        <v>9.0130000000000002E-3</v>
      </c>
      <c r="P128" s="6">
        <f t="shared" si="11"/>
        <v>0.12</v>
      </c>
    </row>
    <row r="129" spans="1:16" x14ac:dyDescent="0.25">
      <c r="A129" s="6" t="s">
        <v>332</v>
      </c>
      <c r="B129" s="7" t="s">
        <v>690</v>
      </c>
      <c r="C129" s="116">
        <v>3911.134</v>
      </c>
      <c r="D129" s="117">
        <v>11.47</v>
      </c>
      <c r="E129" s="118">
        <f t="shared" si="6"/>
        <v>44860.706980000003</v>
      </c>
      <c r="F129" s="119">
        <f t="shared" si="9"/>
        <v>2.5823441761564439E-3</v>
      </c>
      <c r="G129" s="120">
        <v>5.2309999999999995E-2</v>
      </c>
      <c r="H129" s="120">
        <v>3.8199999999999998E-2</v>
      </c>
      <c r="I129" s="121">
        <f t="shared" si="7"/>
        <v>1.3508242385474356E-4</v>
      </c>
      <c r="J129" s="121">
        <f t="shared" si="8"/>
        <v>9.8645547529176147E-5</v>
      </c>
      <c r="M129" s="6">
        <v>5.2309999999999999</v>
      </c>
      <c r="N129" s="6">
        <v>3.82</v>
      </c>
      <c r="O129" s="6">
        <f t="shared" si="10"/>
        <v>5.2309999999999995E-2</v>
      </c>
      <c r="P129" s="6">
        <f t="shared" si="11"/>
        <v>3.8199999999999998E-2</v>
      </c>
    </row>
    <row r="130" spans="1:16" x14ac:dyDescent="0.25">
      <c r="A130" s="6" t="s">
        <v>432</v>
      </c>
      <c r="B130" s="7" t="s">
        <v>777</v>
      </c>
      <c r="C130" s="116">
        <v>468.16300000000001</v>
      </c>
      <c r="D130" s="117">
        <v>133.56</v>
      </c>
      <c r="E130" s="118">
        <f t="shared" si="6"/>
        <v>62527.850280000006</v>
      </c>
      <c r="F130" s="119">
        <f t="shared" si="9"/>
        <v>3.5993286973860367E-3</v>
      </c>
      <c r="G130" s="120">
        <v>2.9425E-2</v>
      </c>
      <c r="H130" s="120">
        <v>6.7500000000000004E-2</v>
      </c>
      <c r="I130" s="121">
        <f t="shared" si="7"/>
        <v>1.0591024692058413E-4</v>
      </c>
      <c r="J130" s="121">
        <f t="shared" si="8"/>
        <v>2.429546870735575E-4</v>
      </c>
      <c r="M130" s="6">
        <v>2.9424999999999999</v>
      </c>
      <c r="N130" s="6">
        <v>6.75</v>
      </c>
      <c r="O130" s="6">
        <f t="shared" si="10"/>
        <v>2.9425E-2</v>
      </c>
      <c r="P130" s="6">
        <f t="shared" si="11"/>
        <v>6.7500000000000004E-2</v>
      </c>
    </row>
    <row r="131" spans="1:16" x14ac:dyDescent="0.25">
      <c r="A131" s="6" t="s">
        <v>333</v>
      </c>
      <c r="B131" s="7" t="s">
        <v>691</v>
      </c>
      <c r="C131" s="116">
        <v>561.31700000000001</v>
      </c>
      <c r="D131" s="117">
        <v>43.11</v>
      </c>
      <c r="E131" s="118">
        <f t="shared" si="6"/>
        <v>24198.37587</v>
      </c>
      <c r="F131" s="119">
        <f t="shared" si="9"/>
        <v>1.3929458362793531E-3</v>
      </c>
      <c r="G131" s="120">
        <v>1.8557000000000001E-2</v>
      </c>
      <c r="H131" s="120">
        <v>0.1</v>
      </c>
      <c r="I131" s="121">
        <f t="shared" si="7"/>
        <v>2.5848895883835955E-5</v>
      </c>
      <c r="J131" s="121">
        <f t="shared" si="8"/>
        <v>1.3929458362793533E-4</v>
      </c>
      <c r="M131" s="6">
        <v>1.8557000000000001</v>
      </c>
      <c r="N131" s="6">
        <v>10</v>
      </c>
      <c r="O131" s="6">
        <f t="shared" si="10"/>
        <v>1.8557000000000001E-2</v>
      </c>
      <c r="P131" s="6">
        <f t="shared" si="11"/>
        <v>0.1</v>
      </c>
    </row>
    <row r="132" spans="1:16" x14ac:dyDescent="0.25">
      <c r="A132" s="6" t="s">
        <v>990</v>
      </c>
      <c r="B132" s="7" t="s">
        <v>692</v>
      </c>
      <c r="C132" s="116">
        <v>1446.646</v>
      </c>
      <c r="D132" s="117">
        <v>12.75</v>
      </c>
      <c r="E132" s="118">
        <f t="shared" si="6"/>
        <v>18444.736499999999</v>
      </c>
      <c r="F132" s="119">
        <f t="shared" si="9"/>
        <v>0</v>
      </c>
      <c r="G132" s="120" t="s">
        <v>996</v>
      </c>
      <c r="H132" s="120">
        <v>0.12553</v>
      </c>
      <c r="I132" s="121" t="str">
        <f t="shared" si="7"/>
        <v>n/a</v>
      </c>
      <c r="J132" s="121">
        <f t="shared" si="8"/>
        <v>0</v>
      </c>
      <c r="M132" s="6" t="s">
        <v>996</v>
      </c>
      <c r="N132" s="6">
        <v>12.553000000000001</v>
      </c>
      <c r="O132" s="6" t="str">
        <f t="shared" si="10"/>
        <v>n/a</v>
      </c>
      <c r="P132" s="6">
        <f t="shared" si="11"/>
        <v>0.12553</v>
      </c>
    </row>
    <row r="133" spans="1:16" x14ac:dyDescent="0.25">
      <c r="A133" s="6" t="s">
        <v>1059</v>
      </c>
      <c r="B133" s="7" t="s">
        <v>1060</v>
      </c>
      <c r="C133" s="116">
        <v>214.779</v>
      </c>
      <c r="D133" s="117">
        <v>25.48</v>
      </c>
      <c r="E133" s="118">
        <f t="shared" si="6"/>
        <v>5472.5689199999997</v>
      </c>
      <c r="F133" s="119">
        <f t="shared" si="9"/>
        <v>3.1502081510835695E-4</v>
      </c>
      <c r="G133" s="120">
        <v>2.1978000000000001E-2</v>
      </c>
      <c r="H133" s="120">
        <v>5.5E-2</v>
      </c>
      <c r="I133" s="121">
        <f t="shared" si="7"/>
        <v>6.9235274744514696E-6</v>
      </c>
      <c r="J133" s="121">
        <f t="shared" si="8"/>
        <v>1.7326144830959633E-5</v>
      </c>
      <c r="M133" s="6">
        <v>2.1978</v>
      </c>
      <c r="N133" s="6">
        <v>5.5</v>
      </c>
      <c r="O133" s="6">
        <f t="shared" si="10"/>
        <v>2.1978000000000001E-2</v>
      </c>
      <c r="P133" s="6">
        <f t="shared" si="11"/>
        <v>5.5E-2</v>
      </c>
    </row>
    <row r="134" spans="1:16" x14ac:dyDescent="0.25">
      <c r="A134" s="6" t="s">
        <v>334</v>
      </c>
      <c r="B134" s="7" t="s">
        <v>693</v>
      </c>
      <c r="C134" s="116">
        <v>400.221</v>
      </c>
      <c r="D134" s="117">
        <v>26.2</v>
      </c>
      <c r="E134" s="118">
        <f t="shared" si="6"/>
        <v>10485.790199999999</v>
      </c>
      <c r="F134" s="119">
        <f t="shared" si="9"/>
        <v>6.0359992247648498E-4</v>
      </c>
      <c r="G134" s="120">
        <v>3.5115E-2</v>
      </c>
      <c r="H134" s="120">
        <v>5.457E-2</v>
      </c>
      <c r="I134" s="121">
        <f t="shared" si="7"/>
        <v>2.1195411277761769E-5</v>
      </c>
      <c r="J134" s="121">
        <f t="shared" si="8"/>
        <v>3.2938447769541784E-5</v>
      </c>
      <c r="M134" s="6">
        <v>3.5114999999999998</v>
      </c>
      <c r="N134" s="6">
        <v>5.4569999999999999</v>
      </c>
      <c r="O134" s="6">
        <f t="shared" si="10"/>
        <v>3.5115E-2</v>
      </c>
      <c r="P134" s="6">
        <f t="shared" si="11"/>
        <v>5.457E-2</v>
      </c>
    </row>
    <row r="135" spans="1:16" x14ac:dyDescent="0.25">
      <c r="A135" s="6" t="s">
        <v>336</v>
      </c>
      <c r="B135" s="7" t="s">
        <v>694</v>
      </c>
      <c r="C135" s="116">
        <v>301.685</v>
      </c>
      <c r="D135" s="117">
        <v>193.79</v>
      </c>
      <c r="E135" s="118">
        <f t="shared" si="6"/>
        <v>58463.53615</v>
      </c>
      <c r="F135" s="119">
        <f t="shared" si="9"/>
        <v>3.3653721097568002E-3</v>
      </c>
      <c r="G135" s="120">
        <v>1.7337999999999999E-2</v>
      </c>
      <c r="H135" s="120">
        <v>8.5530000000000009E-2</v>
      </c>
      <c r="I135" s="121">
        <f t="shared" si="7"/>
        <v>5.83488216389634E-5</v>
      </c>
      <c r="J135" s="121">
        <f t="shared" si="8"/>
        <v>2.8784027654749913E-4</v>
      </c>
      <c r="M135" s="6">
        <v>1.7338</v>
      </c>
      <c r="N135" s="6">
        <v>8.5530000000000008</v>
      </c>
      <c r="O135" s="6">
        <f t="shared" si="10"/>
        <v>1.7337999999999999E-2</v>
      </c>
      <c r="P135" s="6">
        <f t="shared" si="11"/>
        <v>8.5530000000000009E-2</v>
      </c>
    </row>
    <row r="136" spans="1:16" x14ac:dyDescent="0.25">
      <c r="A136" s="6" t="s">
        <v>338</v>
      </c>
      <c r="B136" s="7" t="s">
        <v>697</v>
      </c>
      <c r="C136" s="116">
        <v>576.13499999999999</v>
      </c>
      <c r="D136" s="117">
        <v>57.51</v>
      </c>
      <c r="E136" s="118">
        <f t="shared" si="6"/>
        <v>33133.523849999998</v>
      </c>
      <c r="F136" s="119">
        <f t="shared" si="9"/>
        <v>1.9072851969928568E-3</v>
      </c>
      <c r="G136" s="120">
        <v>3.3384999999999998E-2</v>
      </c>
      <c r="H136" s="120">
        <v>8.1000000000000003E-2</v>
      </c>
      <c r="I136" s="121">
        <f t="shared" si="7"/>
        <v>6.3674716301606517E-5</v>
      </c>
      <c r="J136" s="121">
        <f t="shared" si="8"/>
        <v>1.5449010095642141E-4</v>
      </c>
      <c r="M136" s="6">
        <v>3.3384999999999998</v>
      </c>
      <c r="N136" s="6">
        <v>8.1</v>
      </c>
      <c r="O136" s="6">
        <f t="shared" si="10"/>
        <v>3.3384999999999998E-2</v>
      </c>
      <c r="P136" s="6">
        <f t="shared" si="11"/>
        <v>8.1000000000000003E-2</v>
      </c>
    </row>
    <row r="137" spans="1:16" x14ac:dyDescent="0.25">
      <c r="A137" s="6" t="s">
        <v>340</v>
      </c>
      <c r="B137" s="7" t="s">
        <v>699</v>
      </c>
      <c r="C137" s="116">
        <v>147.39400000000001</v>
      </c>
      <c r="D137" s="117">
        <v>92.02</v>
      </c>
      <c r="E137" s="118">
        <f t="shared" si="6"/>
        <v>13563.195879999999</v>
      </c>
      <c r="F137" s="119">
        <f t="shared" si="9"/>
        <v>7.8074649840899747E-4</v>
      </c>
      <c r="G137" s="120">
        <v>2.9340999999999999E-2</v>
      </c>
      <c r="H137" s="120">
        <v>0.10314999999999999</v>
      </c>
      <c r="I137" s="121">
        <f t="shared" si="7"/>
        <v>2.2907883009818394E-5</v>
      </c>
      <c r="J137" s="121">
        <f t="shared" si="8"/>
        <v>8.0534001310888083E-5</v>
      </c>
      <c r="M137" s="6">
        <v>2.9340999999999999</v>
      </c>
      <c r="N137" s="6">
        <v>10.315</v>
      </c>
      <c r="O137" s="6">
        <f t="shared" si="10"/>
        <v>2.9340999999999999E-2</v>
      </c>
      <c r="P137" s="6">
        <f t="shared" si="11"/>
        <v>0.10314999999999999</v>
      </c>
    </row>
    <row r="138" spans="1:16" x14ac:dyDescent="0.25">
      <c r="A138" s="6" t="s">
        <v>558</v>
      </c>
      <c r="B138" s="7" t="s">
        <v>884</v>
      </c>
      <c r="C138" s="116">
        <v>58.405999999999999</v>
      </c>
      <c r="D138" s="117">
        <v>192.7</v>
      </c>
      <c r="E138" s="118">
        <f t="shared" si="6"/>
        <v>11254.8362</v>
      </c>
      <c r="F138" s="119">
        <f t="shared" si="9"/>
        <v>6.4786898538228782E-4</v>
      </c>
      <c r="G138" s="120">
        <v>2.657E-2</v>
      </c>
      <c r="H138" s="120">
        <v>0.12275</v>
      </c>
      <c r="I138" s="121">
        <f t="shared" si="7"/>
        <v>1.7213878941607389E-5</v>
      </c>
      <c r="J138" s="121">
        <f t="shared" si="8"/>
        <v>7.9525917955675823E-5</v>
      </c>
      <c r="M138" s="6">
        <v>2.657</v>
      </c>
      <c r="N138" s="6">
        <v>12.275</v>
      </c>
      <c r="O138" s="6">
        <f t="shared" si="10"/>
        <v>2.657E-2</v>
      </c>
      <c r="P138" s="6">
        <f t="shared" si="11"/>
        <v>0.12275</v>
      </c>
    </row>
    <row r="139" spans="1:16" x14ac:dyDescent="0.25">
      <c r="A139" s="6" t="s">
        <v>345</v>
      </c>
      <c r="B139" s="7" t="s">
        <v>702</v>
      </c>
      <c r="C139" s="116">
        <v>867.86800000000005</v>
      </c>
      <c r="D139" s="117">
        <v>45.88</v>
      </c>
      <c r="E139" s="118">
        <f t="shared" si="6"/>
        <v>39817.783840000004</v>
      </c>
      <c r="F139" s="119">
        <f t="shared" si="9"/>
        <v>2.2920553225458814E-3</v>
      </c>
      <c r="G139" s="120">
        <v>1.5693000000000002E-2</v>
      </c>
      <c r="H139" s="120">
        <v>0.27</v>
      </c>
      <c r="I139" s="121">
        <f t="shared" si="7"/>
        <v>3.596922417671252E-5</v>
      </c>
      <c r="J139" s="121">
        <f t="shared" si="8"/>
        <v>6.18854937087388E-4</v>
      </c>
      <c r="M139" s="6">
        <v>1.5693000000000001</v>
      </c>
      <c r="N139" s="6">
        <v>27</v>
      </c>
      <c r="O139" s="6">
        <f t="shared" si="10"/>
        <v>1.5693000000000002E-2</v>
      </c>
      <c r="P139" s="6">
        <f t="shared" si="11"/>
        <v>0.27</v>
      </c>
    </row>
    <row r="140" spans="1:16" x14ac:dyDescent="0.25">
      <c r="A140" s="6" t="s">
        <v>346</v>
      </c>
      <c r="B140" s="7" t="s">
        <v>703</v>
      </c>
      <c r="C140" s="116">
        <v>175.62700000000001</v>
      </c>
      <c r="D140" s="117">
        <v>56.81</v>
      </c>
      <c r="E140" s="118">
        <f t="shared" si="6"/>
        <v>9977.3698700000004</v>
      </c>
      <c r="F140" s="119">
        <f t="shared" si="9"/>
        <v>5.7433341361829056E-4</v>
      </c>
      <c r="G140" s="120">
        <v>2.5699999999999997E-2</v>
      </c>
      <c r="H140" s="120">
        <v>8.8000000000000009E-2</v>
      </c>
      <c r="I140" s="121">
        <f t="shared" si="7"/>
        <v>1.4760368729990066E-5</v>
      </c>
      <c r="J140" s="121">
        <f t="shared" si="8"/>
        <v>5.0541340398409576E-5</v>
      </c>
      <c r="M140" s="6">
        <v>2.57</v>
      </c>
      <c r="N140" s="6">
        <v>8.8000000000000007</v>
      </c>
      <c r="O140" s="6">
        <f t="shared" si="10"/>
        <v>2.5699999999999997E-2</v>
      </c>
      <c r="P140" s="6">
        <f t="shared" si="11"/>
        <v>8.8000000000000009E-2</v>
      </c>
    </row>
    <row r="141" spans="1:16" x14ac:dyDescent="0.25">
      <c r="A141" s="6" t="s">
        <v>347</v>
      </c>
      <c r="B141" s="7" t="s">
        <v>704</v>
      </c>
      <c r="C141" s="116">
        <v>124.462</v>
      </c>
      <c r="D141" s="117">
        <v>111.89</v>
      </c>
      <c r="E141" s="118">
        <f t="shared" si="6"/>
        <v>13926.053180000001</v>
      </c>
      <c r="F141" s="119">
        <f t="shared" si="9"/>
        <v>0</v>
      </c>
      <c r="G141" s="120">
        <v>1.8947000000000002E-2</v>
      </c>
      <c r="H141" s="120" t="s">
        <v>996</v>
      </c>
      <c r="I141" s="121">
        <f t="shared" si="7"/>
        <v>0</v>
      </c>
      <c r="J141" s="121" t="str">
        <f t="shared" si="8"/>
        <v>n/a</v>
      </c>
      <c r="M141" s="6">
        <v>1.8947000000000001</v>
      </c>
      <c r="N141" s="6" t="s">
        <v>996</v>
      </c>
      <c r="O141" s="6">
        <f t="shared" si="10"/>
        <v>1.8947000000000002E-2</v>
      </c>
      <c r="P141" s="6" t="str">
        <f t="shared" si="11"/>
        <v>n/a</v>
      </c>
    </row>
    <row r="142" spans="1:16" x14ac:dyDescent="0.25">
      <c r="A142" s="6" t="s">
        <v>350</v>
      </c>
      <c r="B142" s="7" t="s">
        <v>706</v>
      </c>
      <c r="C142" s="116">
        <v>468.41500000000002</v>
      </c>
      <c r="D142" s="117">
        <v>31.35</v>
      </c>
      <c r="E142" s="118">
        <f t="shared" ref="E142:E205" si="12">C142*D142</f>
        <v>14684.81025</v>
      </c>
      <c r="F142" s="119">
        <f t="shared" si="9"/>
        <v>0</v>
      </c>
      <c r="G142" s="120">
        <v>4.7209000000000001E-2</v>
      </c>
      <c r="H142" s="122">
        <v>-1.8970000000000001E-2</v>
      </c>
      <c r="I142" s="121">
        <f t="shared" ref="I142:I205" si="13">IF(G142="n/a","n/a",$F142*G142)</f>
        <v>0</v>
      </c>
      <c r="J142" s="121">
        <f t="shared" ref="J142:J205" si="14">IF(H142="n/a","n/a",$F142*H142)</f>
        <v>0</v>
      </c>
      <c r="M142" s="6">
        <v>4.7209000000000003</v>
      </c>
      <c r="N142" s="6">
        <v>-1.897</v>
      </c>
      <c r="O142" s="6">
        <f t="shared" si="10"/>
        <v>4.7209000000000001E-2</v>
      </c>
      <c r="P142" s="6">
        <f t="shared" si="11"/>
        <v>-1.8970000000000001E-2</v>
      </c>
    </row>
    <row r="143" spans="1:16" x14ac:dyDescent="0.25">
      <c r="A143" s="6" t="s">
        <v>351</v>
      </c>
      <c r="B143" s="7" t="s">
        <v>708</v>
      </c>
      <c r="C143" s="116">
        <v>108.563</v>
      </c>
      <c r="D143" s="117">
        <v>60.64</v>
      </c>
      <c r="E143" s="118">
        <f t="shared" si="12"/>
        <v>6583.2603200000003</v>
      </c>
      <c r="F143" s="119">
        <f t="shared" ref="F143:F206" si="15">IF(OR(G143="n/a",H143="n/a",H143&lt;0%),0%,E143/SUMIFS(E$14:E$518,G$14:G$518,"&lt;&gt;n/a",$H$14:$H$518,"&lt;&gt;n/a",$H$14:$H$518,"&gt;=0"))</f>
        <v>3.7895622008482684E-4</v>
      </c>
      <c r="G143" s="120">
        <v>4.6174E-2</v>
      </c>
      <c r="H143" s="120">
        <v>4.0999999999999995E-2</v>
      </c>
      <c r="I143" s="121">
        <f t="shared" si="13"/>
        <v>1.7497924506196796E-5</v>
      </c>
      <c r="J143" s="121">
        <f t="shared" si="14"/>
        <v>1.5537205023477898E-5</v>
      </c>
      <c r="M143" s="6">
        <v>4.6173999999999999</v>
      </c>
      <c r="N143" s="6">
        <v>4.0999999999999996</v>
      </c>
      <c r="O143" s="6">
        <f t="shared" ref="O143:O206" si="16">IFERROR(M143/100, "n/a")</f>
        <v>4.6174E-2</v>
      </c>
      <c r="P143" s="6">
        <f t="shared" ref="P143:P206" si="17">IFERROR(N143/100, "n/a")</f>
        <v>4.0999999999999995E-2</v>
      </c>
    </row>
    <row r="144" spans="1:16" x14ac:dyDescent="0.25">
      <c r="A144" s="6" t="s">
        <v>1140</v>
      </c>
      <c r="B144" s="7" t="s">
        <v>1141</v>
      </c>
      <c r="C144" s="116">
        <v>346.584</v>
      </c>
      <c r="D144" s="117">
        <v>63.26</v>
      </c>
      <c r="E144" s="118">
        <f t="shared" si="12"/>
        <v>21924.903839999999</v>
      </c>
      <c r="F144" s="119">
        <f t="shared" si="15"/>
        <v>1.2620765822806935E-3</v>
      </c>
      <c r="G144" s="120">
        <v>4.4260000000000002E-3</v>
      </c>
      <c r="H144" s="120">
        <v>7.6499999999999999E-2</v>
      </c>
      <c r="I144" s="121">
        <f t="shared" si="13"/>
        <v>5.5859509531743497E-6</v>
      </c>
      <c r="J144" s="121">
        <f t="shared" si="14"/>
        <v>9.6548858544473048E-5</v>
      </c>
      <c r="M144" s="6">
        <v>0.44259999999999999</v>
      </c>
      <c r="N144" s="6">
        <v>7.65</v>
      </c>
      <c r="O144" s="6">
        <f t="shared" si="16"/>
        <v>4.4260000000000002E-3</v>
      </c>
      <c r="P144" s="6">
        <f t="shared" si="17"/>
        <v>7.6499999999999999E-2</v>
      </c>
    </row>
    <row r="145" spans="1:16" x14ac:dyDescent="0.25">
      <c r="A145" s="6" t="s">
        <v>352</v>
      </c>
      <c r="B145" s="7" t="s">
        <v>709</v>
      </c>
      <c r="C145" s="116">
        <v>152.167</v>
      </c>
      <c r="D145" s="117">
        <v>108.2</v>
      </c>
      <c r="E145" s="118">
        <f t="shared" si="12"/>
        <v>16464.469400000002</v>
      </c>
      <c r="F145" s="119">
        <f t="shared" si="15"/>
        <v>9.4775427162909105E-4</v>
      </c>
      <c r="G145" s="120">
        <v>2.2846999999999999E-2</v>
      </c>
      <c r="H145" s="120">
        <v>9.9670000000000009E-2</v>
      </c>
      <c r="I145" s="121">
        <f t="shared" si="13"/>
        <v>2.1653341843909842E-5</v>
      </c>
      <c r="J145" s="121">
        <f t="shared" si="14"/>
        <v>9.4462668253271517E-5</v>
      </c>
      <c r="M145" s="6">
        <v>2.2847</v>
      </c>
      <c r="N145" s="6">
        <v>9.9670000000000005</v>
      </c>
      <c r="O145" s="6">
        <f t="shared" si="16"/>
        <v>2.2846999999999999E-2</v>
      </c>
      <c r="P145" s="6">
        <f t="shared" si="17"/>
        <v>9.9670000000000009E-2</v>
      </c>
    </row>
    <row r="146" spans="1:16" x14ac:dyDescent="0.25">
      <c r="A146" s="6" t="s">
        <v>1142</v>
      </c>
      <c r="B146" s="7" t="s">
        <v>1143</v>
      </c>
      <c r="C146" s="116">
        <v>810.80499999999995</v>
      </c>
      <c r="D146" s="117">
        <v>27.8</v>
      </c>
      <c r="E146" s="118">
        <f t="shared" si="12"/>
        <v>22540.379000000001</v>
      </c>
      <c r="F146" s="119">
        <f t="shared" si="15"/>
        <v>1.2975055534670712E-3</v>
      </c>
      <c r="G146" s="120">
        <v>1.8704999999999999E-2</v>
      </c>
      <c r="H146" s="120">
        <v>9.8800000000000013E-2</v>
      </c>
      <c r="I146" s="121">
        <f t="shared" si="13"/>
        <v>2.4269841377601567E-5</v>
      </c>
      <c r="J146" s="121">
        <f t="shared" si="14"/>
        <v>1.2819354868254666E-4</v>
      </c>
      <c r="M146" s="6">
        <v>1.8705000000000001</v>
      </c>
      <c r="N146" s="6">
        <v>9.8800000000000008</v>
      </c>
      <c r="O146" s="6">
        <f t="shared" si="16"/>
        <v>1.8704999999999999E-2</v>
      </c>
      <c r="P146" s="6">
        <f t="shared" si="17"/>
        <v>9.8800000000000013E-2</v>
      </c>
    </row>
    <row r="147" spans="1:16" x14ac:dyDescent="0.25">
      <c r="A147" s="6" t="s">
        <v>356</v>
      </c>
      <c r="B147" s="7" t="s">
        <v>714</v>
      </c>
      <c r="C147" s="116">
        <v>528.91300000000001</v>
      </c>
      <c r="D147" s="117">
        <v>35.08</v>
      </c>
      <c r="E147" s="118">
        <f t="shared" si="12"/>
        <v>18554.268039999999</v>
      </c>
      <c r="F147" s="119">
        <f t="shared" si="15"/>
        <v>1.0680506225035785E-3</v>
      </c>
      <c r="G147" s="120">
        <v>1.9384000000000002E-2</v>
      </c>
      <c r="H147" s="120">
        <v>4.0670000000000005E-2</v>
      </c>
      <c r="I147" s="121">
        <f t="shared" si="13"/>
        <v>2.0703093266609369E-5</v>
      </c>
      <c r="J147" s="121">
        <f t="shared" si="14"/>
        <v>4.343761881722054E-5</v>
      </c>
      <c r="M147" s="6">
        <v>1.9384000000000001</v>
      </c>
      <c r="N147" s="6">
        <v>4.0670000000000002</v>
      </c>
      <c r="O147" s="6">
        <f t="shared" si="16"/>
        <v>1.9384000000000002E-2</v>
      </c>
      <c r="P147" s="6">
        <f t="shared" si="17"/>
        <v>4.0670000000000005E-2</v>
      </c>
    </row>
    <row r="148" spans="1:16" x14ac:dyDescent="0.25">
      <c r="A148" s="6" t="s">
        <v>1144</v>
      </c>
      <c r="B148" s="7" t="s">
        <v>1145</v>
      </c>
      <c r="C148" s="116">
        <v>179.476</v>
      </c>
      <c r="D148" s="117">
        <v>55.81</v>
      </c>
      <c r="E148" s="118">
        <f t="shared" si="12"/>
        <v>10016.555560000001</v>
      </c>
      <c r="F148" s="119">
        <f t="shared" si="15"/>
        <v>5.765890833384599E-4</v>
      </c>
      <c r="G148" s="120">
        <v>2.7951999999999998E-2</v>
      </c>
      <c r="H148" s="120">
        <v>9.9499999999999991E-2</v>
      </c>
      <c r="I148" s="121">
        <f t="shared" si="13"/>
        <v>1.6116818057476631E-5</v>
      </c>
      <c r="J148" s="121">
        <f t="shared" si="14"/>
        <v>5.7370613792176754E-5</v>
      </c>
      <c r="M148" s="6">
        <v>2.7951999999999999</v>
      </c>
      <c r="N148" s="6">
        <v>9.9499999999999993</v>
      </c>
      <c r="O148" s="6">
        <f t="shared" si="16"/>
        <v>2.7951999999999998E-2</v>
      </c>
      <c r="P148" s="6">
        <f t="shared" si="17"/>
        <v>9.9499999999999991E-2</v>
      </c>
    </row>
    <row r="149" spans="1:16" x14ac:dyDescent="0.25">
      <c r="A149" s="6" t="s">
        <v>417</v>
      </c>
      <c r="B149" s="7" t="s">
        <v>947</v>
      </c>
      <c r="C149" s="116">
        <v>1524.5050000000001</v>
      </c>
      <c r="D149" s="117">
        <v>45.03</v>
      </c>
      <c r="E149" s="118">
        <f t="shared" si="12"/>
        <v>68648.460150000014</v>
      </c>
      <c r="F149" s="119">
        <f t="shared" si="15"/>
        <v>3.9516530880686586E-3</v>
      </c>
      <c r="G149" s="120">
        <v>1.6878000000000001E-2</v>
      </c>
      <c r="H149" s="120">
        <v>0.11042999999999999</v>
      </c>
      <c r="I149" s="121">
        <f t="shared" si="13"/>
        <v>6.6696000820422817E-5</v>
      </c>
      <c r="J149" s="121">
        <f t="shared" si="14"/>
        <v>4.3638105051542193E-4</v>
      </c>
      <c r="M149" s="6">
        <v>1.6878</v>
      </c>
      <c r="N149" s="6">
        <v>11.042999999999999</v>
      </c>
      <c r="O149" s="6">
        <f t="shared" si="16"/>
        <v>1.6878000000000001E-2</v>
      </c>
      <c r="P149" s="6">
        <f t="shared" si="17"/>
        <v>0.11042999999999999</v>
      </c>
    </row>
    <row r="150" spans="1:16" x14ac:dyDescent="0.25">
      <c r="A150" s="6" t="s">
        <v>248</v>
      </c>
      <c r="B150" s="7" t="s">
        <v>625</v>
      </c>
      <c r="C150" s="116">
        <v>430.95800000000003</v>
      </c>
      <c r="D150" s="117">
        <v>28.53</v>
      </c>
      <c r="E150" s="118">
        <f t="shared" si="12"/>
        <v>12295.231740000001</v>
      </c>
      <c r="F150" s="119">
        <f t="shared" si="15"/>
        <v>7.0775790699058793E-4</v>
      </c>
      <c r="G150" s="120">
        <v>3.7504000000000003E-2</v>
      </c>
      <c r="H150" s="120">
        <v>0.06</v>
      </c>
      <c r="I150" s="121">
        <f t="shared" si="13"/>
        <v>2.6543752543775013E-5</v>
      </c>
      <c r="J150" s="121">
        <f t="shared" si="14"/>
        <v>4.2465474419435277E-5</v>
      </c>
      <c r="M150" s="6">
        <v>3.7504</v>
      </c>
      <c r="N150" s="6">
        <v>6</v>
      </c>
      <c r="O150" s="6">
        <f t="shared" si="16"/>
        <v>3.7504000000000003E-2</v>
      </c>
      <c r="P150" s="6">
        <f t="shared" si="17"/>
        <v>0.06</v>
      </c>
    </row>
    <row r="151" spans="1:16" x14ac:dyDescent="0.25">
      <c r="A151" s="6" t="s">
        <v>358</v>
      </c>
      <c r="B151" s="7" t="s">
        <v>716</v>
      </c>
      <c r="C151" s="116">
        <v>144.28399999999999</v>
      </c>
      <c r="D151" s="117">
        <v>221.98</v>
      </c>
      <c r="E151" s="118">
        <f t="shared" si="12"/>
        <v>32028.162319999996</v>
      </c>
      <c r="F151" s="119">
        <f t="shared" si="15"/>
        <v>1.8436565985667228E-3</v>
      </c>
      <c r="G151" s="120">
        <v>7.208E-3</v>
      </c>
      <c r="H151" s="120">
        <v>0.12525</v>
      </c>
      <c r="I151" s="121">
        <f t="shared" si="13"/>
        <v>1.3289076762468937E-5</v>
      </c>
      <c r="J151" s="121">
        <f t="shared" si="14"/>
        <v>2.3091798897048203E-4</v>
      </c>
      <c r="M151" s="6">
        <v>0.7208</v>
      </c>
      <c r="N151" s="6">
        <v>12.525</v>
      </c>
      <c r="O151" s="6">
        <f t="shared" si="16"/>
        <v>7.208E-3</v>
      </c>
      <c r="P151" s="6">
        <f t="shared" si="17"/>
        <v>0.12525</v>
      </c>
    </row>
    <row r="152" spans="1:16" x14ac:dyDescent="0.25">
      <c r="A152" s="6" t="s">
        <v>1146</v>
      </c>
      <c r="B152" s="7" t="s">
        <v>1147</v>
      </c>
      <c r="C152" s="116">
        <v>135.44399999999999</v>
      </c>
      <c r="D152" s="117">
        <v>132.62</v>
      </c>
      <c r="E152" s="118">
        <f t="shared" si="12"/>
        <v>17962.583279999999</v>
      </c>
      <c r="F152" s="119">
        <f t="shared" si="15"/>
        <v>1.033991112590199E-3</v>
      </c>
      <c r="G152" s="120">
        <v>1.5986E-2</v>
      </c>
      <c r="H152" s="120">
        <v>0.11900000000000001</v>
      </c>
      <c r="I152" s="121">
        <f t="shared" si="13"/>
        <v>1.6529381925866923E-5</v>
      </c>
      <c r="J152" s="121">
        <f t="shared" si="14"/>
        <v>1.2304494239823369E-4</v>
      </c>
      <c r="M152" s="6">
        <v>1.5986</v>
      </c>
      <c r="N152" s="6">
        <v>11.9</v>
      </c>
      <c r="O152" s="6">
        <f t="shared" si="16"/>
        <v>1.5986E-2</v>
      </c>
      <c r="P152" s="6">
        <f t="shared" si="17"/>
        <v>0.11900000000000001</v>
      </c>
    </row>
    <row r="153" spans="1:16" x14ac:dyDescent="0.25">
      <c r="A153" s="6" t="s">
        <v>360</v>
      </c>
      <c r="B153" s="7" t="s">
        <v>717</v>
      </c>
      <c r="C153" s="116">
        <v>345.66800000000001</v>
      </c>
      <c r="D153" s="117">
        <v>138.09</v>
      </c>
      <c r="E153" s="118">
        <f t="shared" si="12"/>
        <v>47733.294119999999</v>
      </c>
      <c r="F153" s="119">
        <f t="shared" si="15"/>
        <v>2.7477006578273191E-3</v>
      </c>
      <c r="G153" s="120">
        <v>1.8828000000000001E-2</v>
      </c>
      <c r="H153" s="120">
        <v>8.4000000000000005E-2</v>
      </c>
      <c r="I153" s="121">
        <f t="shared" si="13"/>
        <v>5.173370798557277E-5</v>
      </c>
      <c r="J153" s="121">
        <f t="shared" si="14"/>
        <v>2.3080685525749483E-4</v>
      </c>
      <c r="M153" s="6">
        <v>1.8828</v>
      </c>
      <c r="N153" s="6">
        <v>8.4</v>
      </c>
      <c r="O153" s="6">
        <f t="shared" si="16"/>
        <v>1.8828000000000001E-2</v>
      </c>
      <c r="P153" s="6">
        <f t="shared" si="17"/>
        <v>8.4000000000000005E-2</v>
      </c>
    </row>
    <row r="154" spans="1:16" x14ac:dyDescent="0.25">
      <c r="A154" s="6" t="s">
        <v>361</v>
      </c>
      <c r="B154" s="7" t="s">
        <v>718</v>
      </c>
      <c r="C154" s="116">
        <v>256.02199999999999</v>
      </c>
      <c r="D154" s="117">
        <v>88.75</v>
      </c>
      <c r="E154" s="118">
        <f t="shared" si="12"/>
        <v>22721.952499999999</v>
      </c>
      <c r="F154" s="119">
        <f t="shared" si="15"/>
        <v>1.3079575793452721E-3</v>
      </c>
      <c r="G154" s="120">
        <v>1.8027999999999999E-2</v>
      </c>
      <c r="H154" s="120">
        <v>0.10304000000000001</v>
      </c>
      <c r="I154" s="121">
        <f t="shared" si="13"/>
        <v>2.3579859240436562E-5</v>
      </c>
      <c r="J154" s="121">
        <f t="shared" si="14"/>
        <v>1.3477194897573683E-4</v>
      </c>
      <c r="M154" s="6">
        <v>1.8028</v>
      </c>
      <c r="N154" s="6">
        <v>10.304</v>
      </c>
      <c r="O154" s="6">
        <f t="shared" si="16"/>
        <v>1.8027999999999999E-2</v>
      </c>
      <c r="P154" s="6">
        <f t="shared" si="17"/>
        <v>0.10304000000000001</v>
      </c>
    </row>
    <row r="155" spans="1:16" x14ac:dyDescent="0.25">
      <c r="A155" s="6" t="s">
        <v>1148</v>
      </c>
      <c r="B155" s="7" t="s">
        <v>1149</v>
      </c>
      <c r="C155" s="116">
        <v>131.233</v>
      </c>
      <c r="D155" s="117">
        <v>77.34</v>
      </c>
      <c r="E155" s="118">
        <f t="shared" si="12"/>
        <v>10149.560220000001</v>
      </c>
      <c r="F155" s="119">
        <f t="shared" si="15"/>
        <v>5.8424531152286615E-4</v>
      </c>
      <c r="G155" s="120">
        <v>1.6032999999999999E-2</v>
      </c>
      <c r="H155" s="120">
        <v>0.10122999999999999</v>
      </c>
      <c r="I155" s="121">
        <f t="shared" si="13"/>
        <v>9.3672050796461127E-6</v>
      </c>
      <c r="J155" s="121">
        <f t="shared" si="14"/>
        <v>5.914315288545973E-5</v>
      </c>
      <c r="M155" s="6">
        <v>1.6032999999999999</v>
      </c>
      <c r="N155" s="6">
        <v>10.122999999999999</v>
      </c>
      <c r="O155" s="6">
        <f t="shared" si="16"/>
        <v>1.6032999999999999E-2</v>
      </c>
      <c r="P155" s="6">
        <f t="shared" si="17"/>
        <v>0.10122999999999999</v>
      </c>
    </row>
    <row r="156" spans="1:16" x14ac:dyDescent="0.25">
      <c r="A156" s="6" t="s">
        <v>367</v>
      </c>
      <c r="B156" s="7" t="s">
        <v>723</v>
      </c>
      <c r="C156" s="116">
        <v>395.11</v>
      </c>
      <c r="D156" s="117">
        <v>23.57</v>
      </c>
      <c r="E156" s="118">
        <f t="shared" si="12"/>
        <v>9312.7427000000007</v>
      </c>
      <c r="F156" s="119">
        <f t="shared" si="15"/>
        <v>5.3607507536851656E-4</v>
      </c>
      <c r="G156" s="120">
        <v>3.0547000000000001E-2</v>
      </c>
      <c r="H156" s="120">
        <v>9.214E-2</v>
      </c>
      <c r="I156" s="121">
        <f t="shared" si="13"/>
        <v>1.6375485327282077E-5</v>
      </c>
      <c r="J156" s="121">
        <f t="shared" si="14"/>
        <v>4.9393957444455112E-5</v>
      </c>
      <c r="M156" s="6">
        <v>3.0547</v>
      </c>
      <c r="N156" s="6">
        <v>9.2140000000000004</v>
      </c>
      <c r="O156" s="6">
        <f t="shared" si="16"/>
        <v>3.0547000000000001E-2</v>
      </c>
      <c r="P156" s="6">
        <f t="shared" si="17"/>
        <v>9.214E-2</v>
      </c>
    </row>
    <row r="157" spans="1:16" x14ac:dyDescent="0.25">
      <c r="A157" s="6" t="s">
        <v>365</v>
      </c>
      <c r="B157" s="7" t="s">
        <v>721</v>
      </c>
      <c r="C157" s="116">
        <v>78.972999999999999</v>
      </c>
      <c r="D157" s="117">
        <v>138.59</v>
      </c>
      <c r="E157" s="118">
        <f t="shared" si="12"/>
        <v>10944.86807</v>
      </c>
      <c r="F157" s="119">
        <f t="shared" si="15"/>
        <v>6.3002610128203376E-4</v>
      </c>
      <c r="G157" s="120">
        <v>1.8471999999999999E-2</v>
      </c>
      <c r="H157" s="120">
        <v>6.5500000000000003E-2</v>
      </c>
      <c r="I157" s="121">
        <f t="shared" si="13"/>
        <v>1.1637842142881726E-5</v>
      </c>
      <c r="J157" s="121">
        <f t="shared" si="14"/>
        <v>4.1266709633973214E-5</v>
      </c>
      <c r="M157" s="6">
        <v>1.8472</v>
      </c>
      <c r="N157" s="6">
        <v>6.55</v>
      </c>
      <c r="O157" s="6">
        <f t="shared" si="16"/>
        <v>1.8471999999999999E-2</v>
      </c>
      <c r="P157" s="6">
        <f t="shared" si="17"/>
        <v>6.5500000000000003E-2</v>
      </c>
    </row>
    <row r="158" spans="1:16" x14ac:dyDescent="0.25">
      <c r="A158" s="6" t="s">
        <v>372</v>
      </c>
      <c r="B158" s="7" t="s">
        <v>726</v>
      </c>
      <c r="C158" s="116">
        <v>121.071</v>
      </c>
      <c r="D158" s="117">
        <v>54.92</v>
      </c>
      <c r="E158" s="118">
        <f t="shared" si="12"/>
        <v>6649.2193200000002</v>
      </c>
      <c r="F158" s="119">
        <f t="shared" si="15"/>
        <v>3.8275305814159305E-4</v>
      </c>
      <c r="G158" s="120">
        <v>1.0925000000000001E-2</v>
      </c>
      <c r="H158" s="120">
        <v>8.4900000000000003E-2</v>
      </c>
      <c r="I158" s="121">
        <f t="shared" si="13"/>
        <v>4.1815771601969039E-6</v>
      </c>
      <c r="J158" s="121">
        <f t="shared" si="14"/>
        <v>3.2495734636221254E-5</v>
      </c>
      <c r="M158" s="6">
        <v>1.0925</v>
      </c>
      <c r="N158" s="6">
        <v>8.49</v>
      </c>
      <c r="O158" s="6">
        <f t="shared" si="16"/>
        <v>1.0925000000000001E-2</v>
      </c>
      <c r="P158" s="6">
        <f t="shared" si="17"/>
        <v>8.4900000000000003E-2</v>
      </c>
    </row>
    <row r="159" spans="1:16" x14ac:dyDescent="0.25">
      <c r="A159" s="6" t="s">
        <v>1011</v>
      </c>
      <c r="B159" s="7" t="s">
        <v>1012</v>
      </c>
      <c r="C159" s="116">
        <v>372.49799999999999</v>
      </c>
      <c r="D159" s="117">
        <v>21.81</v>
      </c>
      <c r="E159" s="118">
        <f t="shared" si="12"/>
        <v>8124.1813799999991</v>
      </c>
      <c r="F159" s="119">
        <f t="shared" si="15"/>
        <v>4.6765719679885479E-4</v>
      </c>
      <c r="G159" s="120">
        <v>2.751E-2</v>
      </c>
      <c r="H159" s="120">
        <v>0.13880000000000001</v>
      </c>
      <c r="I159" s="121">
        <f t="shared" si="13"/>
        <v>1.2865249483936495E-5</v>
      </c>
      <c r="J159" s="121">
        <f t="shared" si="14"/>
        <v>6.4910818915681049E-5</v>
      </c>
      <c r="M159" s="6">
        <v>2.7509999999999999</v>
      </c>
      <c r="N159" s="6">
        <v>13.88</v>
      </c>
      <c r="O159" s="6">
        <f t="shared" si="16"/>
        <v>2.751E-2</v>
      </c>
      <c r="P159" s="6">
        <f t="shared" si="17"/>
        <v>0.13880000000000001</v>
      </c>
    </row>
    <row r="160" spans="1:16" x14ac:dyDescent="0.25">
      <c r="A160" s="6" t="s">
        <v>378</v>
      </c>
      <c r="B160" s="7" t="s">
        <v>733</v>
      </c>
      <c r="C160" s="116">
        <v>350.05099999999999</v>
      </c>
      <c r="D160" s="117">
        <v>71</v>
      </c>
      <c r="E160" s="118">
        <f t="shared" si="12"/>
        <v>24853.620999999999</v>
      </c>
      <c r="F160" s="119">
        <f t="shared" si="15"/>
        <v>1.4306641104511074E-3</v>
      </c>
      <c r="G160" s="120">
        <v>2.9295999999999999E-2</v>
      </c>
      <c r="H160" s="120">
        <v>6.8179999999999991E-2</v>
      </c>
      <c r="I160" s="121">
        <f t="shared" si="13"/>
        <v>4.1912735779775643E-5</v>
      </c>
      <c r="J160" s="121">
        <f t="shared" si="14"/>
        <v>9.7542679050556489E-5</v>
      </c>
      <c r="M160" s="6">
        <v>2.9295999999999998</v>
      </c>
      <c r="N160" s="6">
        <v>6.8179999999999996</v>
      </c>
      <c r="O160" s="6">
        <f t="shared" si="16"/>
        <v>2.9295999999999999E-2</v>
      </c>
      <c r="P160" s="6">
        <f t="shared" si="17"/>
        <v>6.8179999999999991E-2</v>
      </c>
    </row>
    <row r="161" spans="1:16" x14ac:dyDescent="0.25">
      <c r="A161" s="6" t="s">
        <v>455</v>
      </c>
      <c r="B161" s="7" t="s">
        <v>795</v>
      </c>
      <c r="C161" s="116">
        <v>143.374</v>
      </c>
      <c r="D161" s="117">
        <v>73.94</v>
      </c>
      <c r="E161" s="118">
        <f t="shared" si="12"/>
        <v>10601.073559999999</v>
      </c>
      <c r="F161" s="119">
        <f t="shared" si="15"/>
        <v>6.1023604868458219E-4</v>
      </c>
      <c r="G161" s="120">
        <v>8.6560000000000005E-3</v>
      </c>
      <c r="H161" s="120">
        <v>5.2000000000000005E-2</v>
      </c>
      <c r="I161" s="121">
        <f t="shared" si="13"/>
        <v>5.282203237413744E-6</v>
      </c>
      <c r="J161" s="121">
        <f t="shared" si="14"/>
        <v>3.1732274531598274E-5</v>
      </c>
      <c r="M161" s="6">
        <v>0.86560000000000004</v>
      </c>
      <c r="N161" s="6">
        <v>5.2</v>
      </c>
      <c r="O161" s="6">
        <f t="shared" si="16"/>
        <v>8.6560000000000005E-3</v>
      </c>
      <c r="P161" s="6">
        <f t="shared" si="17"/>
        <v>5.2000000000000005E-2</v>
      </c>
    </row>
    <row r="162" spans="1:16" x14ac:dyDescent="0.25">
      <c r="A162" s="6" t="s">
        <v>380</v>
      </c>
      <c r="B162" s="7" t="s">
        <v>735</v>
      </c>
      <c r="C162" s="116">
        <v>354.928</v>
      </c>
      <c r="D162" s="117">
        <v>129.75</v>
      </c>
      <c r="E162" s="118">
        <f t="shared" si="12"/>
        <v>46051.908000000003</v>
      </c>
      <c r="F162" s="119">
        <f t="shared" si="15"/>
        <v>2.6509140053836118E-3</v>
      </c>
      <c r="G162" s="120">
        <v>2.9904E-2</v>
      </c>
      <c r="H162" s="120">
        <v>6.9930000000000006E-2</v>
      </c>
      <c r="I162" s="121">
        <f t="shared" si="13"/>
        <v>7.9272932416991527E-5</v>
      </c>
      <c r="J162" s="121">
        <f t="shared" si="14"/>
        <v>1.8537841639647599E-4</v>
      </c>
      <c r="M162" s="6">
        <v>2.9904000000000002</v>
      </c>
      <c r="N162" s="6">
        <v>6.9930000000000003</v>
      </c>
      <c r="O162" s="6">
        <f t="shared" si="16"/>
        <v>2.9904E-2</v>
      </c>
      <c r="P162" s="6">
        <f t="shared" si="17"/>
        <v>6.9930000000000006E-2</v>
      </c>
    </row>
    <row r="163" spans="1:16" x14ac:dyDescent="0.25">
      <c r="A163" s="6" t="s">
        <v>381</v>
      </c>
      <c r="B163" s="7" t="s">
        <v>736</v>
      </c>
      <c r="C163" s="116">
        <v>425.65499999999997</v>
      </c>
      <c r="D163" s="117">
        <v>20.29</v>
      </c>
      <c r="E163" s="118">
        <f t="shared" si="12"/>
        <v>8636.5399499999985</v>
      </c>
      <c r="F163" s="119">
        <f t="shared" si="15"/>
        <v>4.9715040496281005E-4</v>
      </c>
      <c r="G163" s="120">
        <v>5.3227999999999998E-2</v>
      </c>
      <c r="H163" s="120">
        <v>7.6569999999999999E-2</v>
      </c>
      <c r="I163" s="121">
        <f t="shared" si="13"/>
        <v>2.6462321755360452E-5</v>
      </c>
      <c r="J163" s="121">
        <f t="shared" si="14"/>
        <v>3.8066806508002368E-5</v>
      </c>
      <c r="M163" s="6">
        <v>5.3228</v>
      </c>
      <c r="N163" s="6">
        <v>7.657</v>
      </c>
      <c r="O163" s="6">
        <f t="shared" si="16"/>
        <v>5.3227999999999998E-2</v>
      </c>
      <c r="P163" s="6">
        <f t="shared" si="17"/>
        <v>7.6569999999999999E-2</v>
      </c>
    </row>
    <row r="164" spans="1:16" x14ac:dyDescent="0.25">
      <c r="A164" s="6" t="s">
        <v>384</v>
      </c>
      <c r="B164" s="7" t="s">
        <v>738</v>
      </c>
      <c r="C164" s="116">
        <v>172.35599999999999</v>
      </c>
      <c r="D164" s="117">
        <v>39.03</v>
      </c>
      <c r="E164" s="118">
        <f t="shared" si="12"/>
        <v>6727.0546800000002</v>
      </c>
      <c r="F164" s="119">
        <f t="shared" si="15"/>
        <v>3.8723354233647321E-4</v>
      </c>
      <c r="G164" s="120">
        <v>5.6367E-2</v>
      </c>
      <c r="H164" s="120">
        <v>5.4199999999999998E-2</v>
      </c>
      <c r="I164" s="121">
        <f t="shared" si="13"/>
        <v>2.1827193080879985E-5</v>
      </c>
      <c r="J164" s="121">
        <f t="shared" si="14"/>
        <v>2.0988057994636847E-5</v>
      </c>
      <c r="M164" s="6">
        <v>5.6367000000000003</v>
      </c>
      <c r="N164" s="6">
        <v>5.42</v>
      </c>
      <c r="O164" s="6">
        <f t="shared" si="16"/>
        <v>5.6367E-2</v>
      </c>
      <c r="P164" s="6">
        <f t="shared" si="17"/>
        <v>5.4199999999999998E-2</v>
      </c>
    </row>
    <row r="165" spans="1:16" x14ac:dyDescent="0.25">
      <c r="A165" s="6" t="s">
        <v>447</v>
      </c>
      <c r="B165" s="7" t="s">
        <v>790</v>
      </c>
      <c r="C165" s="116">
        <v>4114.6840000000002</v>
      </c>
      <c r="D165" s="117">
        <v>44.96</v>
      </c>
      <c r="E165" s="118">
        <f t="shared" si="12"/>
        <v>184996.19264000002</v>
      </c>
      <c r="F165" s="119">
        <f t="shared" si="15"/>
        <v>1.0649048417538328E-2</v>
      </c>
      <c r="G165" s="120">
        <v>1.6903999999999999E-2</v>
      </c>
      <c r="H165" s="120">
        <v>9.2170000000000002E-2</v>
      </c>
      <c r="I165" s="121">
        <f t="shared" si="13"/>
        <v>1.8001151445006788E-4</v>
      </c>
      <c r="J165" s="121">
        <f t="shared" si="14"/>
        <v>9.8152279264450762E-4</v>
      </c>
      <c r="M165" s="6">
        <v>1.6903999999999999</v>
      </c>
      <c r="N165" s="6">
        <v>9.2170000000000005</v>
      </c>
      <c r="O165" s="6">
        <f t="shared" si="16"/>
        <v>1.6903999999999999E-2</v>
      </c>
      <c r="P165" s="6">
        <f t="shared" si="17"/>
        <v>9.2170000000000002E-2</v>
      </c>
    </row>
    <row r="166" spans="1:16" x14ac:dyDescent="0.25">
      <c r="A166" s="6" t="s">
        <v>385</v>
      </c>
      <c r="B166" s="7" t="s">
        <v>739</v>
      </c>
      <c r="C166" s="116">
        <v>914.24</v>
      </c>
      <c r="D166" s="117">
        <v>29.65</v>
      </c>
      <c r="E166" s="118">
        <f t="shared" si="12"/>
        <v>27107.216</v>
      </c>
      <c r="F166" s="119">
        <f t="shared" si="15"/>
        <v>1.5603891708755851E-3</v>
      </c>
      <c r="G166" s="120">
        <v>1.6188999999999999E-2</v>
      </c>
      <c r="H166" s="122">
        <v>6.6619999999999999E-2</v>
      </c>
      <c r="I166" s="121">
        <f t="shared" si="13"/>
        <v>2.5261140287304845E-5</v>
      </c>
      <c r="J166" s="121">
        <f t="shared" si="14"/>
        <v>1.0395312656373147E-4</v>
      </c>
      <c r="M166" s="6">
        <v>1.6189</v>
      </c>
      <c r="N166" s="6">
        <v>6.6619999999999999</v>
      </c>
      <c r="O166" s="6">
        <f t="shared" si="16"/>
        <v>1.6188999999999999E-2</v>
      </c>
      <c r="P166" s="6">
        <f t="shared" si="17"/>
        <v>6.6619999999999999E-2</v>
      </c>
    </row>
    <row r="167" spans="1:16" x14ac:dyDescent="0.25">
      <c r="A167" s="6" t="s">
        <v>389</v>
      </c>
      <c r="B167" s="7" t="s">
        <v>743</v>
      </c>
      <c r="C167" s="116">
        <v>132.97999999999999</v>
      </c>
      <c r="D167" s="117">
        <v>52.54</v>
      </c>
      <c r="E167" s="118">
        <f t="shared" si="12"/>
        <v>6986.7691999999997</v>
      </c>
      <c r="F167" s="119">
        <f t="shared" si="15"/>
        <v>4.0218364730214545E-4</v>
      </c>
      <c r="G167" s="120">
        <v>2.5884999999999998E-2</v>
      </c>
      <c r="H167" s="120">
        <v>0.19</v>
      </c>
      <c r="I167" s="121">
        <f t="shared" si="13"/>
        <v>1.0410523710416034E-5</v>
      </c>
      <c r="J167" s="121">
        <f t="shared" si="14"/>
        <v>7.6414892987407642E-5</v>
      </c>
      <c r="M167" s="6">
        <v>2.5884999999999998</v>
      </c>
      <c r="N167" s="6">
        <v>19</v>
      </c>
      <c r="O167" s="6">
        <f t="shared" si="16"/>
        <v>2.5884999999999998E-2</v>
      </c>
      <c r="P167" s="6">
        <f t="shared" si="17"/>
        <v>0.19</v>
      </c>
    </row>
    <row r="168" spans="1:16" x14ac:dyDescent="0.25">
      <c r="A168" s="6" t="s">
        <v>390</v>
      </c>
      <c r="B168" s="7" t="s">
        <v>744</v>
      </c>
      <c r="C168" s="116">
        <v>203.16</v>
      </c>
      <c r="D168" s="117">
        <v>50.5</v>
      </c>
      <c r="E168" s="118">
        <f t="shared" si="12"/>
        <v>10259.58</v>
      </c>
      <c r="F168" s="119">
        <f t="shared" si="15"/>
        <v>5.9057844707223841E-4</v>
      </c>
      <c r="G168" s="120">
        <v>3.1680000000000002E-3</v>
      </c>
      <c r="H168" s="122">
        <v>0.1009</v>
      </c>
      <c r="I168" s="121">
        <f t="shared" si="13"/>
        <v>1.8709525203248514E-6</v>
      </c>
      <c r="J168" s="121">
        <f t="shared" si="14"/>
        <v>5.9589365309588855E-5</v>
      </c>
      <c r="M168" s="6">
        <v>0.31680000000000003</v>
      </c>
      <c r="N168" s="6">
        <v>10.09</v>
      </c>
      <c r="O168" s="6">
        <f t="shared" si="16"/>
        <v>3.1680000000000002E-3</v>
      </c>
      <c r="P168" s="6">
        <f t="shared" si="17"/>
        <v>0.1009</v>
      </c>
    </row>
    <row r="169" spans="1:16" x14ac:dyDescent="0.25">
      <c r="A169" s="6" t="s">
        <v>391</v>
      </c>
      <c r="B169" s="7" t="s">
        <v>745</v>
      </c>
      <c r="C169" s="116">
        <v>359.79500000000002</v>
      </c>
      <c r="D169" s="117">
        <v>25.39</v>
      </c>
      <c r="E169" s="118">
        <f t="shared" si="12"/>
        <v>9135.1950500000003</v>
      </c>
      <c r="F169" s="119">
        <f t="shared" si="15"/>
        <v>5.2585479194382223E-4</v>
      </c>
      <c r="G169" s="120">
        <v>9.8460000000000006E-3</v>
      </c>
      <c r="H169" s="120">
        <v>0.18</v>
      </c>
      <c r="I169" s="121">
        <f t="shared" si="13"/>
        <v>5.1775662814788736E-6</v>
      </c>
      <c r="J169" s="121">
        <f t="shared" si="14"/>
        <v>9.4653862549888004E-5</v>
      </c>
      <c r="M169" s="6">
        <v>0.98460000000000003</v>
      </c>
      <c r="N169" s="6">
        <v>18</v>
      </c>
      <c r="O169" s="6">
        <f t="shared" si="16"/>
        <v>9.8460000000000006E-3</v>
      </c>
      <c r="P169" s="6">
        <f t="shared" si="17"/>
        <v>0.18</v>
      </c>
    </row>
    <row r="170" spans="1:16" x14ac:dyDescent="0.25">
      <c r="A170" s="6" t="s">
        <v>306</v>
      </c>
      <c r="B170" s="7" t="s">
        <v>672</v>
      </c>
      <c r="C170" s="116">
        <v>1103.354</v>
      </c>
      <c r="D170" s="117">
        <v>82.06</v>
      </c>
      <c r="E170" s="118">
        <f t="shared" si="12"/>
        <v>90541.229240000001</v>
      </c>
      <c r="F170" s="119">
        <f t="shared" si="15"/>
        <v>5.2118798781792966E-3</v>
      </c>
      <c r="G170" s="120">
        <v>2.5346999999999998E-2</v>
      </c>
      <c r="H170" s="120">
        <v>0.1265</v>
      </c>
      <c r="I170" s="121">
        <f t="shared" si="13"/>
        <v>1.3210551927221061E-4</v>
      </c>
      <c r="J170" s="121">
        <f t="shared" si="14"/>
        <v>6.5930280458968108E-4</v>
      </c>
      <c r="M170" s="6">
        <v>2.5347</v>
      </c>
      <c r="N170" s="6">
        <v>12.65</v>
      </c>
      <c r="O170" s="6">
        <f t="shared" si="16"/>
        <v>2.5346999999999998E-2</v>
      </c>
      <c r="P170" s="6">
        <f t="shared" si="17"/>
        <v>0.1265</v>
      </c>
    </row>
    <row r="171" spans="1:16" x14ac:dyDescent="0.25">
      <c r="A171" s="6" t="s">
        <v>386</v>
      </c>
      <c r="B171" s="7" t="s">
        <v>740</v>
      </c>
      <c r="C171" s="116">
        <v>284.80900000000003</v>
      </c>
      <c r="D171" s="117">
        <v>52.81</v>
      </c>
      <c r="E171" s="118">
        <f t="shared" si="12"/>
        <v>15040.763290000003</v>
      </c>
      <c r="F171" s="119">
        <f t="shared" si="15"/>
        <v>8.6580061041381163E-4</v>
      </c>
      <c r="G171" s="120">
        <v>4.5446E-2</v>
      </c>
      <c r="H171" s="120">
        <v>8.7249999999999994E-2</v>
      </c>
      <c r="I171" s="121">
        <f t="shared" si="13"/>
        <v>3.9347174540866082E-5</v>
      </c>
      <c r="J171" s="121">
        <f t="shared" si="14"/>
        <v>7.5541103258605063E-5</v>
      </c>
      <c r="M171" s="6">
        <v>4.5446</v>
      </c>
      <c r="N171" s="6">
        <v>8.7249999999999996</v>
      </c>
      <c r="O171" s="6">
        <f t="shared" si="16"/>
        <v>4.5446E-2</v>
      </c>
      <c r="P171" s="6">
        <f t="shared" si="17"/>
        <v>8.7249999999999994E-2</v>
      </c>
    </row>
    <row r="172" spans="1:16" x14ac:dyDescent="0.25">
      <c r="A172" s="6" t="s">
        <v>1150</v>
      </c>
      <c r="B172" s="7" t="s">
        <v>1151</v>
      </c>
      <c r="C172" s="116">
        <v>268.89800000000002</v>
      </c>
      <c r="D172" s="117">
        <v>345.16</v>
      </c>
      <c r="E172" s="118">
        <f t="shared" si="12"/>
        <v>92812.833680000011</v>
      </c>
      <c r="F172" s="119">
        <f t="shared" si="15"/>
        <v>0</v>
      </c>
      <c r="G172" s="120" t="s">
        <v>996</v>
      </c>
      <c r="H172" s="122">
        <v>0.22327000000000002</v>
      </c>
      <c r="I172" s="121" t="str">
        <f t="shared" si="13"/>
        <v>n/a</v>
      </c>
      <c r="J172" s="121">
        <f t="shared" si="14"/>
        <v>0</v>
      </c>
      <c r="M172" s="6" t="s">
        <v>996</v>
      </c>
      <c r="N172" s="6">
        <v>22.327000000000002</v>
      </c>
      <c r="O172" s="6" t="str">
        <f t="shared" si="16"/>
        <v>n/a</v>
      </c>
      <c r="P172" s="6">
        <f t="shared" si="17"/>
        <v>0.22327000000000002</v>
      </c>
    </row>
    <row r="173" spans="1:16" x14ac:dyDescent="0.25">
      <c r="A173" s="6" t="s">
        <v>392</v>
      </c>
      <c r="B173" s="7" t="s">
        <v>746</v>
      </c>
      <c r="C173" s="116">
        <v>225.52</v>
      </c>
      <c r="D173" s="117">
        <v>65.930000000000007</v>
      </c>
      <c r="E173" s="118">
        <f t="shared" si="12"/>
        <v>14868.533600000002</v>
      </c>
      <c r="F173" s="119">
        <f t="shared" si="15"/>
        <v>8.5588644795687541E-4</v>
      </c>
      <c r="G173" s="120">
        <v>1.7593999999999999E-2</v>
      </c>
      <c r="H173" s="120">
        <v>9.7899999999999987E-2</v>
      </c>
      <c r="I173" s="121">
        <f t="shared" si="13"/>
        <v>1.5058466165353264E-5</v>
      </c>
      <c r="J173" s="121">
        <f t="shared" si="14"/>
        <v>8.3791283254978092E-5</v>
      </c>
      <c r="M173" s="6">
        <v>1.7593999999999999</v>
      </c>
      <c r="N173" s="6">
        <v>9.7899999999999991</v>
      </c>
      <c r="O173" s="6">
        <f t="shared" si="16"/>
        <v>1.7593999999999999E-2</v>
      </c>
      <c r="P173" s="6">
        <f t="shared" si="17"/>
        <v>9.7899999999999987E-2</v>
      </c>
    </row>
    <row r="174" spans="1:16" x14ac:dyDescent="0.25">
      <c r="A174" s="6" t="s">
        <v>394</v>
      </c>
      <c r="B174" s="7" t="s">
        <v>748</v>
      </c>
      <c r="C174" s="116">
        <v>336.68400000000003</v>
      </c>
      <c r="D174" s="117">
        <v>46.62</v>
      </c>
      <c r="E174" s="118">
        <f t="shared" si="12"/>
        <v>15696.20808</v>
      </c>
      <c r="F174" s="119">
        <f t="shared" si="15"/>
        <v>0</v>
      </c>
      <c r="G174" s="120">
        <v>5.3629999999999997E-3</v>
      </c>
      <c r="H174" s="120" t="s">
        <v>996</v>
      </c>
      <c r="I174" s="121">
        <f t="shared" si="13"/>
        <v>0</v>
      </c>
      <c r="J174" s="121" t="str">
        <f t="shared" si="14"/>
        <v>n/a</v>
      </c>
      <c r="M174" s="6">
        <v>0.5363</v>
      </c>
      <c r="N174" s="6" t="s">
        <v>996</v>
      </c>
      <c r="O174" s="6">
        <f t="shared" si="16"/>
        <v>5.3629999999999997E-3</v>
      </c>
      <c r="P174" s="6" t="str">
        <f t="shared" si="17"/>
        <v>n/a</v>
      </c>
    </row>
    <row r="175" spans="1:16" x14ac:dyDescent="0.25">
      <c r="A175" s="6" t="s">
        <v>395</v>
      </c>
      <c r="B175" s="7" t="s">
        <v>749</v>
      </c>
      <c r="C175" s="116">
        <v>857.33299999999997</v>
      </c>
      <c r="D175" s="117">
        <v>84.88</v>
      </c>
      <c r="E175" s="118">
        <f t="shared" si="12"/>
        <v>72770.425039999987</v>
      </c>
      <c r="F175" s="119">
        <f t="shared" si="15"/>
        <v>4.1889282614795079E-3</v>
      </c>
      <c r="G175" s="120">
        <v>1.6493999999999998E-2</v>
      </c>
      <c r="H175" s="120">
        <v>0.14550000000000002</v>
      </c>
      <c r="I175" s="121">
        <f t="shared" si="13"/>
        <v>6.9092182744843003E-5</v>
      </c>
      <c r="J175" s="121">
        <f t="shared" si="14"/>
        <v>6.094890620452685E-4</v>
      </c>
      <c r="M175" s="6">
        <v>1.6494</v>
      </c>
      <c r="N175" s="6">
        <v>14.55</v>
      </c>
      <c r="O175" s="6">
        <f t="shared" si="16"/>
        <v>1.6493999999999998E-2</v>
      </c>
      <c r="P175" s="6">
        <f t="shared" si="17"/>
        <v>0.14550000000000002</v>
      </c>
    </row>
    <row r="176" spans="1:16" x14ac:dyDescent="0.25">
      <c r="A176" s="6" t="s">
        <v>357</v>
      </c>
      <c r="B176" s="7" t="s">
        <v>715</v>
      </c>
      <c r="C176" s="116">
        <v>737.92399999999998</v>
      </c>
      <c r="D176" s="117">
        <v>17.95</v>
      </c>
      <c r="E176" s="118">
        <f t="shared" si="12"/>
        <v>13245.735799999999</v>
      </c>
      <c r="F176" s="119">
        <f t="shared" si="15"/>
        <v>7.624723506316197E-4</v>
      </c>
      <c r="G176" s="120">
        <v>4.4568000000000003E-2</v>
      </c>
      <c r="H176" s="120">
        <v>3.4000000000000002E-2</v>
      </c>
      <c r="I176" s="121">
        <f t="shared" si="13"/>
        <v>3.3981867722950031E-5</v>
      </c>
      <c r="J176" s="121">
        <f t="shared" si="14"/>
        <v>2.5924059921475071E-5</v>
      </c>
      <c r="M176" s="6">
        <v>4.4568000000000003</v>
      </c>
      <c r="N176" s="6">
        <v>3.4</v>
      </c>
      <c r="O176" s="6">
        <f t="shared" si="16"/>
        <v>4.4568000000000003E-2</v>
      </c>
      <c r="P176" s="6">
        <f t="shared" si="17"/>
        <v>3.4000000000000002E-2</v>
      </c>
    </row>
    <row r="177" spans="1:16" x14ac:dyDescent="0.25">
      <c r="A177" s="23" t="s">
        <v>402</v>
      </c>
      <c r="B177" s="7" t="s">
        <v>756</v>
      </c>
      <c r="C177" s="116">
        <v>514.16</v>
      </c>
      <c r="D177" s="117">
        <v>74.13</v>
      </c>
      <c r="E177" s="118">
        <f t="shared" si="12"/>
        <v>38114.680799999995</v>
      </c>
      <c r="F177" s="119">
        <f t="shared" si="15"/>
        <v>2.1940185658202438E-3</v>
      </c>
      <c r="G177" s="120">
        <v>1.8346000000000001E-2</v>
      </c>
      <c r="H177" s="120">
        <v>0.11776999999999999</v>
      </c>
      <c r="I177" s="121">
        <f t="shared" si="13"/>
        <v>4.0251464608538197E-5</v>
      </c>
      <c r="J177" s="121">
        <f t="shared" si="14"/>
        <v>2.5838956649665008E-4</v>
      </c>
      <c r="M177" s="6">
        <v>1.8346</v>
      </c>
      <c r="N177" s="6">
        <v>11.776999999999999</v>
      </c>
      <c r="O177" s="6">
        <f t="shared" si="16"/>
        <v>1.8346000000000001E-2</v>
      </c>
      <c r="P177" s="6">
        <f t="shared" si="17"/>
        <v>0.11776999999999999</v>
      </c>
    </row>
    <row r="178" spans="1:16" x14ac:dyDescent="0.25">
      <c r="A178" s="6" t="s">
        <v>403</v>
      </c>
      <c r="B178" s="7" t="s">
        <v>757</v>
      </c>
      <c r="C178" s="116">
        <v>319.363</v>
      </c>
      <c r="D178" s="117">
        <v>37.020000000000003</v>
      </c>
      <c r="E178" s="118">
        <f t="shared" si="12"/>
        <v>11822.818260000002</v>
      </c>
      <c r="F178" s="119">
        <f t="shared" si="15"/>
        <v>6.8056408235113962E-4</v>
      </c>
      <c r="G178" s="120">
        <v>1.0805E-2</v>
      </c>
      <c r="H178" s="120">
        <v>0.13675000000000001</v>
      </c>
      <c r="I178" s="121">
        <f t="shared" si="13"/>
        <v>7.3534949098040639E-6</v>
      </c>
      <c r="J178" s="121">
        <f t="shared" si="14"/>
        <v>9.3067138261518345E-5</v>
      </c>
      <c r="M178" s="6">
        <v>1.0805</v>
      </c>
      <c r="N178" s="6">
        <v>13.675000000000001</v>
      </c>
      <c r="O178" s="6">
        <f t="shared" si="16"/>
        <v>1.0805E-2</v>
      </c>
      <c r="P178" s="6">
        <f t="shared" si="17"/>
        <v>0.13675000000000001</v>
      </c>
    </row>
    <row r="179" spans="1:16" x14ac:dyDescent="0.25">
      <c r="A179" s="6" t="s">
        <v>404</v>
      </c>
      <c r="B179" s="7" t="s">
        <v>943</v>
      </c>
      <c r="C179" s="116">
        <v>342.55599999999998</v>
      </c>
      <c r="D179" s="117">
        <v>22.42</v>
      </c>
      <c r="E179" s="118">
        <f t="shared" si="12"/>
        <v>7680.1055200000001</v>
      </c>
      <c r="F179" s="119">
        <f t="shared" si="15"/>
        <v>4.4209458782450416E-4</v>
      </c>
      <c r="G179" s="120">
        <v>6.7796999999999996E-2</v>
      </c>
      <c r="H179" s="120">
        <v>0.25646999999999998</v>
      </c>
      <c r="I179" s="121">
        <f t="shared" si="13"/>
        <v>2.9972686770737908E-5</v>
      </c>
      <c r="J179" s="121">
        <f t="shared" si="14"/>
        <v>1.1338399893935057E-4</v>
      </c>
      <c r="M179" s="6">
        <v>6.7797000000000001</v>
      </c>
      <c r="N179" s="6">
        <v>25.646999999999998</v>
      </c>
      <c r="O179" s="6">
        <f t="shared" si="16"/>
        <v>6.7796999999999996E-2</v>
      </c>
      <c r="P179" s="6">
        <f t="shared" si="17"/>
        <v>0.25646999999999998</v>
      </c>
    </row>
    <row r="180" spans="1:16" x14ac:dyDescent="0.25">
      <c r="A180" s="6" t="s">
        <v>1152</v>
      </c>
      <c r="B180" s="7" t="s">
        <v>1153</v>
      </c>
      <c r="C180" s="116">
        <v>257.8</v>
      </c>
      <c r="D180" s="117">
        <v>134.19</v>
      </c>
      <c r="E180" s="118">
        <f t="shared" si="12"/>
        <v>34594.182000000001</v>
      </c>
      <c r="F180" s="119">
        <f t="shared" si="15"/>
        <v>1.991365950974054E-3</v>
      </c>
      <c r="G180" s="120">
        <v>1.2220999999999999E-2</v>
      </c>
      <c r="H180" s="120">
        <v>0.11</v>
      </c>
      <c r="I180" s="121">
        <f t="shared" si="13"/>
        <v>2.4336483286853911E-5</v>
      </c>
      <c r="J180" s="121">
        <f t="shared" si="14"/>
        <v>2.1905025460714595E-4</v>
      </c>
      <c r="M180" s="6">
        <v>1.2221</v>
      </c>
      <c r="N180" s="6">
        <v>11</v>
      </c>
      <c r="O180" s="6">
        <f t="shared" si="16"/>
        <v>1.2220999999999999E-2</v>
      </c>
      <c r="P180" s="6">
        <f t="shared" si="17"/>
        <v>0.11</v>
      </c>
    </row>
    <row r="181" spans="1:16" x14ac:dyDescent="0.25">
      <c r="A181" s="6" t="s">
        <v>1013</v>
      </c>
      <c r="B181" s="7" t="s">
        <v>763</v>
      </c>
      <c r="C181" s="116">
        <v>1368.885</v>
      </c>
      <c r="D181" s="117">
        <v>83.09</v>
      </c>
      <c r="E181" s="118">
        <f t="shared" si="12"/>
        <v>113740.65465</v>
      </c>
      <c r="F181" s="119">
        <f t="shared" si="15"/>
        <v>6.5473225212120548E-3</v>
      </c>
      <c r="G181" s="120">
        <v>2.07E-2</v>
      </c>
      <c r="H181" s="120">
        <v>6.6379999999999995E-2</v>
      </c>
      <c r="I181" s="121">
        <f t="shared" si="13"/>
        <v>1.3552957618908953E-4</v>
      </c>
      <c r="J181" s="121">
        <f t="shared" si="14"/>
        <v>4.3461126895805619E-4</v>
      </c>
      <c r="M181" s="6">
        <v>2.0699999999999998</v>
      </c>
      <c r="N181" s="6">
        <v>6.6379999999999999</v>
      </c>
      <c r="O181" s="6">
        <f t="shared" si="16"/>
        <v>2.07E-2</v>
      </c>
      <c r="P181" s="6">
        <f t="shared" si="17"/>
        <v>6.6379999999999995E-2</v>
      </c>
    </row>
    <row r="182" spans="1:16" x14ac:dyDescent="0.25">
      <c r="A182" s="6" t="s">
        <v>998</v>
      </c>
      <c r="B182" s="7" t="s">
        <v>650</v>
      </c>
      <c r="C182" s="116">
        <v>1035.7909999999999</v>
      </c>
      <c r="D182" s="117">
        <v>82.44</v>
      </c>
      <c r="E182" s="118">
        <f t="shared" si="12"/>
        <v>85390.61004</v>
      </c>
      <c r="F182" s="119">
        <f t="shared" si="15"/>
        <v>4.9153916507278361E-3</v>
      </c>
      <c r="G182" s="120">
        <v>2.426E-2</v>
      </c>
      <c r="H182" s="120">
        <v>0.12089999999999999</v>
      </c>
      <c r="I182" s="121">
        <f t="shared" si="13"/>
        <v>1.1924740144665731E-4</v>
      </c>
      <c r="J182" s="121">
        <f t="shared" si="14"/>
        <v>5.9427085057299532E-4</v>
      </c>
      <c r="M182" s="6">
        <v>2.4260000000000002</v>
      </c>
      <c r="N182" s="6">
        <v>12.09</v>
      </c>
      <c r="O182" s="6">
        <f t="shared" si="16"/>
        <v>2.426E-2</v>
      </c>
      <c r="P182" s="6">
        <f t="shared" si="17"/>
        <v>0.12089999999999999</v>
      </c>
    </row>
    <row r="183" spans="1:16" x14ac:dyDescent="0.25">
      <c r="A183" s="6" t="s">
        <v>413</v>
      </c>
      <c r="B183" s="7" t="s">
        <v>945</v>
      </c>
      <c r="C183" s="116">
        <v>1106.307</v>
      </c>
      <c r="D183" s="117">
        <v>27.67</v>
      </c>
      <c r="E183" s="118">
        <f t="shared" si="12"/>
        <v>30611.514690000004</v>
      </c>
      <c r="F183" s="119">
        <f t="shared" si="15"/>
        <v>0</v>
      </c>
      <c r="G183" s="120" t="s">
        <v>996</v>
      </c>
      <c r="H183" s="120">
        <v>0.1</v>
      </c>
      <c r="I183" s="121" t="str">
        <f t="shared" si="13"/>
        <v>n/a</v>
      </c>
      <c r="J183" s="121">
        <f t="shared" si="14"/>
        <v>0</v>
      </c>
      <c r="M183" s="6" t="s">
        <v>996</v>
      </c>
      <c r="N183" s="6">
        <v>10</v>
      </c>
      <c r="O183" s="6" t="str">
        <f t="shared" si="16"/>
        <v>n/a</v>
      </c>
      <c r="P183" s="6">
        <f t="shared" si="17"/>
        <v>0.1</v>
      </c>
    </row>
    <row r="184" spans="1:16" x14ac:dyDescent="0.25">
      <c r="A184" s="6" t="s">
        <v>423</v>
      </c>
      <c r="B184" s="7" t="s">
        <v>772</v>
      </c>
      <c r="C184" s="116">
        <v>163.893</v>
      </c>
      <c r="D184" s="117">
        <v>85.97</v>
      </c>
      <c r="E184" s="118">
        <f t="shared" si="12"/>
        <v>14089.88121</v>
      </c>
      <c r="F184" s="119">
        <f t="shared" si="15"/>
        <v>8.1106440657747309E-4</v>
      </c>
      <c r="G184" s="120">
        <v>2.1867999999999999E-2</v>
      </c>
      <c r="H184" s="120">
        <v>4.6500000000000007E-2</v>
      </c>
      <c r="I184" s="121">
        <f t="shared" si="13"/>
        <v>1.773635644303618E-5</v>
      </c>
      <c r="J184" s="121">
        <f t="shared" si="14"/>
        <v>3.7714494905852504E-5</v>
      </c>
      <c r="M184" s="6">
        <v>2.1867999999999999</v>
      </c>
      <c r="N184" s="6">
        <v>4.6500000000000004</v>
      </c>
      <c r="O184" s="6">
        <f t="shared" si="16"/>
        <v>2.1867999999999999E-2</v>
      </c>
      <c r="P184" s="6">
        <f t="shared" si="17"/>
        <v>4.6500000000000007E-2</v>
      </c>
    </row>
    <row r="185" spans="1:16" x14ac:dyDescent="0.25">
      <c r="A185" s="6" t="s">
        <v>424</v>
      </c>
      <c r="B185" s="7" t="s">
        <v>773</v>
      </c>
      <c r="C185" s="116">
        <v>172.54499999999999</v>
      </c>
      <c r="D185" s="117">
        <v>26.18</v>
      </c>
      <c r="E185" s="118">
        <f t="shared" si="12"/>
        <v>4517.2280999999994</v>
      </c>
      <c r="F185" s="119">
        <f t="shared" si="15"/>
        <v>0</v>
      </c>
      <c r="G185" s="120">
        <v>3.8197000000000002E-2</v>
      </c>
      <c r="H185" s="120" t="s">
        <v>996</v>
      </c>
      <c r="I185" s="121">
        <f t="shared" si="13"/>
        <v>0</v>
      </c>
      <c r="J185" s="121" t="str">
        <f t="shared" si="14"/>
        <v>n/a</v>
      </c>
      <c r="M185" s="6">
        <v>3.8197000000000001</v>
      </c>
      <c r="N185" s="6" t="s">
        <v>996</v>
      </c>
      <c r="O185" s="6">
        <f t="shared" si="16"/>
        <v>3.8197000000000002E-2</v>
      </c>
      <c r="P185" s="6" t="str">
        <f t="shared" si="17"/>
        <v>n/a</v>
      </c>
    </row>
    <row r="186" spans="1:16" x14ac:dyDescent="0.25">
      <c r="A186" s="6" t="s">
        <v>1014</v>
      </c>
      <c r="B186" s="7" t="s">
        <v>949</v>
      </c>
      <c r="C186" s="116">
        <v>535.49699999999996</v>
      </c>
      <c r="D186" s="117">
        <v>37.35</v>
      </c>
      <c r="E186" s="118">
        <f t="shared" si="12"/>
        <v>20000.81295</v>
      </c>
      <c r="F186" s="119">
        <f t="shared" si="15"/>
        <v>0</v>
      </c>
      <c r="G186" s="120" t="s">
        <v>996</v>
      </c>
      <c r="H186" s="120">
        <v>6.4669999999999991E-2</v>
      </c>
      <c r="I186" s="121" t="str">
        <f t="shared" si="13"/>
        <v>n/a</v>
      </c>
      <c r="J186" s="121">
        <f t="shared" si="14"/>
        <v>0</v>
      </c>
      <c r="M186" s="6" t="s">
        <v>996</v>
      </c>
      <c r="N186" s="6">
        <v>6.4669999999999996</v>
      </c>
      <c r="O186" s="6" t="str">
        <f t="shared" si="16"/>
        <v>n/a</v>
      </c>
      <c r="P186" s="6">
        <f t="shared" si="17"/>
        <v>6.4669999999999991E-2</v>
      </c>
    </row>
    <row r="187" spans="1:16" x14ac:dyDescent="0.25">
      <c r="A187" s="6" t="s">
        <v>387</v>
      </c>
      <c r="B187" s="7" t="s">
        <v>742</v>
      </c>
      <c r="C187" s="116">
        <v>102.3</v>
      </c>
      <c r="D187" s="117">
        <v>140.15</v>
      </c>
      <c r="E187" s="118">
        <f t="shared" si="12"/>
        <v>14337.344999999999</v>
      </c>
      <c r="F187" s="119">
        <f t="shared" si="15"/>
        <v>0</v>
      </c>
      <c r="G187" s="120" t="s">
        <v>996</v>
      </c>
      <c r="H187" s="120">
        <v>0.1003</v>
      </c>
      <c r="I187" s="121" t="str">
        <f t="shared" si="13"/>
        <v>n/a</v>
      </c>
      <c r="J187" s="121">
        <f t="shared" si="14"/>
        <v>0</v>
      </c>
      <c r="M187" s="6" t="s">
        <v>996</v>
      </c>
      <c r="N187" s="6">
        <v>10.029999999999999</v>
      </c>
      <c r="O187" s="6" t="str">
        <f t="shared" si="16"/>
        <v>n/a</v>
      </c>
      <c r="P187" s="6">
        <f t="shared" si="17"/>
        <v>0.1003</v>
      </c>
    </row>
    <row r="188" spans="1:16" x14ac:dyDescent="0.25">
      <c r="A188" s="6" t="s">
        <v>1154</v>
      </c>
      <c r="B188" s="7" t="s">
        <v>774</v>
      </c>
      <c r="C188" s="116">
        <v>483.09</v>
      </c>
      <c r="D188" s="117">
        <v>47.74</v>
      </c>
      <c r="E188" s="118">
        <f t="shared" si="12"/>
        <v>23062.7166</v>
      </c>
      <c r="F188" s="119">
        <f t="shared" si="15"/>
        <v>1.3275731906077183E-3</v>
      </c>
      <c r="G188" s="120">
        <v>1.592E-2</v>
      </c>
      <c r="H188" s="120">
        <v>0.11803000000000001</v>
      </c>
      <c r="I188" s="121">
        <f t="shared" si="13"/>
        <v>2.1134965194474876E-5</v>
      </c>
      <c r="J188" s="121">
        <f t="shared" si="14"/>
        <v>1.5669346368742899E-4</v>
      </c>
      <c r="M188" s="6">
        <v>1.5920000000000001</v>
      </c>
      <c r="N188" s="6">
        <v>11.803000000000001</v>
      </c>
      <c r="O188" s="6">
        <f t="shared" si="16"/>
        <v>1.592E-2</v>
      </c>
      <c r="P188" s="6">
        <f t="shared" si="17"/>
        <v>0.11803000000000001</v>
      </c>
    </row>
    <row r="189" spans="1:16" x14ac:dyDescent="0.25">
      <c r="A189" s="6" t="s">
        <v>430</v>
      </c>
      <c r="B189" s="7" t="s">
        <v>776</v>
      </c>
      <c r="C189" s="116">
        <v>533.23299999999995</v>
      </c>
      <c r="D189" s="117">
        <v>33.81</v>
      </c>
      <c r="E189" s="118">
        <f t="shared" si="12"/>
        <v>18028.60773</v>
      </c>
      <c r="F189" s="119">
        <f t="shared" si="15"/>
        <v>0</v>
      </c>
      <c r="G189" s="120">
        <v>5.9150000000000001E-3</v>
      </c>
      <c r="H189" s="120">
        <v>-0.1295</v>
      </c>
      <c r="I189" s="121">
        <f t="shared" si="13"/>
        <v>0</v>
      </c>
      <c r="J189" s="121">
        <f t="shared" si="14"/>
        <v>0</v>
      </c>
      <c r="M189" s="6">
        <v>0.59150000000000003</v>
      </c>
      <c r="N189" s="6">
        <v>-12.95</v>
      </c>
      <c r="O189" s="6">
        <f t="shared" si="16"/>
        <v>5.9150000000000001E-3</v>
      </c>
      <c r="P189" s="6">
        <f t="shared" si="17"/>
        <v>-0.1295</v>
      </c>
    </row>
    <row r="190" spans="1:16" x14ac:dyDescent="0.25">
      <c r="A190" s="6" t="s">
        <v>528</v>
      </c>
      <c r="B190" s="7" t="s">
        <v>975</v>
      </c>
      <c r="C190" s="116">
        <v>1052.3140000000001</v>
      </c>
      <c r="D190" s="117">
        <v>30.54</v>
      </c>
      <c r="E190" s="118">
        <f t="shared" si="12"/>
        <v>32137.669560000002</v>
      </c>
      <c r="F190" s="119">
        <f t="shared" si="15"/>
        <v>1.8499602304641661E-3</v>
      </c>
      <c r="G190" s="120">
        <v>1.1788E-2</v>
      </c>
      <c r="H190" s="120">
        <v>9.8369999999999999E-2</v>
      </c>
      <c r="I190" s="121">
        <f t="shared" si="13"/>
        <v>2.1807331196711589E-5</v>
      </c>
      <c r="J190" s="121">
        <f t="shared" si="14"/>
        <v>1.8198058787076001E-4</v>
      </c>
      <c r="M190" s="6">
        <v>1.1788000000000001</v>
      </c>
      <c r="N190" s="6">
        <v>9.8369999999999997</v>
      </c>
      <c r="O190" s="6">
        <f t="shared" si="16"/>
        <v>1.1788E-2</v>
      </c>
      <c r="P190" s="6">
        <f t="shared" si="17"/>
        <v>9.8369999999999999E-2</v>
      </c>
    </row>
    <row r="191" spans="1:16" x14ac:dyDescent="0.25">
      <c r="A191" s="6" t="s">
        <v>433</v>
      </c>
      <c r="B191" s="7" t="s">
        <v>779</v>
      </c>
      <c r="C191" s="116">
        <v>1321.521</v>
      </c>
      <c r="D191" s="117">
        <v>55.41</v>
      </c>
      <c r="E191" s="118">
        <f t="shared" si="12"/>
        <v>73225.478609999991</v>
      </c>
      <c r="F191" s="119">
        <f t="shared" si="15"/>
        <v>4.2151227870551432E-3</v>
      </c>
      <c r="G191" s="120">
        <v>1.2993999999999999E-2</v>
      </c>
      <c r="H191" s="120">
        <v>0.12132999999999999</v>
      </c>
      <c r="I191" s="121">
        <f t="shared" si="13"/>
        <v>5.4771305494994523E-5</v>
      </c>
      <c r="J191" s="121">
        <f t="shared" si="14"/>
        <v>5.1142084775340053E-4</v>
      </c>
      <c r="M191" s="6">
        <v>1.2993999999999999</v>
      </c>
      <c r="N191" s="6">
        <v>12.132999999999999</v>
      </c>
      <c r="O191" s="6">
        <f t="shared" si="16"/>
        <v>1.2993999999999999E-2</v>
      </c>
      <c r="P191" s="6">
        <f t="shared" si="17"/>
        <v>0.12132999999999999</v>
      </c>
    </row>
    <row r="192" spans="1:16" x14ac:dyDescent="0.25">
      <c r="A192" s="6" t="s">
        <v>434</v>
      </c>
      <c r="B192" s="7" t="s">
        <v>780</v>
      </c>
      <c r="C192" s="116">
        <v>323.70400000000001</v>
      </c>
      <c r="D192" s="117">
        <v>24.25</v>
      </c>
      <c r="E192" s="118">
        <f t="shared" si="12"/>
        <v>7849.8220000000001</v>
      </c>
      <c r="F192" s="119">
        <f t="shared" si="15"/>
        <v>4.5186408084478048E-4</v>
      </c>
      <c r="G192" s="120">
        <v>2.8865999999999999E-2</v>
      </c>
      <c r="H192" s="120">
        <v>6.3799999999999996E-2</v>
      </c>
      <c r="I192" s="121">
        <f t="shared" si="13"/>
        <v>1.3043508557665433E-5</v>
      </c>
      <c r="J192" s="121">
        <f t="shared" si="14"/>
        <v>2.8828928357896991E-5</v>
      </c>
      <c r="M192" s="6">
        <v>2.8866000000000001</v>
      </c>
      <c r="N192" s="6">
        <v>6.38</v>
      </c>
      <c r="O192" s="6">
        <f t="shared" si="16"/>
        <v>2.8865999999999999E-2</v>
      </c>
      <c r="P192" s="6">
        <f t="shared" si="17"/>
        <v>6.3799999999999996E-2</v>
      </c>
    </row>
    <row r="193" spans="1:16" x14ac:dyDescent="0.25">
      <c r="A193" s="6" t="s">
        <v>435</v>
      </c>
      <c r="B193" s="7" t="s">
        <v>781</v>
      </c>
      <c r="C193" s="116">
        <v>435.48200000000003</v>
      </c>
      <c r="D193" s="117">
        <v>32.33</v>
      </c>
      <c r="E193" s="118">
        <f t="shared" si="12"/>
        <v>14079.13306</v>
      </c>
      <c r="F193" s="119">
        <f t="shared" si="15"/>
        <v>8.1044570427816858E-4</v>
      </c>
      <c r="G193" s="120">
        <v>1.2372000000000001E-2</v>
      </c>
      <c r="H193" s="120">
        <v>0.10617000000000001</v>
      </c>
      <c r="I193" s="121">
        <f t="shared" si="13"/>
        <v>1.0026834253329503E-5</v>
      </c>
      <c r="J193" s="121">
        <f t="shared" si="14"/>
        <v>8.6045020423213163E-5</v>
      </c>
      <c r="M193" s="6">
        <v>1.2372000000000001</v>
      </c>
      <c r="N193" s="6">
        <v>10.617000000000001</v>
      </c>
      <c r="O193" s="6">
        <f t="shared" si="16"/>
        <v>1.2372000000000001E-2</v>
      </c>
      <c r="P193" s="6">
        <f t="shared" si="17"/>
        <v>0.10617000000000001</v>
      </c>
    </row>
    <row r="194" spans="1:16" x14ac:dyDescent="0.25">
      <c r="A194" s="6" t="s">
        <v>437</v>
      </c>
      <c r="B194" s="7" t="s">
        <v>783</v>
      </c>
      <c r="C194" s="116">
        <v>289.78300000000002</v>
      </c>
      <c r="D194" s="117">
        <v>117.49</v>
      </c>
      <c r="E194" s="118">
        <f t="shared" si="12"/>
        <v>34046.604670000001</v>
      </c>
      <c r="F194" s="119">
        <f t="shared" si="15"/>
        <v>1.9598454238956196E-3</v>
      </c>
      <c r="G194" s="120">
        <v>2.0767999999999998E-2</v>
      </c>
      <c r="H194" s="120">
        <v>0.11667</v>
      </c>
      <c r="I194" s="121">
        <f t="shared" si="13"/>
        <v>4.0702069763464222E-5</v>
      </c>
      <c r="J194" s="121">
        <f t="shared" si="14"/>
        <v>2.2865516560590193E-4</v>
      </c>
      <c r="M194" s="6">
        <v>2.0768</v>
      </c>
      <c r="N194" s="6">
        <v>11.667</v>
      </c>
      <c r="O194" s="6">
        <f t="shared" si="16"/>
        <v>2.0767999999999998E-2</v>
      </c>
      <c r="P194" s="6">
        <f t="shared" si="17"/>
        <v>0.11667</v>
      </c>
    </row>
    <row r="195" spans="1:16" x14ac:dyDescent="0.25">
      <c r="A195" s="6" t="s">
        <v>1015</v>
      </c>
      <c r="B195" s="7" t="s">
        <v>1016</v>
      </c>
      <c r="C195" s="116">
        <v>316.88600000000002</v>
      </c>
      <c r="D195" s="117">
        <v>59.4</v>
      </c>
      <c r="E195" s="118">
        <f t="shared" si="12"/>
        <v>18823.028399999999</v>
      </c>
      <c r="F195" s="119">
        <f t="shared" si="15"/>
        <v>1.0835214386620739E-3</v>
      </c>
      <c r="G195" s="120">
        <v>3.1987000000000002E-2</v>
      </c>
      <c r="H195" s="120">
        <v>0.06</v>
      </c>
      <c r="I195" s="121">
        <f t="shared" si="13"/>
        <v>3.465860025848376E-5</v>
      </c>
      <c r="J195" s="121">
        <f t="shared" si="14"/>
        <v>6.5011286319724431E-5</v>
      </c>
      <c r="M195" s="6">
        <v>3.1987000000000001</v>
      </c>
      <c r="N195" s="6">
        <v>6</v>
      </c>
      <c r="O195" s="6">
        <f t="shared" si="16"/>
        <v>3.1987000000000002E-2</v>
      </c>
      <c r="P195" s="6">
        <f t="shared" si="17"/>
        <v>0.06</v>
      </c>
    </row>
    <row r="196" spans="1:16" x14ac:dyDescent="0.25">
      <c r="A196" s="6" t="s">
        <v>439</v>
      </c>
      <c r="B196" s="7" t="s">
        <v>784</v>
      </c>
      <c r="C196" s="116">
        <v>174.57300000000001</v>
      </c>
      <c r="D196" s="117">
        <v>245.96</v>
      </c>
      <c r="E196" s="118">
        <f t="shared" si="12"/>
        <v>42937.975080000004</v>
      </c>
      <c r="F196" s="119">
        <f t="shared" si="15"/>
        <v>2.4716647897060967E-3</v>
      </c>
      <c r="G196" s="120">
        <v>1.4637000000000001E-2</v>
      </c>
      <c r="H196" s="120">
        <v>5.9630000000000002E-2</v>
      </c>
      <c r="I196" s="121">
        <f t="shared" si="13"/>
        <v>3.6177757526928138E-5</v>
      </c>
      <c r="J196" s="121">
        <f t="shared" si="14"/>
        <v>1.4738537141017455E-4</v>
      </c>
      <c r="M196" s="6">
        <v>1.4637</v>
      </c>
      <c r="N196" s="6">
        <v>5.9630000000000001</v>
      </c>
      <c r="O196" s="6">
        <f t="shared" si="16"/>
        <v>1.4637000000000001E-2</v>
      </c>
      <c r="P196" s="6">
        <f t="shared" si="17"/>
        <v>5.9630000000000002E-2</v>
      </c>
    </row>
    <row r="197" spans="1:16" x14ac:dyDescent="0.25">
      <c r="A197" s="6" t="s">
        <v>551</v>
      </c>
      <c r="B197" s="7" t="s">
        <v>878</v>
      </c>
      <c r="C197" s="116">
        <v>5003.8720000000003</v>
      </c>
      <c r="D197" s="117">
        <v>53.84</v>
      </c>
      <c r="E197" s="118">
        <f t="shared" si="12"/>
        <v>269408.46848000004</v>
      </c>
      <c r="F197" s="119">
        <f t="shared" si="15"/>
        <v>1.5508123621340105E-2</v>
      </c>
      <c r="G197" s="120">
        <v>2.8232E-2</v>
      </c>
      <c r="H197" s="120">
        <v>0.11028</v>
      </c>
      <c r="I197" s="121">
        <f t="shared" si="13"/>
        <v>4.3782534607767382E-4</v>
      </c>
      <c r="J197" s="121">
        <f t="shared" si="14"/>
        <v>1.7102358729613868E-3</v>
      </c>
      <c r="M197" s="6">
        <v>2.8231999999999999</v>
      </c>
      <c r="N197" s="6">
        <v>11.028</v>
      </c>
      <c r="O197" s="6">
        <f t="shared" si="16"/>
        <v>2.8232E-2</v>
      </c>
      <c r="P197" s="6">
        <f t="shared" si="17"/>
        <v>0.11028</v>
      </c>
    </row>
    <row r="198" spans="1:16" x14ac:dyDescent="0.25">
      <c r="A198" s="6" t="s">
        <v>441</v>
      </c>
      <c r="B198" s="7" t="s">
        <v>786</v>
      </c>
      <c r="C198" s="116">
        <v>318.89</v>
      </c>
      <c r="D198" s="117">
        <v>61.33</v>
      </c>
      <c r="E198" s="118">
        <f t="shared" si="12"/>
        <v>19557.523699999998</v>
      </c>
      <c r="F198" s="119">
        <f t="shared" si="15"/>
        <v>1.1258016385977299E-3</v>
      </c>
      <c r="G198" s="120">
        <v>2.4621000000000001E-2</v>
      </c>
      <c r="H198" s="120">
        <v>6.633E-2</v>
      </c>
      <c r="I198" s="121">
        <f t="shared" si="13"/>
        <v>2.7718362143914708E-5</v>
      </c>
      <c r="J198" s="121">
        <f t="shared" si="14"/>
        <v>7.4674422688187427E-5</v>
      </c>
      <c r="M198" s="6">
        <v>2.4621</v>
      </c>
      <c r="N198" s="6">
        <v>6.633</v>
      </c>
      <c r="O198" s="6">
        <f t="shared" si="16"/>
        <v>2.4621000000000001E-2</v>
      </c>
      <c r="P198" s="6">
        <f t="shared" si="17"/>
        <v>6.633E-2</v>
      </c>
    </row>
    <row r="199" spans="1:16" x14ac:dyDescent="0.25">
      <c r="A199" s="23" t="s">
        <v>475</v>
      </c>
      <c r="B199" s="7" t="s">
        <v>814</v>
      </c>
      <c r="C199" s="116">
        <v>78.203000000000003</v>
      </c>
      <c r="D199" s="117">
        <v>101.03</v>
      </c>
      <c r="E199" s="118">
        <f t="shared" si="12"/>
        <v>7900.8490900000006</v>
      </c>
      <c r="F199" s="119">
        <f t="shared" si="15"/>
        <v>4.5480138427930858E-4</v>
      </c>
      <c r="G199" s="120">
        <v>1.485E-3</v>
      </c>
      <c r="H199" s="120">
        <v>8.3130000000000009E-2</v>
      </c>
      <c r="I199" s="121">
        <f t="shared" si="13"/>
        <v>6.7538005565477319E-7</v>
      </c>
      <c r="J199" s="121">
        <f t="shared" si="14"/>
        <v>3.7807639075138924E-5</v>
      </c>
      <c r="M199" s="6">
        <v>0.14849999999999999</v>
      </c>
      <c r="N199" s="6">
        <v>8.3130000000000006</v>
      </c>
      <c r="O199" s="6">
        <f t="shared" si="16"/>
        <v>1.485E-3</v>
      </c>
      <c r="P199" s="6">
        <f t="shared" si="17"/>
        <v>8.3130000000000009E-2</v>
      </c>
    </row>
    <row r="200" spans="1:16" x14ac:dyDescent="0.25">
      <c r="A200" s="6" t="s">
        <v>444</v>
      </c>
      <c r="B200" s="7" t="s">
        <v>787</v>
      </c>
      <c r="C200" s="116">
        <v>764.57899999999995</v>
      </c>
      <c r="D200" s="117">
        <v>61.54</v>
      </c>
      <c r="E200" s="118">
        <f t="shared" si="12"/>
        <v>47052.191659999997</v>
      </c>
      <c r="F200" s="119">
        <f t="shared" si="15"/>
        <v>0</v>
      </c>
      <c r="G200" s="120">
        <v>4.9398999999999998E-2</v>
      </c>
      <c r="H200" s="120">
        <v>-1.9900000000000001E-2</v>
      </c>
      <c r="I200" s="121">
        <f t="shared" si="13"/>
        <v>0</v>
      </c>
      <c r="J200" s="121">
        <f t="shared" si="14"/>
        <v>0</v>
      </c>
      <c r="M200" s="6">
        <v>4.9398999999999997</v>
      </c>
      <c r="N200" s="6">
        <v>-1.99</v>
      </c>
      <c r="O200" s="6">
        <f t="shared" si="16"/>
        <v>4.9398999999999998E-2</v>
      </c>
      <c r="P200" s="6">
        <f t="shared" si="17"/>
        <v>-1.9900000000000001E-2</v>
      </c>
    </row>
    <row r="201" spans="1:16" x14ac:dyDescent="0.25">
      <c r="A201" s="6" t="s">
        <v>445</v>
      </c>
      <c r="B201" s="7" t="s">
        <v>788</v>
      </c>
      <c r="C201" s="116">
        <v>232.92099999999999</v>
      </c>
      <c r="D201" s="117">
        <v>82.12</v>
      </c>
      <c r="E201" s="118">
        <f t="shared" si="12"/>
        <v>19127.472519999999</v>
      </c>
      <c r="F201" s="119">
        <f t="shared" si="15"/>
        <v>1.1010463408130269E-3</v>
      </c>
      <c r="G201" s="120">
        <v>2.6790000000000001E-2</v>
      </c>
      <c r="H201" s="120">
        <v>7.4800000000000005E-2</v>
      </c>
      <c r="I201" s="121">
        <f t="shared" si="13"/>
        <v>2.9497031470380994E-5</v>
      </c>
      <c r="J201" s="121">
        <f t="shared" si="14"/>
        <v>8.2358266292814419E-5</v>
      </c>
      <c r="M201" s="6">
        <v>2.6790000000000003</v>
      </c>
      <c r="N201" s="6">
        <v>7.48</v>
      </c>
      <c r="O201" s="6">
        <f t="shared" si="16"/>
        <v>2.6790000000000001E-2</v>
      </c>
      <c r="P201" s="6">
        <f t="shared" si="17"/>
        <v>7.4800000000000005E-2</v>
      </c>
    </row>
    <row r="202" spans="1:16" x14ac:dyDescent="0.25">
      <c r="A202" s="6" t="s">
        <v>446</v>
      </c>
      <c r="B202" s="7" t="s">
        <v>789</v>
      </c>
      <c r="C202" s="116">
        <v>210.905</v>
      </c>
      <c r="D202" s="117">
        <v>52.61</v>
      </c>
      <c r="E202" s="118">
        <f t="shared" si="12"/>
        <v>11095.71205</v>
      </c>
      <c r="F202" s="119">
        <f t="shared" si="15"/>
        <v>6.3870922509983092E-4</v>
      </c>
      <c r="G202" s="120">
        <v>4.6759000000000002E-2</v>
      </c>
      <c r="H202" s="120">
        <v>0.251</v>
      </c>
      <c r="I202" s="121">
        <f t="shared" si="13"/>
        <v>2.9865404656442997E-5</v>
      </c>
      <c r="J202" s="121">
        <f t="shared" si="14"/>
        <v>1.6031601550005756E-4</v>
      </c>
      <c r="M202" s="6">
        <v>4.6759000000000004</v>
      </c>
      <c r="N202" s="6">
        <v>25.1</v>
      </c>
      <c r="O202" s="6">
        <f t="shared" si="16"/>
        <v>4.6759000000000002E-2</v>
      </c>
      <c r="P202" s="6">
        <f t="shared" si="17"/>
        <v>0.251</v>
      </c>
    </row>
    <row r="203" spans="1:16" x14ac:dyDescent="0.25">
      <c r="A203" s="6" t="s">
        <v>1348</v>
      </c>
      <c r="B203" s="7" t="s">
        <v>1349</v>
      </c>
      <c r="C203" s="116">
        <v>143.68600000000001</v>
      </c>
      <c r="D203" s="117">
        <v>74.52</v>
      </c>
      <c r="E203" s="118">
        <f t="shared" si="12"/>
        <v>10707.48072</v>
      </c>
      <c r="F203" s="119">
        <f t="shared" si="15"/>
        <v>6.163612287904118E-4</v>
      </c>
      <c r="G203" s="120">
        <v>1.1809E-2</v>
      </c>
      <c r="H203" s="120">
        <v>0.13500000000000001</v>
      </c>
      <c r="I203" s="121">
        <f t="shared" si="13"/>
        <v>7.278609750785973E-6</v>
      </c>
      <c r="J203" s="121">
        <f t="shared" si="14"/>
        <v>8.3208765886705598E-5</v>
      </c>
      <c r="M203" s="6">
        <v>1.1809000000000001</v>
      </c>
      <c r="N203" s="6">
        <v>13.5</v>
      </c>
      <c r="O203" s="6">
        <f t="shared" si="16"/>
        <v>1.1809E-2</v>
      </c>
      <c r="P203" s="6">
        <f t="shared" si="17"/>
        <v>0.13500000000000001</v>
      </c>
    </row>
    <row r="204" spans="1:16" x14ac:dyDescent="0.25">
      <c r="A204" s="6" t="s">
        <v>457</v>
      </c>
      <c r="B204" s="7" t="s">
        <v>797</v>
      </c>
      <c r="C204" s="116">
        <v>510.61</v>
      </c>
      <c r="D204" s="117">
        <v>67.05</v>
      </c>
      <c r="E204" s="118">
        <f t="shared" si="12"/>
        <v>34236.400499999996</v>
      </c>
      <c r="F204" s="119">
        <f t="shared" si="15"/>
        <v>1.9707707567593611E-3</v>
      </c>
      <c r="G204" s="120">
        <v>2.9232000000000001E-2</v>
      </c>
      <c r="H204" s="120">
        <v>6.5000000000000002E-2</v>
      </c>
      <c r="I204" s="121">
        <f t="shared" si="13"/>
        <v>5.7609570761589647E-5</v>
      </c>
      <c r="J204" s="121">
        <f t="shared" si="14"/>
        <v>1.2810009918935846E-4</v>
      </c>
      <c r="M204" s="6">
        <v>2.9232</v>
      </c>
      <c r="N204" s="6">
        <v>6.5</v>
      </c>
      <c r="O204" s="6">
        <f t="shared" si="16"/>
        <v>2.9232000000000001E-2</v>
      </c>
      <c r="P204" s="6">
        <f t="shared" si="17"/>
        <v>6.5000000000000002E-2</v>
      </c>
    </row>
    <row r="205" spans="1:16" x14ac:dyDescent="0.25">
      <c r="A205" s="6" t="s">
        <v>995</v>
      </c>
      <c r="B205" s="7" t="s">
        <v>791</v>
      </c>
      <c r="C205" s="116">
        <v>133.29400000000001</v>
      </c>
      <c r="D205" s="117">
        <v>160.80000000000001</v>
      </c>
      <c r="E205" s="118">
        <f t="shared" si="12"/>
        <v>21433.675200000001</v>
      </c>
      <c r="F205" s="119">
        <f t="shared" si="15"/>
        <v>1.2337996891360807E-3</v>
      </c>
      <c r="G205" s="120">
        <v>1.6417999999999999E-2</v>
      </c>
      <c r="H205" s="120">
        <v>9.8119999999999999E-2</v>
      </c>
      <c r="I205" s="121">
        <f t="shared" si="13"/>
        <v>2.0256523296236171E-5</v>
      </c>
      <c r="J205" s="121">
        <f t="shared" si="14"/>
        <v>1.2106042549803224E-4</v>
      </c>
      <c r="M205" s="6">
        <v>1.6417999999999999</v>
      </c>
      <c r="N205" s="6">
        <v>9.8119999999999994</v>
      </c>
      <c r="O205" s="6">
        <f t="shared" si="16"/>
        <v>1.6417999999999999E-2</v>
      </c>
      <c r="P205" s="6">
        <f t="shared" si="17"/>
        <v>9.8119999999999999E-2</v>
      </c>
    </row>
    <row r="206" spans="1:16" x14ac:dyDescent="0.25">
      <c r="A206" s="6" t="s">
        <v>464</v>
      </c>
      <c r="B206" s="7" t="s">
        <v>804</v>
      </c>
      <c r="C206" s="116">
        <v>680.79100000000005</v>
      </c>
      <c r="D206" s="117">
        <v>38.11</v>
      </c>
      <c r="E206" s="118">
        <f t="shared" ref="E206:E269" si="18">C206*D206</f>
        <v>25944.945010000003</v>
      </c>
      <c r="F206" s="119">
        <f t="shared" si="15"/>
        <v>1.49348465857086E-3</v>
      </c>
      <c r="G206" s="120">
        <v>4.1459000000000003E-2</v>
      </c>
      <c r="H206" s="120">
        <v>1.7000000000000001E-2</v>
      </c>
      <c r="I206" s="121">
        <f t="shared" ref="I206:I269" si="19">IF(G206="n/a","n/a",$F206*G206)</f>
        <v>6.1918380459689292E-5</v>
      </c>
      <c r="J206" s="121">
        <f t="shared" ref="J206:J269" si="20">IF(H206="n/a","n/a",$F206*H206)</f>
        <v>2.5389239195704622E-5</v>
      </c>
      <c r="M206" s="6">
        <v>4.1459000000000001</v>
      </c>
      <c r="N206" s="6">
        <v>1.7</v>
      </c>
      <c r="O206" s="6">
        <f t="shared" si="16"/>
        <v>4.1459000000000003E-2</v>
      </c>
      <c r="P206" s="6">
        <f t="shared" si="17"/>
        <v>1.7000000000000001E-2</v>
      </c>
    </row>
    <row r="207" spans="1:16" x14ac:dyDescent="0.25">
      <c r="A207" s="6" t="s">
        <v>453</v>
      </c>
      <c r="B207" s="7" t="s">
        <v>793</v>
      </c>
      <c r="C207" s="116">
        <v>1428.501</v>
      </c>
      <c r="D207" s="117">
        <v>113.28</v>
      </c>
      <c r="E207" s="118">
        <f t="shared" si="18"/>
        <v>161820.59328</v>
      </c>
      <c r="F207" s="119">
        <f t="shared" ref="F207:F270" si="21">IF(OR(G207="n/a",H207="n/a",H207&lt;0%),0%,E207/SUMIFS(E$14:E$518,G$14:G$518,"&lt;&gt;n/a",$H$14:$H$518,"&lt;&gt;n/a",$H$14:$H$518,"&gt;=0"))</f>
        <v>9.3149772879212115E-3</v>
      </c>
      <c r="G207" s="120">
        <v>2.6570999999999997E-2</v>
      </c>
      <c r="H207" s="120">
        <v>6.3949999999999993E-2</v>
      </c>
      <c r="I207" s="121">
        <f t="shared" si="19"/>
        <v>2.475082615173545E-4</v>
      </c>
      <c r="J207" s="121">
        <f t="shared" si="20"/>
        <v>5.9569279756256145E-4</v>
      </c>
      <c r="M207" s="6">
        <v>2.6570999999999998</v>
      </c>
      <c r="N207" s="6">
        <v>6.3949999999999996</v>
      </c>
      <c r="O207" s="6">
        <f t="shared" ref="O207:O270" si="22">IFERROR(M207/100, "n/a")</f>
        <v>2.6570999999999997E-2</v>
      </c>
      <c r="P207" s="6">
        <f t="shared" ref="P207:P270" si="23">IFERROR(N207/100, "n/a")</f>
        <v>6.3949999999999993E-2</v>
      </c>
    </row>
    <row r="208" spans="1:16" x14ac:dyDescent="0.25">
      <c r="A208" s="6" t="s">
        <v>315</v>
      </c>
      <c r="B208" s="7" t="s">
        <v>681</v>
      </c>
      <c r="C208" s="116">
        <v>925.76300000000003</v>
      </c>
      <c r="D208" s="117">
        <v>34.630000000000003</v>
      </c>
      <c r="E208" s="118">
        <f t="shared" si="18"/>
        <v>32059.172690000003</v>
      </c>
      <c r="F208" s="119">
        <f t="shared" si="21"/>
        <v>1.8454416673665899E-3</v>
      </c>
      <c r="G208" s="120">
        <v>3.7828000000000001E-2</v>
      </c>
      <c r="H208" s="120">
        <v>4.333E-2</v>
      </c>
      <c r="I208" s="121">
        <f t="shared" si="19"/>
        <v>6.9809367393143369E-5</v>
      </c>
      <c r="J208" s="121">
        <f t="shared" si="20"/>
        <v>7.9962987446994348E-5</v>
      </c>
      <c r="M208" s="6">
        <v>3.7827999999999999</v>
      </c>
      <c r="N208" s="6">
        <v>4.3330000000000002</v>
      </c>
      <c r="O208" s="6">
        <f t="shared" si="22"/>
        <v>3.7828000000000001E-2</v>
      </c>
      <c r="P208" s="6">
        <f t="shared" si="23"/>
        <v>4.333E-2</v>
      </c>
    </row>
    <row r="209" spans="1:16" x14ac:dyDescent="0.25">
      <c r="A209" s="6" t="s">
        <v>271</v>
      </c>
      <c r="B209" s="7" t="s">
        <v>642</v>
      </c>
      <c r="C209" s="116">
        <v>1237.0509999999999</v>
      </c>
      <c r="D209" s="117">
        <v>47.91</v>
      </c>
      <c r="E209" s="118">
        <f t="shared" si="18"/>
        <v>59267.113409999991</v>
      </c>
      <c r="F209" s="119">
        <f t="shared" si="21"/>
        <v>3.411628916596199E-3</v>
      </c>
      <c r="G209" s="120">
        <v>2.2124999999999999E-2</v>
      </c>
      <c r="H209" s="120">
        <v>7.0000000000000007E-2</v>
      </c>
      <c r="I209" s="121">
        <f t="shared" si="19"/>
        <v>7.5482289779690905E-5</v>
      </c>
      <c r="J209" s="121">
        <f t="shared" si="20"/>
        <v>2.3881402416173395E-4</v>
      </c>
      <c r="M209" s="6">
        <v>2.2124999999999999</v>
      </c>
      <c r="N209" s="6">
        <v>7</v>
      </c>
      <c r="O209" s="6">
        <f t="shared" si="22"/>
        <v>2.2124999999999999E-2</v>
      </c>
      <c r="P209" s="6">
        <f t="shared" si="23"/>
        <v>7.0000000000000007E-2</v>
      </c>
    </row>
    <row r="210" spans="1:16" x14ac:dyDescent="0.25">
      <c r="A210" s="6" t="s">
        <v>474</v>
      </c>
      <c r="B210" s="7" t="s">
        <v>813</v>
      </c>
      <c r="C210" s="116">
        <v>315.50400000000002</v>
      </c>
      <c r="D210" s="117">
        <v>22.67</v>
      </c>
      <c r="E210" s="118">
        <f t="shared" si="18"/>
        <v>7152.4756800000014</v>
      </c>
      <c r="F210" s="119">
        <f t="shared" si="21"/>
        <v>4.1172231025211106E-4</v>
      </c>
      <c r="G210" s="120">
        <v>1.5880000000000002E-2</v>
      </c>
      <c r="H210" s="120">
        <v>0.17053000000000001</v>
      </c>
      <c r="I210" s="121">
        <f t="shared" si="19"/>
        <v>6.5381502868035241E-6</v>
      </c>
      <c r="J210" s="121">
        <f t="shared" si="20"/>
        <v>7.0211005567292499E-5</v>
      </c>
      <c r="M210" s="6">
        <v>1.5880000000000001</v>
      </c>
      <c r="N210" s="6">
        <v>17.053000000000001</v>
      </c>
      <c r="O210" s="6">
        <f t="shared" si="22"/>
        <v>1.5880000000000002E-2</v>
      </c>
      <c r="P210" s="6">
        <f t="shared" si="23"/>
        <v>0.17053000000000001</v>
      </c>
    </row>
    <row r="211" spans="1:16" x14ac:dyDescent="0.25">
      <c r="A211" s="6" t="s">
        <v>460</v>
      </c>
      <c r="B211" s="7" t="s">
        <v>800</v>
      </c>
      <c r="C211" s="116">
        <v>111.556</v>
      </c>
      <c r="D211" s="117">
        <v>85.09</v>
      </c>
      <c r="E211" s="118">
        <f t="shared" si="18"/>
        <v>9492.3000400000001</v>
      </c>
      <c r="F211" s="119">
        <f t="shared" si="21"/>
        <v>5.4641104380169037E-4</v>
      </c>
      <c r="G211" s="120">
        <v>3.0790999999999999E-2</v>
      </c>
      <c r="H211" s="120">
        <v>5.0499999999999996E-2</v>
      </c>
      <c r="I211" s="121">
        <f t="shared" si="19"/>
        <v>1.6824542449697848E-5</v>
      </c>
      <c r="J211" s="121">
        <f t="shared" si="20"/>
        <v>2.7593757711985361E-5</v>
      </c>
      <c r="M211" s="6">
        <v>3.0790999999999999</v>
      </c>
      <c r="N211" s="6">
        <v>5.05</v>
      </c>
      <c r="O211" s="6">
        <f t="shared" si="22"/>
        <v>3.0790999999999999E-2</v>
      </c>
      <c r="P211" s="6">
        <f t="shared" si="23"/>
        <v>5.0499999999999996E-2</v>
      </c>
    </row>
    <row r="212" spans="1:16" x14ac:dyDescent="0.25">
      <c r="A212" s="6" t="s">
        <v>462</v>
      </c>
      <c r="B212" s="7" t="s">
        <v>802</v>
      </c>
      <c r="C212" s="116">
        <v>486.15600000000001</v>
      </c>
      <c r="D212" s="117">
        <v>119.75</v>
      </c>
      <c r="E212" s="118">
        <f t="shared" si="18"/>
        <v>58217.181000000004</v>
      </c>
      <c r="F212" s="119">
        <f t="shared" si="21"/>
        <v>3.3511910183363675E-3</v>
      </c>
      <c r="G212" s="120">
        <v>1.8372000000000003E-2</v>
      </c>
      <c r="H212" s="120">
        <v>6.6479999999999997E-2</v>
      </c>
      <c r="I212" s="121">
        <f t="shared" si="19"/>
        <v>6.1568081388875759E-5</v>
      </c>
      <c r="J212" s="121">
        <f t="shared" si="20"/>
        <v>2.2278717889900171E-4</v>
      </c>
      <c r="M212" s="6">
        <v>1.8372000000000002</v>
      </c>
      <c r="N212" s="6">
        <v>6.6479999999999997</v>
      </c>
      <c r="O212" s="6">
        <f t="shared" si="22"/>
        <v>1.8372000000000003E-2</v>
      </c>
      <c r="P212" s="6">
        <f t="shared" si="23"/>
        <v>6.6479999999999997E-2</v>
      </c>
    </row>
    <row r="213" spans="1:16" x14ac:dyDescent="0.25">
      <c r="A213" s="6" t="s">
        <v>463</v>
      </c>
      <c r="B213" s="7" t="s">
        <v>803</v>
      </c>
      <c r="C213" s="116">
        <v>256.65899999999999</v>
      </c>
      <c r="D213" s="117">
        <v>109.84</v>
      </c>
      <c r="E213" s="118">
        <f t="shared" si="18"/>
        <v>28191.424559999999</v>
      </c>
      <c r="F213" s="119">
        <f t="shared" si="21"/>
        <v>1.6228001280168352E-3</v>
      </c>
      <c r="G213" s="120">
        <v>1.4567000000000002E-2</v>
      </c>
      <c r="H213" s="120">
        <v>7.7079999999999996E-2</v>
      </c>
      <c r="I213" s="121">
        <f t="shared" si="19"/>
        <v>2.3639329464821241E-5</v>
      </c>
      <c r="J213" s="121">
        <f t="shared" si="20"/>
        <v>1.2508543386753764E-4</v>
      </c>
      <c r="M213" s="6">
        <v>1.4567000000000001</v>
      </c>
      <c r="N213" s="6">
        <v>7.7080000000000002</v>
      </c>
      <c r="O213" s="6">
        <f t="shared" si="22"/>
        <v>1.4567000000000002E-2</v>
      </c>
      <c r="P213" s="6">
        <f t="shared" si="23"/>
        <v>7.7079999999999996E-2</v>
      </c>
    </row>
    <row r="214" spans="1:16" x14ac:dyDescent="0.25">
      <c r="A214" s="6" t="s">
        <v>465</v>
      </c>
      <c r="B214" s="7" t="s">
        <v>805</v>
      </c>
      <c r="C214" s="116">
        <v>285.35399999999998</v>
      </c>
      <c r="D214" s="117">
        <v>124.98</v>
      </c>
      <c r="E214" s="118">
        <f t="shared" si="18"/>
        <v>35663.54292</v>
      </c>
      <c r="F214" s="119">
        <f t="shared" si="21"/>
        <v>2.0529222243783588E-3</v>
      </c>
      <c r="G214" s="120">
        <v>2.5204000000000001E-2</v>
      </c>
      <c r="H214" s="120">
        <v>9.9670000000000009E-2</v>
      </c>
      <c r="I214" s="121">
        <f t="shared" si="19"/>
        <v>5.1741851743232156E-5</v>
      </c>
      <c r="J214" s="121">
        <f t="shared" si="20"/>
        <v>2.0461475810379102E-4</v>
      </c>
      <c r="M214" s="6">
        <v>2.5204</v>
      </c>
      <c r="N214" s="6">
        <v>9.9670000000000005</v>
      </c>
      <c r="O214" s="6">
        <f t="shared" si="22"/>
        <v>2.5204000000000001E-2</v>
      </c>
      <c r="P214" s="6">
        <f t="shared" si="23"/>
        <v>9.9670000000000009E-2</v>
      </c>
    </row>
    <row r="215" spans="1:16" x14ac:dyDescent="0.25">
      <c r="A215" s="6" t="s">
        <v>469</v>
      </c>
      <c r="B215" s="7" t="s">
        <v>808</v>
      </c>
      <c r="C215" s="116">
        <v>580.803</v>
      </c>
      <c r="D215" s="117">
        <v>39.72</v>
      </c>
      <c r="E215" s="118">
        <f t="shared" si="18"/>
        <v>23069.495159999999</v>
      </c>
      <c r="F215" s="119">
        <f t="shared" si="21"/>
        <v>1.3279633889821338E-3</v>
      </c>
      <c r="G215" s="120">
        <v>1.7139999999999999E-2</v>
      </c>
      <c r="H215" s="120">
        <v>0.1026</v>
      </c>
      <c r="I215" s="121">
        <f t="shared" si="19"/>
        <v>2.2761292487153771E-5</v>
      </c>
      <c r="J215" s="121">
        <f t="shared" si="20"/>
        <v>1.3624904370956691E-4</v>
      </c>
      <c r="M215" s="6">
        <v>1.714</v>
      </c>
      <c r="N215" s="6">
        <v>10.26</v>
      </c>
      <c r="O215" s="6">
        <f t="shared" si="22"/>
        <v>1.7139999999999999E-2</v>
      </c>
      <c r="P215" s="6">
        <f t="shared" si="23"/>
        <v>0.1026</v>
      </c>
    </row>
    <row r="216" spans="1:16" x14ac:dyDescent="0.25">
      <c r="A216" s="6" t="s">
        <v>472</v>
      </c>
      <c r="B216" s="7" t="s">
        <v>811</v>
      </c>
      <c r="C216" s="116">
        <v>506.21699999999998</v>
      </c>
      <c r="D216" s="117">
        <v>44.05</v>
      </c>
      <c r="E216" s="118">
        <f t="shared" si="18"/>
        <v>22298.858849999997</v>
      </c>
      <c r="F216" s="119">
        <f t="shared" si="21"/>
        <v>1.2836027820940076E-3</v>
      </c>
      <c r="G216" s="120">
        <v>3.9046999999999998E-2</v>
      </c>
      <c r="H216" s="120">
        <v>2.367E-2</v>
      </c>
      <c r="I216" s="121">
        <f t="shared" si="19"/>
        <v>5.0120837832424716E-5</v>
      </c>
      <c r="J216" s="121">
        <f t="shared" si="20"/>
        <v>3.0382877852165161E-5</v>
      </c>
      <c r="M216" s="6">
        <v>3.9047000000000001</v>
      </c>
      <c r="N216" s="6">
        <v>2.367</v>
      </c>
      <c r="O216" s="6">
        <f t="shared" si="22"/>
        <v>3.9046999999999998E-2</v>
      </c>
      <c r="P216" s="6">
        <f t="shared" si="23"/>
        <v>2.367E-2</v>
      </c>
    </row>
    <row r="217" spans="1:16" x14ac:dyDescent="0.25">
      <c r="A217" s="6" t="s">
        <v>481</v>
      </c>
      <c r="B217" s="7" t="s">
        <v>819</v>
      </c>
      <c r="C217" s="116">
        <v>291.07400000000001</v>
      </c>
      <c r="D217" s="117">
        <v>155.21</v>
      </c>
      <c r="E217" s="118">
        <f t="shared" si="18"/>
        <v>45177.595540000002</v>
      </c>
      <c r="F217" s="119">
        <f t="shared" si="21"/>
        <v>2.6005854251802594E-3</v>
      </c>
      <c r="G217" s="120">
        <v>2.0552999999999998E-2</v>
      </c>
      <c r="H217" s="120">
        <v>7.8200000000000006E-2</v>
      </c>
      <c r="I217" s="121">
        <f t="shared" si="19"/>
        <v>5.3449832243729867E-5</v>
      </c>
      <c r="J217" s="121">
        <f t="shared" si="20"/>
        <v>2.0336578024909629E-4</v>
      </c>
      <c r="M217" s="6">
        <v>2.0552999999999999</v>
      </c>
      <c r="N217" s="6">
        <v>7.82</v>
      </c>
      <c r="O217" s="6">
        <f t="shared" si="22"/>
        <v>2.0552999999999998E-2</v>
      </c>
      <c r="P217" s="6">
        <f t="shared" si="23"/>
        <v>7.8200000000000006E-2</v>
      </c>
    </row>
    <row r="218" spans="1:16" x14ac:dyDescent="0.25">
      <c r="A218" s="6" t="s">
        <v>487</v>
      </c>
      <c r="B218" s="7" t="s">
        <v>824</v>
      </c>
      <c r="C218" s="116">
        <v>127.22199999999999</v>
      </c>
      <c r="D218" s="117">
        <v>46.05</v>
      </c>
      <c r="E218" s="118">
        <f t="shared" si="18"/>
        <v>5858.5730999999996</v>
      </c>
      <c r="F218" s="119">
        <f t="shared" si="21"/>
        <v>3.372406086269798E-4</v>
      </c>
      <c r="G218" s="120">
        <v>2.0846999999999997E-2</v>
      </c>
      <c r="H218" s="120">
        <v>0.08</v>
      </c>
      <c r="I218" s="121">
        <f t="shared" si="19"/>
        <v>7.0304549680466469E-6</v>
      </c>
      <c r="J218" s="121">
        <f t="shared" si="20"/>
        <v>2.6979248690158385E-5</v>
      </c>
      <c r="M218" s="6">
        <v>2.0846999999999998</v>
      </c>
      <c r="N218" s="6">
        <v>8</v>
      </c>
      <c r="O218" s="6">
        <f t="shared" si="22"/>
        <v>2.0846999999999997E-2</v>
      </c>
      <c r="P218" s="6">
        <f t="shared" si="23"/>
        <v>0.08</v>
      </c>
    </row>
    <row r="219" spans="1:16" x14ac:dyDescent="0.25">
      <c r="A219" s="6" t="s">
        <v>491</v>
      </c>
      <c r="B219" s="7" t="s">
        <v>828</v>
      </c>
      <c r="C219" s="116">
        <v>53.56</v>
      </c>
      <c r="D219" s="117">
        <v>67.91</v>
      </c>
      <c r="E219" s="118">
        <f t="shared" si="18"/>
        <v>3637.2595999999999</v>
      </c>
      <c r="F219" s="119">
        <f t="shared" si="21"/>
        <v>2.0937378783211311E-4</v>
      </c>
      <c r="G219" s="120">
        <v>2.5916999999999999E-2</v>
      </c>
      <c r="H219" s="120">
        <v>0.15</v>
      </c>
      <c r="I219" s="121">
        <f t="shared" si="19"/>
        <v>5.4263404592448751E-6</v>
      </c>
      <c r="J219" s="121">
        <f t="shared" si="20"/>
        <v>3.1406068174816965E-5</v>
      </c>
      <c r="M219" s="6">
        <v>2.5916999999999999</v>
      </c>
      <c r="N219" s="6">
        <v>15</v>
      </c>
      <c r="O219" s="6">
        <f t="shared" si="22"/>
        <v>2.5916999999999999E-2</v>
      </c>
      <c r="P219" s="6">
        <f t="shared" si="23"/>
        <v>0.15</v>
      </c>
    </row>
    <row r="220" spans="1:16" x14ac:dyDescent="0.25">
      <c r="A220" s="6" t="s">
        <v>492</v>
      </c>
      <c r="B220" s="7" t="s">
        <v>830</v>
      </c>
      <c r="C220" s="116">
        <v>142.917</v>
      </c>
      <c r="D220" s="117">
        <v>66.31</v>
      </c>
      <c r="E220" s="118">
        <f t="shared" si="18"/>
        <v>9476.8262699999996</v>
      </c>
      <c r="F220" s="119">
        <f t="shared" si="21"/>
        <v>5.4552031776251982E-4</v>
      </c>
      <c r="G220" s="120">
        <v>3.6948000000000002E-2</v>
      </c>
      <c r="H220" s="120">
        <v>5.2999999999999999E-2</v>
      </c>
      <c r="I220" s="121">
        <f t="shared" si="19"/>
        <v>2.0155884700689582E-5</v>
      </c>
      <c r="J220" s="121">
        <f t="shared" si="20"/>
        <v>2.891257684141355E-5</v>
      </c>
      <c r="M220" s="6">
        <v>3.6947999999999999</v>
      </c>
      <c r="N220" s="6">
        <v>5.3</v>
      </c>
      <c r="O220" s="6">
        <f t="shared" si="22"/>
        <v>3.6948000000000002E-2</v>
      </c>
      <c r="P220" s="6">
        <f t="shared" si="23"/>
        <v>5.2999999999999999E-2</v>
      </c>
    </row>
    <row r="221" spans="1:16" x14ac:dyDescent="0.25">
      <c r="A221" s="6" t="s">
        <v>302</v>
      </c>
      <c r="B221" s="7" t="s">
        <v>669</v>
      </c>
      <c r="C221" s="116">
        <v>325.81099999999998</v>
      </c>
      <c r="D221" s="117">
        <v>79.97</v>
      </c>
      <c r="E221" s="118">
        <f t="shared" si="18"/>
        <v>26055.105669999997</v>
      </c>
      <c r="F221" s="119">
        <f t="shared" si="21"/>
        <v>1.4998259036814053E-3</v>
      </c>
      <c r="G221" s="120">
        <v>2.7134999999999999E-2</v>
      </c>
      <c r="H221" s="120">
        <v>4.7599999999999996E-2</v>
      </c>
      <c r="I221" s="121">
        <f t="shared" si="19"/>
        <v>4.0697775896394931E-5</v>
      </c>
      <c r="J221" s="121">
        <f t="shared" si="20"/>
        <v>7.1391713015234889E-5</v>
      </c>
      <c r="M221" s="6">
        <v>2.7134999999999998</v>
      </c>
      <c r="N221" s="6">
        <v>4.76</v>
      </c>
      <c r="O221" s="6">
        <f t="shared" si="22"/>
        <v>2.7134999999999999E-2</v>
      </c>
      <c r="P221" s="6">
        <f t="shared" si="23"/>
        <v>4.7599999999999996E-2</v>
      </c>
    </row>
    <row r="222" spans="1:16" x14ac:dyDescent="0.25">
      <c r="A222" s="6" t="s">
        <v>493</v>
      </c>
      <c r="B222" s="7" t="s">
        <v>831</v>
      </c>
      <c r="C222" s="116">
        <v>1389.4770000000001</v>
      </c>
      <c r="D222" s="117">
        <v>72.59</v>
      </c>
      <c r="E222" s="118">
        <f t="shared" si="18"/>
        <v>100862.13543000001</v>
      </c>
      <c r="F222" s="119">
        <f t="shared" si="21"/>
        <v>5.8059884820469455E-3</v>
      </c>
      <c r="G222" s="120">
        <v>2.7552E-2</v>
      </c>
      <c r="H222" s="120">
        <v>0.36052999999999996</v>
      </c>
      <c r="I222" s="121">
        <f t="shared" si="19"/>
        <v>1.5996659465735745E-4</v>
      </c>
      <c r="J222" s="121">
        <f t="shared" si="20"/>
        <v>2.0932330274323853E-3</v>
      </c>
      <c r="M222" s="6">
        <v>2.7551999999999999</v>
      </c>
      <c r="N222" s="6">
        <v>36.052999999999997</v>
      </c>
      <c r="O222" s="6">
        <f t="shared" si="22"/>
        <v>2.7552E-2</v>
      </c>
      <c r="P222" s="6">
        <f t="shared" si="23"/>
        <v>0.36052999999999996</v>
      </c>
    </row>
    <row r="223" spans="1:16" x14ac:dyDescent="0.25">
      <c r="A223" s="6" t="s">
        <v>253</v>
      </c>
      <c r="B223" s="7" t="s">
        <v>628</v>
      </c>
      <c r="C223" s="116">
        <v>1336.7919999999999</v>
      </c>
      <c r="D223" s="117">
        <v>38.85</v>
      </c>
      <c r="E223" s="118">
        <f t="shared" si="18"/>
        <v>51934.369200000001</v>
      </c>
      <c r="F223" s="119">
        <f t="shared" si="21"/>
        <v>2.9895296992481458E-3</v>
      </c>
      <c r="G223" s="120">
        <v>8.2369999999999995E-3</v>
      </c>
      <c r="H223" s="120">
        <v>0.18167999999999998</v>
      </c>
      <c r="I223" s="121">
        <f t="shared" si="19"/>
        <v>2.4624756132706974E-5</v>
      </c>
      <c r="J223" s="121">
        <f t="shared" si="20"/>
        <v>5.4313775575940304E-4</v>
      </c>
      <c r="M223" s="6">
        <v>0.82369999999999999</v>
      </c>
      <c r="N223" s="6">
        <v>18.167999999999999</v>
      </c>
      <c r="O223" s="6">
        <f t="shared" si="22"/>
        <v>8.2369999999999995E-3</v>
      </c>
      <c r="P223" s="6">
        <f t="shared" si="23"/>
        <v>0.18167999999999998</v>
      </c>
    </row>
    <row r="224" spans="1:16" x14ac:dyDescent="0.25">
      <c r="A224" s="6" t="s">
        <v>497</v>
      </c>
      <c r="B224" s="7" t="s">
        <v>835</v>
      </c>
      <c r="C224" s="116">
        <v>93.128</v>
      </c>
      <c r="D224" s="117">
        <v>334.68</v>
      </c>
      <c r="E224" s="118">
        <f t="shared" si="18"/>
        <v>31168.079040000001</v>
      </c>
      <c r="F224" s="119">
        <f t="shared" si="21"/>
        <v>1.7941471013109684E-3</v>
      </c>
      <c r="G224" s="120">
        <v>1.0159E-2</v>
      </c>
      <c r="H224" s="120">
        <v>0.13653999999999999</v>
      </c>
      <c r="I224" s="121">
        <f t="shared" si="19"/>
        <v>1.8226740402218127E-5</v>
      </c>
      <c r="J224" s="121">
        <f t="shared" si="20"/>
        <v>2.4497284521299962E-4</v>
      </c>
      <c r="M224" s="6">
        <v>1.0159</v>
      </c>
      <c r="N224" s="6">
        <v>13.654</v>
      </c>
      <c r="O224" s="6">
        <f t="shared" si="22"/>
        <v>1.0159E-2</v>
      </c>
      <c r="P224" s="6">
        <f t="shared" si="23"/>
        <v>0.13653999999999999</v>
      </c>
    </row>
    <row r="225" spans="1:16" x14ac:dyDescent="0.25">
      <c r="A225" s="6" t="s">
        <v>373</v>
      </c>
      <c r="B225" s="7" t="s">
        <v>727</v>
      </c>
      <c r="C225" s="116">
        <v>116.441</v>
      </c>
      <c r="D225" s="117">
        <v>126.72</v>
      </c>
      <c r="E225" s="118">
        <f t="shared" si="18"/>
        <v>14755.40352</v>
      </c>
      <c r="F225" s="119">
        <f t="shared" si="21"/>
        <v>8.4937427231581027E-4</v>
      </c>
      <c r="G225" s="120">
        <v>2.3674000000000001E-2</v>
      </c>
      <c r="H225" s="120">
        <v>5.1970000000000002E-2</v>
      </c>
      <c r="I225" s="121">
        <f t="shared" si="19"/>
        <v>2.0108086522804493E-5</v>
      </c>
      <c r="J225" s="121">
        <f t="shared" si="20"/>
        <v>4.4141980932252665E-5</v>
      </c>
      <c r="M225" s="6">
        <v>2.3673999999999999</v>
      </c>
      <c r="N225" s="6">
        <v>5.1970000000000001</v>
      </c>
      <c r="O225" s="6">
        <f t="shared" si="22"/>
        <v>2.3674000000000001E-2</v>
      </c>
      <c r="P225" s="6">
        <f t="shared" si="23"/>
        <v>5.1970000000000002E-2</v>
      </c>
    </row>
    <row r="226" spans="1:16" x14ac:dyDescent="0.25">
      <c r="A226" s="6" t="s">
        <v>499</v>
      </c>
      <c r="B226" s="7" t="s">
        <v>837</v>
      </c>
      <c r="C226" s="116">
        <v>57.948999999999998</v>
      </c>
      <c r="D226" s="117">
        <v>167.53</v>
      </c>
      <c r="E226" s="118">
        <f t="shared" si="18"/>
        <v>9708.1959699999989</v>
      </c>
      <c r="F226" s="119">
        <f t="shared" si="21"/>
        <v>5.5883879260511271E-4</v>
      </c>
      <c r="G226" s="120">
        <v>1.6952000000000002E-2</v>
      </c>
      <c r="H226" s="120">
        <v>9.8000000000000004E-2</v>
      </c>
      <c r="I226" s="121">
        <f t="shared" si="19"/>
        <v>9.4734352122418712E-6</v>
      </c>
      <c r="J226" s="121">
        <f t="shared" si="20"/>
        <v>5.4766201675301049E-5</v>
      </c>
      <c r="M226" s="6">
        <v>1.6952</v>
      </c>
      <c r="N226" s="6">
        <v>9.8000000000000007</v>
      </c>
      <c r="O226" s="6">
        <f t="shared" si="22"/>
        <v>1.6952000000000002E-2</v>
      </c>
      <c r="P226" s="6">
        <f t="shared" si="23"/>
        <v>9.8000000000000004E-2</v>
      </c>
    </row>
    <row r="227" spans="1:16" x14ac:dyDescent="0.25">
      <c r="A227" s="23" t="s">
        <v>201</v>
      </c>
      <c r="B227" s="60" t="s">
        <v>587</v>
      </c>
      <c r="C227" s="116">
        <v>230.01400000000001</v>
      </c>
      <c r="D227" s="117">
        <v>57.2</v>
      </c>
      <c r="E227" s="118">
        <f t="shared" si="18"/>
        <v>13156.800800000001</v>
      </c>
      <c r="F227" s="119">
        <f t="shared" si="21"/>
        <v>7.5735293110466362E-4</v>
      </c>
      <c r="G227" s="120">
        <v>6.2939999999999992E-3</v>
      </c>
      <c r="H227" s="120">
        <v>9.35E-2</v>
      </c>
      <c r="I227" s="121">
        <f t="shared" si="19"/>
        <v>4.766779348372752E-6</v>
      </c>
      <c r="J227" s="121">
        <f t="shared" si="20"/>
        <v>7.0812499058286042E-5</v>
      </c>
      <c r="M227" s="6">
        <v>0.62939999999999996</v>
      </c>
      <c r="N227" s="6">
        <v>9.35</v>
      </c>
      <c r="O227" s="6">
        <f t="shared" si="22"/>
        <v>6.2939999999999992E-3</v>
      </c>
      <c r="P227" s="6">
        <f t="shared" si="23"/>
        <v>9.35E-2</v>
      </c>
    </row>
    <row r="228" spans="1:16" x14ac:dyDescent="0.25">
      <c r="A228" s="6" t="s">
        <v>500</v>
      </c>
      <c r="B228" s="7" t="s">
        <v>838</v>
      </c>
      <c r="C228" s="116">
        <v>995.22500000000002</v>
      </c>
      <c r="D228" s="117">
        <v>49.8</v>
      </c>
      <c r="E228" s="118">
        <f t="shared" si="18"/>
        <v>49562.205000000002</v>
      </c>
      <c r="F228" s="119">
        <f t="shared" si="21"/>
        <v>2.8529793678080321E-3</v>
      </c>
      <c r="G228" s="120">
        <v>4.6585999999999995E-2</v>
      </c>
      <c r="H228" s="120">
        <v>4.4000000000000004E-2</v>
      </c>
      <c r="I228" s="121">
        <f t="shared" si="19"/>
        <v>1.3290889682870496E-4</v>
      </c>
      <c r="J228" s="121">
        <f t="shared" si="20"/>
        <v>1.2553109218355342E-4</v>
      </c>
      <c r="M228" s="6">
        <v>4.6585999999999999</v>
      </c>
      <c r="N228" s="6">
        <v>4.4000000000000004</v>
      </c>
      <c r="O228" s="6">
        <f t="shared" si="22"/>
        <v>4.6585999999999995E-2</v>
      </c>
      <c r="P228" s="6">
        <f t="shared" si="23"/>
        <v>4.4000000000000004E-2</v>
      </c>
    </row>
    <row r="229" spans="1:16" x14ac:dyDescent="0.25">
      <c r="A229" s="6" t="s">
        <v>225</v>
      </c>
      <c r="B229" s="7" t="s">
        <v>605</v>
      </c>
      <c r="C229" s="116">
        <v>811.37</v>
      </c>
      <c r="D229" s="117">
        <v>43.18</v>
      </c>
      <c r="E229" s="118">
        <f t="shared" si="18"/>
        <v>35034.956599999998</v>
      </c>
      <c r="F229" s="119">
        <f t="shared" si="21"/>
        <v>2.0167385275100219E-3</v>
      </c>
      <c r="G229" s="120">
        <v>2.7791E-2</v>
      </c>
      <c r="H229" s="120">
        <v>8.4079999999999988E-2</v>
      </c>
      <c r="I229" s="121">
        <f t="shared" si="19"/>
        <v>5.604718041803102E-5</v>
      </c>
      <c r="J229" s="121">
        <f t="shared" si="20"/>
        <v>1.6956737539304263E-4</v>
      </c>
      <c r="M229" s="6">
        <v>2.7791000000000001</v>
      </c>
      <c r="N229" s="6">
        <v>8.4079999999999995</v>
      </c>
      <c r="O229" s="6">
        <f t="shared" si="22"/>
        <v>2.7791E-2</v>
      </c>
      <c r="P229" s="6">
        <f t="shared" si="23"/>
        <v>8.4079999999999988E-2</v>
      </c>
    </row>
    <row r="230" spans="1:16" x14ac:dyDescent="0.25">
      <c r="A230" s="6" t="s">
        <v>501</v>
      </c>
      <c r="B230" s="7" t="s">
        <v>839</v>
      </c>
      <c r="C230" s="116">
        <v>614.351</v>
      </c>
      <c r="D230" s="117">
        <v>56.22</v>
      </c>
      <c r="E230" s="118">
        <f t="shared" si="18"/>
        <v>34538.813219999996</v>
      </c>
      <c r="F230" s="119">
        <f t="shared" si="21"/>
        <v>1.9881787241958927E-3</v>
      </c>
      <c r="G230" s="120">
        <v>7.1149999999999998E-3</v>
      </c>
      <c r="H230" s="120">
        <v>0.10278000000000001</v>
      </c>
      <c r="I230" s="121">
        <f t="shared" si="19"/>
        <v>1.4145891622653775E-5</v>
      </c>
      <c r="J230" s="121">
        <f t="shared" si="20"/>
        <v>2.0434500927285387E-4</v>
      </c>
      <c r="M230" s="6">
        <v>0.71150000000000002</v>
      </c>
      <c r="N230" s="6">
        <v>10.278</v>
      </c>
      <c r="O230" s="6">
        <f t="shared" si="22"/>
        <v>7.1149999999999998E-3</v>
      </c>
      <c r="P230" s="6">
        <f t="shared" si="23"/>
        <v>0.10278000000000001</v>
      </c>
    </row>
    <row r="231" spans="1:16" x14ac:dyDescent="0.25">
      <c r="A231" s="6" t="s">
        <v>502</v>
      </c>
      <c r="B231" s="7" t="s">
        <v>840</v>
      </c>
      <c r="C231" s="116">
        <v>152.97300000000001</v>
      </c>
      <c r="D231" s="117">
        <v>136.15</v>
      </c>
      <c r="E231" s="118">
        <f t="shared" si="18"/>
        <v>20827.273950000003</v>
      </c>
      <c r="F231" s="119">
        <f t="shared" si="21"/>
        <v>1.1988930449530182E-3</v>
      </c>
      <c r="G231" s="120">
        <v>1.704E-2</v>
      </c>
      <c r="H231" s="120">
        <v>0.11</v>
      </c>
      <c r="I231" s="121">
        <f t="shared" si="19"/>
        <v>2.042913748599943E-5</v>
      </c>
      <c r="J231" s="121">
        <f t="shared" si="20"/>
        <v>1.3187823494483199E-4</v>
      </c>
      <c r="M231" s="6">
        <v>1.704</v>
      </c>
      <c r="N231" s="6">
        <v>11</v>
      </c>
      <c r="O231" s="6">
        <f t="shared" si="22"/>
        <v>1.704E-2</v>
      </c>
      <c r="P231" s="6">
        <f t="shared" si="23"/>
        <v>0.11</v>
      </c>
    </row>
    <row r="232" spans="1:16" x14ac:dyDescent="0.25">
      <c r="A232" s="6" t="s">
        <v>473</v>
      </c>
      <c r="B232" s="7" t="s">
        <v>812</v>
      </c>
      <c r="C232" s="116">
        <v>173.50700000000001</v>
      </c>
      <c r="D232" s="117">
        <v>209.38</v>
      </c>
      <c r="E232" s="118">
        <f t="shared" si="18"/>
        <v>36328.895660000002</v>
      </c>
      <c r="F232" s="119">
        <f t="shared" si="21"/>
        <v>2.0912223290555933E-3</v>
      </c>
      <c r="G232" s="120">
        <v>3.8207999999999999E-2</v>
      </c>
      <c r="H232" s="120">
        <v>6.0629999999999996E-2</v>
      </c>
      <c r="I232" s="121">
        <f t="shared" si="19"/>
        <v>7.9901422748556111E-5</v>
      </c>
      <c r="J232" s="121">
        <f t="shared" si="20"/>
        <v>1.2679080981064061E-4</v>
      </c>
      <c r="M232" s="6">
        <v>3.8208000000000002</v>
      </c>
      <c r="N232" s="6">
        <v>6.0629999999999997</v>
      </c>
      <c r="O232" s="6">
        <f t="shared" si="22"/>
        <v>3.8207999999999999E-2</v>
      </c>
      <c r="P232" s="6">
        <f t="shared" si="23"/>
        <v>6.0629999999999996E-2</v>
      </c>
    </row>
    <row r="233" spans="1:16" x14ac:dyDescent="0.25">
      <c r="A233" s="6" t="s">
        <v>508</v>
      </c>
      <c r="B233" s="7" t="s">
        <v>843</v>
      </c>
      <c r="C233" s="116">
        <v>491.41300000000001</v>
      </c>
      <c r="D233" s="117">
        <v>56.81</v>
      </c>
      <c r="E233" s="118">
        <f t="shared" si="18"/>
        <v>27917.172530000003</v>
      </c>
      <c r="F233" s="119">
        <f t="shared" si="21"/>
        <v>1.6070131915161396E-3</v>
      </c>
      <c r="G233" s="120">
        <v>1.8307E-2</v>
      </c>
      <c r="H233" s="120">
        <v>8.4970000000000004E-2</v>
      </c>
      <c r="I233" s="121">
        <f t="shared" si="19"/>
        <v>2.9419590497085969E-5</v>
      </c>
      <c r="J233" s="121">
        <f t="shared" si="20"/>
        <v>1.3654791088312638E-4</v>
      </c>
      <c r="M233" s="6">
        <v>1.8307</v>
      </c>
      <c r="N233" s="6">
        <v>8.4969999999999999</v>
      </c>
      <c r="O233" s="6">
        <f t="shared" si="22"/>
        <v>1.8307E-2</v>
      </c>
      <c r="P233" s="6">
        <f t="shared" si="23"/>
        <v>8.4970000000000004E-2</v>
      </c>
    </row>
    <row r="234" spans="1:16" x14ac:dyDescent="0.25">
      <c r="A234" s="6" t="s">
        <v>510</v>
      </c>
      <c r="B234" s="7" t="s">
        <v>844</v>
      </c>
      <c r="C234" s="116">
        <v>540.21199999999999</v>
      </c>
      <c r="D234" s="117">
        <v>52.87</v>
      </c>
      <c r="E234" s="118">
        <f t="shared" si="18"/>
        <v>28561.008439999998</v>
      </c>
      <c r="F234" s="119">
        <f t="shared" si="21"/>
        <v>1.6440747098138806E-3</v>
      </c>
      <c r="G234" s="120">
        <v>2.4967000000000003E-2</v>
      </c>
      <c r="H234" s="120">
        <v>8.8599999999999998E-2</v>
      </c>
      <c r="I234" s="121">
        <f t="shared" si="19"/>
        <v>4.1047613279923158E-5</v>
      </c>
      <c r="J234" s="121">
        <f t="shared" si="20"/>
        <v>1.456650192895098E-4</v>
      </c>
      <c r="M234" s="6">
        <v>2.4967000000000001</v>
      </c>
      <c r="N234" s="6">
        <v>8.86</v>
      </c>
      <c r="O234" s="6">
        <f t="shared" si="22"/>
        <v>2.4967000000000003E-2</v>
      </c>
      <c r="P234" s="6">
        <f t="shared" si="23"/>
        <v>8.8599999999999998E-2</v>
      </c>
    </row>
    <row r="235" spans="1:16" x14ac:dyDescent="0.25">
      <c r="A235" s="6" t="s">
        <v>515</v>
      </c>
      <c r="B235" s="7" t="s">
        <v>848</v>
      </c>
      <c r="C235" s="116">
        <v>117.38</v>
      </c>
      <c r="D235" s="117">
        <v>79.709999999999994</v>
      </c>
      <c r="E235" s="118">
        <f t="shared" si="18"/>
        <v>9356.3597999999984</v>
      </c>
      <c r="F235" s="119">
        <f t="shared" si="21"/>
        <v>5.3858583303927825E-4</v>
      </c>
      <c r="G235" s="120">
        <v>2.76E-2</v>
      </c>
      <c r="H235" s="120">
        <v>0.1</v>
      </c>
      <c r="I235" s="121">
        <f t="shared" si="19"/>
        <v>1.4864968991884079E-5</v>
      </c>
      <c r="J235" s="121">
        <f t="shared" si="20"/>
        <v>5.3858583303927829E-5</v>
      </c>
      <c r="M235" s="6">
        <v>2.76</v>
      </c>
      <c r="N235" s="6">
        <v>10</v>
      </c>
      <c r="O235" s="6">
        <f t="shared" si="22"/>
        <v>2.76E-2</v>
      </c>
      <c r="P235" s="6">
        <f t="shared" si="23"/>
        <v>0.1</v>
      </c>
    </row>
    <row r="236" spans="1:16" x14ac:dyDescent="0.25">
      <c r="A236" s="6" t="s">
        <v>516</v>
      </c>
      <c r="B236" s="7" t="s">
        <v>972</v>
      </c>
      <c r="C236" s="116">
        <v>999.64</v>
      </c>
      <c r="D236" s="117">
        <v>79.180000000000007</v>
      </c>
      <c r="E236" s="118">
        <f t="shared" si="18"/>
        <v>79151.495200000005</v>
      </c>
      <c r="F236" s="119">
        <f t="shared" si="21"/>
        <v>4.5562456863401561E-3</v>
      </c>
      <c r="G236" s="120">
        <v>2.5259E-2</v>
      </c>
      <c r="H236" s="120">
        <v>0.10339999999999999</v>
      </c>
      <c r="I236" s="121">
        <f t="shared" si="19"/>
        <v>1.15086209791266E-4</v>
      </c>
      <c r="J236" s="121">
        <f t="shared" si="20"/>
        <v>4.7111580396757213E-4</v>
      </c>
      <c r="M236" s="6">
        <v>2.5259</v>
      </c>
      <c r="N236" s="6">
        <v>10.34</v>
      </c>
      <c r="O236" s="6">
        <f t="shared" si="22"/>
        <v>2.5259E-2</v>
      </c>
      <c r="P236" s="6">
        <f t="shared" si="23"/>
        <v>0.10339999999999999</v>
      </c>
    </row>
    <row r="237" spans="1:16" x14ac:dyDescent="0.25">
      <c r="A237" s="6" t="s">
        <v>517</v>
      </c>
      <c r="B237" s="7" t="s">
        <v>849</v>
      </c>
      <c r="C237" s="116">
        <v>267.68900000000002</v>
      </c>
      <c r="D237" s="117">
        <v>46.66</v>
      </c>
      <c r="E237" s="118">
        <f t="shared" si="18"/>
        <v>12490.36874</v>
      </c>
      <c r="F237" s="119">
        <f t="shared" si="21"/>
        <v>7.1899069687344228E-4</v>
      </c>
      <c r="G237" s="120">
        <v>1.7150000000000002E-3</v>
      </c>
      <c r="H237" s="120">
        <v>9.6630000000000008E-2</v>
      </c>
      <c r="I237" s="121">
        <f t="shared" si="19"/>
        <v>1.2330690451379537E-6</v>
      </c>
      <c r="J237" s="121">
        <f t="shared" si="20"/>
        <v>6.9476071038880734E-5</v>
      </c>
      <c r="M237" s="6">
        <v>0.17150000000000001</v>
      </c>
      <c r="N237" s="6">
        <v>9.6630000000000003</v>
      </c>
      <c r="O237" s="6">
        <f t="shared" si="22"/>
        <v>1.7150000000000002E-3</v>
      </c>
      <c r="P237" s="6">
        <f t="shared" si="23"/>
        <v>9.6630000000000008E-2</v>
      </c>
    </row>
    <row r="238" spans="1:16" x14ac:dyDescent="0.25">
      <c r="A238" s="6" t="s">
        <v>518</v>
      </c>
      <c r="B238" s="7" t="s">
        <v>850</v>
      </c>
      <c r="C238" s="116">
        <v>391.21499999999997</v>
      </c>
      <c r="D238" s="117">
        <v>165.33</v>
      </c>
      <c r="E238" s="118">
        <f t="shared" si="18"/>
        <v>64679.575949999999</v>
      </c>
      <c r="F238" s="119">
        <f t="shared" si="21"/>
        <v>3.7231897915744991E-3</v>
      </c>
      <c r="G238" s="120">
        <v>3.6289999999999998E-3</v>
      </c>
      <c r="H238" s="120">
        <v>0.1198</v>
      </c>
      <c r="I238" s="121">
        <f t="shared" si="19"/>
        <v>1.3511455753623856E-5</v>
      </c>
      <c r="J238" s="121">
        <f t="shared" si="20"/>
        <v>4.4603813703062502E-4</v>
      </c>
      <c r="M238" s="6">
        <v>0.3629</v>
      </c>
      <c r="N238" s="6">
        <v>11.98</v>
      </c>
      <c r="O238" s="6">
        <f t="shared" si="22"/>
        <v>3.6289999999999998E-3</v>
      </c>
      <c r="P238" s="6">
        <f t="shared" si="23"/>
        <v>0.1198</v>
      </c>
    </row>
    <row r="239" spans="1:16" x14ac:dyDescent="0.25">
      <c r="A239" s="6" t="s">
        <v>519</v>
      </c>
      <c r="B239" s="7" t="s">
        <v>851</v>
      </c>
      <c r="C239" s="116">
        <v>124.77500000000001</v>
      </c>
      <c r="D239" s="117">
        <v>91.65</v>
      </c>
      <c r="E239" s="118">
        <f t="shared" si="18"/>
        <v>11435.628750000002</v>
      </c>
      <c r="F239" s="119">
        <f t="shared" si="21"/>
        <v>6.5827605696038667E-4</v>
      </c>
      <c r="G239" s="120">
        <v>1.9640000000000001E-2</v>
      </c>
      <c r="H239" s="120">
        <v>8.7330000000000005E-2</v>
      </c>
      <c r="I239" s="121">
        <f t="shared" si="19"/>
        <v>1.2928541758701996E-5</v>
      </c>
      <c r="J239" s="121">
        <f t="shared" si="20"/>
        <v>5.7487248054350573E-5</v>
      </c>
      <c r="M239" s="6">
        <v>1.964</v>
      </c>
      <c r="N239" s="6">
        <v>8.7330000000000005</v>
      </c>
      <c r="O239" s="6">
        <f t="shared" si="22"/>
        <v>1.9640000000000001E-2</v>
      </c>
      <c r="P239" s="6">
        <f t="shared" si="23"/>
        <v>8.7330000000000005E-2</v>
      </c>
    </row>
    <row r="240" spans="1:16" x14ac:dyDescent="0.25">
      <c r="A240" s="6" t="s">
        <v>521</v>
      </c>
      <c r="B240" s="7" t="s">
        <v>853</v>
      </c>
      <c r="C240" s="116">
        <v>644.553</v>
      </c>
      <c r="D240" s="117">
        <v>78.64</v>
      </c>
      <c r="E240" s="118">
        <f t="shared" si="18"/>
        <v>50687.647920000003</v>
      </c>
      <c r="F240" s="119">
        <f t="shared" si="21"/>
        <v>2.9177639235073928E-3</v>
      </c>
      <c r="G240" s="120">
        <v>1.5895000000000003E-2</v>
      </c>
      <c r="H240" s="120">
        <v>9.6199999999999994E-2</v>
      </c>
      <c r="I240" s="121">
        <f t="shared" si="19"/>
        <v>4.6377857564150016E-5</v>
      </c>
      <c r="J240" s="121">
        <f t="shared" si="20"/>
        <v>2.8068888944141117E-4</v>
      </c>
      <c r="M240" s="6">
        <v>1.5895000000000001</v>
      </c>
      <c r="N240" s="6">
        <v>9.6199999999999992</v>
      </c>
      <c r="O240" s="6">
        <f t="shared" si="22"/>
        <v>1.5895000000000003E-2</v>
      </c>
      <c r="P240" s="6">
        <f t="shared" si="23"/>
        <v>9.6199999999999994E-2</v>
      </c>
    </row>
    <row r="241" spans="1:16" x14ac:dyDescent="0.25">
      <c r="A241" s="6" t="s">
        <v>522</v>
      </c>
      <c r="B241" s="7" t="s">
        <v>854</v>
      </c>
      <c r="C241" s="116">
        <v>117.89700000000001</v>
      </c>
      <c r="D241" s="117">
        <v>76.709999999999994</v>
      </c>
      <c r="E241" s="118">
        <f t="shared" si="18"/>
        <v>9043.8788700000005</v>
      </c>
      <c r="F241" s="119">
        <f t="shared" si="21"/>
        <v>5.2059830310344387E-4</v>
      </c>
      <c r="G241" s="120">
        <v>7.8220000000000008E-3</v>
      </c>
      <c r="H241" s="120">
        <v>7.5730000000000006E-2</v>
      </c>
      <c r="I241" s="121">
        <f t="shared" si="19"/>
        <v>4.0721199268751384E-6</v>
      </c>
      <c r="J241" s="121">
        <f t="shared" si="20"/>
        <v>3.9424909494023808E-5</v>
      </c>
      <c r="M241" s="6">
        <v>0.78220000000000001</v>
      </c>
      <c r="N241" s="6">
        <v>7.5730000000000004</v>
      </c>
      <c r="O241" s="6">
        <f t="shared" si="22"/>
        <v>7.8220000000000008E-3</v>
      </c>
      <c r="P241" s="6">
        <f t="shared" si="23"/>
        <v>7.5730000000000006E-2</v>
      </c>
    </row>
    <row r="242" spans="1:16" x14ac:dyDescent="0.25">
      <c r="A242" s="6" t="s">
        <v>523</v>
      </c>
      <c r="B242" s="7" t="s">
        <v>855</v>
      </c>
      <c r="C242" s="116">
        <v>183.35499999999999</v>
      </c>
      <c r="D242" s="117">
        <v>57.31</v>
      </c>
      <c r="E242" s="118">
        <f t="shared" si="18"/>
        <v>10508.075049999999</v>
      </c>
      <c r="F242" s="119">
        <f t="shared" si="21"/>
        <v>6.0488271885862134E-4</v>
      </c>
      <c r="G242" s="120">
        <v>6.9799999999999992E-3</v>
      </c>
      <c r="H242" s="120">
        <v>0.11</v>
      </c>
      <c r="I242" s="121">
        <f t="shared" si="19"/>
        <v>4.2220813776331761E-6</v>
      </c>
      <c r="J242" s="121">
        <f t="shared" si="20"/>
        <v>6.6537099074448342E-5</v>
      </c>
      <c r="M242" s="6">
        <v>0.69799999999999995</v>
      </c>
      <c r="N242" s="6">
        <v>11</v>
      </c>
      <c r="O242" s="6">
        <f t="shared" si="22"/>
        <v>6.9799999999999992E-3</v>
      </c>
      <c r="P242" s="6">
        <f t="shared" si="23"/>
        <v>0.11</v>
      </c>
    </row>
    <row r="243" spans="1:16" x14ac:dyDescent="0.25">
      <c r="A243" s="6" t="s">
        <v>1155</v>
      </c>
      <c r="B243" s="7" t="s">
        <v>729</v>
      </c>
      <c r="C243" s="116">
        <v>938.71</v>
      </c>
      <c r="D243" s="117">
        <v>41.57</v>
      </c>
      <c r="E243" s="118">
        <f t="shared" si="18"/>
        <v>39022.174700000003</v>
      </c>
      <c r="F243" s="119">
        <f t="shared" si="21"/>
        <v>2.2462571894470919E-3</v>
      </c>
      <c r="G243" s="120">
        <v>2.4056000000000001E-2</v>
      </c>
      <c r="H243" s="120">
        <v>0.105</v>
      </c>
      <c r="I243" s="121">
        <f t="shared" si="19"/>
        <v>5.4035962949339245E-5</v>
      </c>
      <c r="J243" s="121">
        <f t="shared" si="20"/>
        <v>2.3585700489194464E-4</v>
      </c>
      <c r="M243" s="6">
        <v>2.4056000000000002</v>
      </c>
      <c r="N243" s="6">
        <v>10.5</v>
      </c>
      <c r="O243" s="6">
        <f t="shared" si="22"/>
        <v>2.4056000000000001E-2</v>
      </c>
      <c r="P243" s="6">
        <f t="shared" si="23"/>
        <v>0.105</v>
      </c>
    </row>
    <row r="244" spans="1:16" x14ac:dyDescent="0.25">
      <c r="A244" s="6" t="s">
        <v>1156</v>
      </c>
      <c r="B244" s="7" t="s">
        <v>1157</v>
      </c>
      <c r="C244" s="116">
        <v>62.137999999999998</v>
      </c>
      <c r="D244" s="117">
        <v>281.44</v>
      </c>
      <c r="E244" s="118">
        <f t="shared" si="18"/>
        <v>17488.118719999999</v>
      </c>
      <c r="F244" s="119">
        <f t="shared" si="21"/>
        <v>0</v>
      </c>
      <c r="G244" s="120" t="s">
        <v>996</v>
      </c>
      <c r="H244" s="120">
        <v>0.22559999999999999</v>
      </c>
      <c r="I244" s="121" t="str">
        <f t="shared" si="19"/>
        <v>n/a</v>
      </c>
      <c r="J244" s="121">
        <f t="shared" si="20"/>
        <v>0</v>
      </c>
      <c r="M244" s="6" t="s">
        <v>996</v>
      </c>
      <c r="N244" s="6">
        <v>22.56</v>
      </c>
      <c r="O244" s="6" t="str">
        <f t="shared" si="22"/>
        <v>n/a</v>
      </c>
      <c r="P244" s="6">
        <f t="shared" si="23"/>
        <v>0.22559999999999999</v>
      </c>
    </row>
    <row r="245" spans="1:16" x14ac:dyDescent="0.25">
      <c r="A245" s="6" t="s">
        <v>531</v>
      </c>
      <c r="B245" s="7" t="s">
        <v>860</v>
      </c>
      <c r="C245" s="116">
        <v>807.43899999999996</v>
      </c>
      <c r="D245" s="117">
        <v>111.96</v>
      </c>
      <c r="E245" s="118">
        <f t="shared" si="18"/>
        <v>90400.870439999984</v>
      </c>
      <c r="F245" s="119">
        <f t="shared" si="21"/>
        <v>5.2038003191586611E-3</v>
      </c>
      <c r="G245" s="120">
        <v>2.1615000000000002E-2</v>
      </c>
      <c r="H245" s="120">
        <v>9.8170000000000007E-2</v>
      </c>
      <c r="I245" s="121">
        <f t="shared" si="19"/>
        <v>1.1248014389861447E-4</v>
      </c>
      <c r="J245" s="121">
        <f t="shared" si="20"/>
        <v>5.1085707733180576E-4</v>
      </c>
      <c r="M245" s="6">
        <v>2.1615000000000002</v>
      </c>
      <c r="N245" s="6">
        <v>9.8170000000000002</v>
      </c>
      <c r="O245" s="6">
        <f t="shared" si="22"/>
        <v>2.1615000000000002E-2</v>
      </c>
      <c r="P245" s="6">
        <f t="shared" si="23"/>
        <v>9.8170000000000007E-2</v>
      </c>
    </row>
    <row r="246" spans="1:16" x14ac:dyDescent="0.25">
      <c r="A246" s="6" t="s">
        <v>534</v>
      </c>
      <c r="B246" s="7" t="s">
        <v>863</v>
      </c>
      <c r="C246" s="116">
        <v>964.11</v>
      </c>
      <c r="D246" s="117">
        <v>174.88</v>
      </c>
      <c r="E246" s="118">
        <f t="shared" si="18"/>
        <v>168603.55679999999</v>
      </c>
      <c r="F246" s="119">
        <f t="shared" si="21"/>
        <v>9.7054291448382818E-3</v>
      </c>
      <c r="G246" s="120">
        <v>1.4296E-2</v>
      </c>
      <c r="H246" s="120">
        <v>0.12981999999999999</v>
      </c>
      <c r="I246" s="121">
        <f t="shared" si="19"/>
        <v>1.3874881505460807E-4</v>
      </c>
      <c r="J246" s="121">
        <f t="shared" si="20"/>
        <v>1.2599588115829057E-3</v>
      </c>
      <c r="M246" s="6">
        <v>1.4296</v>
      </c>
      <c r="N246" s="6">
        <v>12.981999999999999</v>
      </c>
      <c r="O246" s="6">
        <f t="shared" si="22"/>
        <v>1.4296E-2</v>
      </c>
      <c r="P246" s="6">
        <f t="shared" si="23"/>
        <v>0.12981999999999999</v>
      </c>
    </row>
    <row r="247" spans="1:16" x14ac:dyDescent="0.25">
      <c r="A247" s="6" t="s">
        <v>535</v>
      </c>
      <c r="B247" s="7" t="s">
        <v>864</v>
      </c>
      <c r="C247" s="116">
        <v>228.214</v>
      </c>
      <c r="D247" s="117">
        <v>46.33</v>
      </c>
      <c r="E247" s="118">
        <f t="shared" si="18"/>
        <v>10573.154619999999</v>
      </c>
      <c r="F247" s="119">
        <f t="shared" si="21"/>
        <v>6.0862893375111479E-4</v>
      </c>
      <c r="G247" s="120">
        <v>1.7267000000000001E-2</v>
      </c>
      <c r="H247" s="120">
        <v>6.5329999999999999E-2</v>
      </c>
      <c r="I247" s="121">
        <f t="shared" si="19"/>
        <v>1.05091957990805E-5</v>
      </c>
      <c r="J247" s="121">
        <f t="shared" si="20"/>
        <v>3.9761728241960327E-5</v>
      </c>
      <c r="M247" s="6">
        <v>1.7267000000000001</v>
      </c>
      <c r="N247" s="6">
        <v>6.5330000000000004</v>
      </c>
      <c r="O247" s="6">
        <f t="shared" si="22"/>
        <v>1.7267000000000001E-2</v>
      </c>
      <c r="P247" s="6">
        <f t="shared" si="23"/>
        <v>6.5329999999999999E-2</v>
      </c>
    </row>
    <row r="248" spans="1:16" x14ac:dyDescent="0.25">
      <c r="A248" s="6" t="s">
        <v>400</v>
      </c>
      <c r="B248" s="7" t="s">
        <v>754</v>
      </c>
      <c r="C248" s="116">
        <v>850.16800000000001</v>
      </c>
      <c r="D248" s="117">
        <v>14.87</v>
      </c>
      <c r="E248" s="118">
        <f t="shared" si="18"/>
        <v>12641.998159999999</v>
      </c>
      <c r="F248" s="119">
        <f t="shared" si="21"/>
        <v>7.2771903345194395E-4</v>
      </c>
      <c r="G248" s="120">
        <v>1.345E-2</v>
      </c>
      <c r="H248" s="120">
        <v>8.5999999999999993E-2</v>
      </c>
      <c r="I248" s="121">
        <f t="shared" si="19"/>
        <v>9.7878209999286464E-6</v>
      </c>
      <c r="J248" s="121">
        <f t="shared" si="20"/>
        <v>6.2583836876867169E-5</v>
      </c>
      <c r="M248" s="6">
        <v>1.345</v>
      </c>
      <c r="N248" s="6">
        <v>8.6</v>
      </c>
      <c r="O248" s="6">
        <f t="shared" si="22"/>
        <v>1.345E-2</v>
      </c>
      <c r="P248" s="6">
        <f t="shared" si="23"/>
        <v>8.5999999999999993E-2</v>
      </c>
    </row>
    <row r="249" spans="1:16" x14ac:dyDescent="0.25">
      <c r="A249" s="6" t="s">
        <v>537</v>
      </c>
      <c r="B249" s="7" t="s">
        <v>867</v>
      </c>
      <c r="C249" s="116">
        <v>93.45</v>
      </c>
      <c r="D249" s="117">
        <v>90.74</v>
      </c>
      <c r="E249" s="118">
        <f t="shared" si="18"/>
        <v>8479.6530000000002</v>
      </c>
      <c r="F249" s="119">
        <f t="shared" si="21"/>
        <v>0</v>
      </c>
      <c r="G249" s="120" t="s">
        <v>996</v>
      </c>
      <c r="H249" s="120" t="s">
        <v>996</v>
      </c>
      <c r="I249" s="121" t="str">
        <f t="shared" si="19"/>
        <v>n/a</v>
      </c>
      <c r="J249" s="121" t="str">
        <f t="shared" si="20"/>
        <v>n/a</v>
      </c>
      <c r="M249" s="6" t="s">
        <v>996</v>
      </c>
      <c r="N249" s="6" t="s">
        <v>996</v>
      </c>
      <c r="O249" s="6" t="str">
        <f t="shared" si="22"/>
        <v>n/a</v>
      </c>
      <c r="P249" s="6" t="str">
        <f t="shared" si="23"/>
        <v>n/a</v>
      </c>
    </row>
    <row r="250" spans="1:16" x14ac:dyDescent="0.25">
      <c r="A250" s="6" t="s">
        <v>538</v>
      </c>
      <c r="B250" s="7" t="s">
        <v>868</v>
      </c>
      <c r="C250" s="116">
        <v>354.85300000000001</v>
      </c>
      <c r="D250" s="117">
        <v>64.010000000000005</v>
      </c>
      <c r="E250" s="118">
        <f t="shared" si="18"/>
        <v>22714.140530000001</v>
      </c>
      <c r="F250" s="119">
        <f t="shared" si="21"/>
        <v>1.3075078941621383E-3</v>
      </c>
      <c r="G250" s="120">
        <v>4.8430000000000001E-2</v>
      </c>
      <c r="H250" s="120">
        <v>4.165E-2</v>
      </c>
      <c r="I250" s="121">
        <f t="shared" si="19"/>
        <v>6.3322607314272359E-5</v>
      </c>
      <c r="J250" s="121">
        <f t="shared" si="20"/>
        <v>5.4457703791853061E-5</v>
      </c>
      <c r="M250" s="6">
        <v>4.843</v>
      </c>
      <c r="N250" s="6">
        <v>4.165</v>
      </c>
      <c r="O250" s="6">
        <f t="shared" si="22"/>
        <v>4.8430000000000001E-2</v>
      </c>
      <c r="P250" s="6">
        <f t="shared" si="23"/>
        <v>4.165E-2</v>
      </c>
    </row>
    <row r="251" spans="1:16" x14ac:dyDescent="0.25">
      <c r="A251" s="6" t="s">
        <v>542</v>
      </c>
      <c r="B251" s="7" t="s">
        <v>870</v>
      </c>
      <c r="C251" s="116">
        <v>414.52300000000002</v>
      </c>
      <c r="D251" s="117">
        <v>54.63</v>
      </c>
      <c r="E251" s="118">
        <f t="shared" si="18"/>
        <v>22645.391490000002</v>
      </c>
      <c r="F251" s="119">
        <f t="shared" si="21"/>
        <v>1.3035504513349556E-3</v>
      </c>
      <c r="G251" s="120">
        <v>3.0752000000000002E-2</v>
      </c>
      <c r="H251" s="120">
        <v>8.2279999999999992E-2</v>
      </c>
      <c r="I251" s="121">
        <f t="shared" si="19"/>
        <v>4.0086783479452555E-5</v>
      </c>
      <c r="J251" s="121">
        <f t="shared" si="20"/>
        <v>1.0725613113584013E-4</v>
      </c>
      <c r="M251" s="6">
        <v>3.0752000000000002</v>
      </c>
      <c r="N251" s="6">
        <v>8.2279999999999998</v>
      </c>
      <c r="O251" s="6">
        <f t="shared" si="22"/>
        <v>3.0752000000000002E-2</v>
      </c>
      <c r="P251" s="6">
        <f t="shared" si="23"/>
        <v>8.2279999999999992E-2</v>
      </c>
    </row>
    <row r="252" spans="1:16" x14ac:dyDescent="0.25">
      <c r="A252" s="6" t="s">
        <v>545</v>
      </c>
      <c r="B252" s="7" t="s">
        <v>872</v>
      </c>
      <c r="C252" s="116">
        <v>189.292</v>
      </c>
      <c r="D252" s="117">
        <v>96.24</v>
      </c>
      <c r="E252" s="118">
        <f t="shared" si="18"/>
        <v>18217.462079999998</v>
      </c>
      <c r="F252" s="119">
        <f t="shared" si="21"/>
        <v>1.0486628560627033E-3</v>
      </c>
      <c r="G252" s="120">
        <v>2.9510000000000002E-2</v>
      </c>
      <c r="H252" s="120">
        <v>4.317E-2</v>
      </c>
      <c r="I252" s="121">
        <f t="shared" si="19"/>
        <v>3.0946040882410377E-5</v>
      </c>
      <c r="J252" s="121">
        <f t="shared" si="20"/>
        <v>4.5270775496226898E-5</v>
      </c>
      <c r="M252" s="6">
        <v>2.9510000000000001</v>
      </c>
      <c r="N252" s="6">
        <v>4.3170000000000002</v>
      </c>
      <c r="O252" s="6">
        <f t="shared" si="22"/>
        <v>2.9510000000000002E-2</v>
      </c>
      <c r="P252" s="6">
        <f t="shared" si="23"/>
        <v>4.317E-2</v>
      </c>
    </row>
    <row r="253" spans="1:16" x14ac:dyDescent="0.25">
      <c r="A253" s="6" t="s">
        <v>546</v>
      </c>
      <c r="B253" s="7" t="s">
        <v>873</v>
      </c>
      <c r="C253" s="116">
        <v>132.637</v>
      </c>
      <c r="D253" s="117">
        <v>120.88</v>
      </c>
      <c r="E253" s="118">
        <f t="shared" si="18"/>
        <v>16033.16056</v>
      </c>
      <c r="F253" s="119">
        <f t="shared" si="21"/>
        <v>9.2292657839645098E-4</v>
      </c>
      <c r="G253" s="120">
        <v>8.2730000000000008E-3</v>
      </c>
      <c r="H253" s="120">
        <v>0.28405000000000002</v>
      </c>
      <c r="I253" s="121">
        <f t="shared" si="19"/>
        <v>7.635371583073839E-6</v>
      </c>
      <c r="J253" s="121">
        <f t="shared" si="20"/>
        <v>2.6215729459351192E-4</v>
      </c>
      <c r="M253" s="6">
        <v>0.82730000000000004</v>
      </c>
      <c r="N253" s="6">
        <v>28.405000000000001</v>
      </c>
      <c r="O253" s="6">
        <f t="shared" si="22"/>
        <v>8.2730000000000008E-3</v>
      </c>
      <c r="P253" s="6">
        <f t="shared" si="23"/>
        <v>0.28405000000000002</v>
      </c>
    </row>
    <row r="254" spans="1:16" x14ac:dyDescent="0.25">
      <c r="A254" s="6" t="s">
        <v>554</v>
      </c>
      <c r="B254" s="7" t="s">
        <v>880</v>
      </c>
      <c r="C254" s="116">
        <v>751.29499999999996</v>
      </c>
      <c r="D254" s="117">
        <v>33.869999999999997</v>
      </c>
      <c r="E254" s="118">
        <f t="shared" si="18"/>
        <v>25446.361649999995</v>
      </c>
      <c r="F254" s="119">
        <f t="shared" si="21"/>
        <v>1.4647844012031252E-3</v>
      </c>
      <c r="G254" s="120">
        <v>3.6611000000000005E-2</v>
      </c>
      <c r="H254" s="120">
        <v>7.4999999999999997E-2</v>
      </c>
      <c r="I254" s="121">
        <f t="shared" si="19"/>
        <v>5.3627221712447623E-5</v>
      </c>
      <c r="J254" s="121">
        <f t="shared" si="20"/>
        <v>1.0985883009023439E-4</v>
      </c>
      <c r="M254" s="6">
        <v>3.6611000000000002</v>
      </c>
      <c r="N254" s="6">
        <v>7.5</v>
      </c>
      <c r="O254" s="6">
        <f t="shared" si="22"/>
        <v>3.6611000000000005E-2</v>
      </c>
      <c r="P254" s="6">
        <f t="shared" si="23"/>
        <v>7.4999999999999997E-2</v>
      </c>
    </row>
    <row r="255" spans="1:16" x14ac:dyDescent="0.25">
      <c r="A255" s="6" t="s">
        <v>555</v>
      </c>
      <c r="B255" s="7" t="s">
        <v>881</v>
      </c>
      <c r="C255" s="116">
        <v>73.97</v>
      </c>
      <c r="D255" s="117">
        <v>185.68</v>
      </c>
      <c r="E255" s="118">
        <f t="shared" si="18"/>
        <v>13734.749600000001</v>
      </c>
      <c r="F255" s="119">
        <f t="shared" si="21"/>
        <v>7.9062174959345787E-4</v>
      </c>
      <c r="G255" s="120">
        <v>2.3696999999999999E-2</v>
      </c>
      <c r="H255" s="120">
        <v>0.1588</v>
      </c>
      <c r="I255" s="121">
        <f t="shared" si="19"/>
        <v>1.8735363600116171E-5</v>
      </c>
      <c r="J255" s="121">
        <f t="shared" si="20"/>
        <v>1.2555073383544111E-4</v>
      </c>
      <c r="M255" s="6">
        <v>2.3696999999999999</v>
      </c>
      <c r="N255" s="6">
        <v>15.88</v>
      </c>
      <c r="O255" s="6">
        <f t="shared" si="22"/>
        <v>2.3696999999999999E-2</v>
      </c>
      <c r="P255" s="6">
        <f t="shared" si="23"/>
        <v>0.1588</v>
      </c>
    </row>
    <row r="256" spans="1:16" x14ac:dyDescent="0.25">
      <c r="A256" s="6" t="s">
        <v>557</v>
      </c>
      <c r="B256" s="7" t="s">
        <v>882</v>
      </c>
      <c r="C256" s="116">
        <v>826.22400000000005</v>
      </c>
      <c r="D256" s="117">
        <v>30.63</v>
      </c>
      <c r="E256" s="118">
        <f t="shared" si="18"/>
        <v>25307.241120000002</v>
      </c>
      <c r="F256" s="119">
        <f t="shared" si="21"/>
        <v>1.456776121472058E-3</v>
      </c>
      <c r="G256" s="120">
        <v>3.9176999999999997E-2</v>
      </c>
      <c r="H256" s="120">
        <v>0.1</v>
      </c>
      <c r="I256" s="121">
        <f t="shared" si="19"/>
        <v>5.7072118110910814E-5</v>
      </c>
      <c r="J256" s="121">
        <f t="shared" si="20"/>
        <v>1.4567761214720582E-4</v>
      </c>
      <c r="M256" s="6">
        <v>3.9177</v>
      </c>
      <c r="N256" s="6">
        <v>10</v>
      </c>
      <c r="O256" s="6">
        <f t="shared" si="22"/>
        <v>3.9176999999999997E-2</v>
      </c>
      <c r="P256" s="6">
        <f t="shared" si="23"/>
        <v>0.1</v>
      </c>
    </row>
    <row r="257" spans="1:16" x14ac:dyDescent="0.25">
      <c r="A257" s="6" t="s">
        <v>1061</v>
      </c>
      <c r="B257" s="7" t="s">
        <v>883</v>
      </c>
      <c r="C257" s="116">
        <v>315.58</v>
      </c>
      <c r="D257" s="117">
        <v>60.52</v>
      </c>
      <c r="E257" s="118">
        <f t="shared" si="18"/>
        <v>19098.901600000001</v>
      </c>
      <c r="F257" s="119">
        <f t="shared" si="21"/>
        <v>1.0994016955580531E-3</v>
      </c>
      <c r="G257" s="120">
        <v>3.4369000000000004E-2</v>
      </c>
      <c r="H257" s="120">
        <v>6.225E-2</v>
      </c>
      <c r="I257" s="121">
        <f t="shared" si="19"/>
        <v>3.7785336874634733E-5</v>
      </c>
      <c r="J257" s="121">
        <f t="shared" si="20"/>
        <v>6.84377555484888E-5</v>
      </c>
      <c r="M257" s="6">
        <v>3.4369000000000001</v>
      </c>
      <c r="N257" s="6">
        <v>6.2249999999999996</v>
      </c>
      <c r="O257" s="6">
        <f t="shared" si="22"/>
        <v>3.4369000000000004E-2</v>
      </c>
      <c r="P257" s="6">
        <f t="shared" si="23"/>
        <v>6.225E-2</v>
      </c>
    </row>
    <row r="258" spans="1:16" x14ac:dyDescent="0.25">
      <c r="A258" s="6" t="s">
        <v>562</v>
      </c>
      <c r="B258" s="7" t="s">
        <v>887</v>
      </c>
      <c r="C258" s="116">
        <v>1016.5839999999999</v>
      </c>
      <c r="D258" s="117">
        <v>7.19</v>
      </c>
      <c r="E258" s="118">
        <f t="shared" si="18"/>
        <v>7309.2389599999997</v>
      </c>
      <c r="F258" s="119">
        <f t="shared" si="21"/>
        <v>4.2074617033803556E-4</v>
      </c>
      <c r="G258" s="120">
        <v>3.4771000000000003E-2</v>
      </c>
      <c r="H258" s="120">
        <v>1.8000000000000002E-2</v>
      </c>
      <c r="I258" s="121">
        <f t="shared" si="19"/>
        <v>1.4629765088823837E-5</v>
      </c>
      <c r="J258" s="121">
        <f t="shared" si="20"/>
        <v>7.5734310660846406E-6</v>
      </c>
      <c r="M258" s="6">
        <v>3.4771000000000001</v>
      </c>
      <c r="N258" s="6">
        <v>1.8</v>
      </c>
      <c r="O258" s="6">
        <f t="shared" si="22"/>
        <v>3.4771000000000003E-2</v>
      </c>
      <c r="P258" s="6">
        <f t="shared" si="23"/>
        <v>1.8000000000000002E-2</v>
      </c>
    </row>
    <row r="259" spans="1:16" x14ac:dyDescent="0.25">
      <c r="A259" s="6" t="s">
        <v>181</v>
      </c>
      <c r="B259" s="7" t="s">
        <v>892</v>
      </c>
      <c r="C259" s="116">
        <v>494.69799999999998</v>
      </c>
      <c r="D259" s="117">
        <v>133.74</v>
      </c>
      <c r="E259" s="118">
        <f t="shared" si="18"/>
        <v>66160.910520000005</v>
      </c>
      <c r="F259" s="119">
        <f t="shared" si="21"/>
        <v>0</v>
      </c>
      <c r="G259" s="120" t="s">
        <v>996</v>
      </c>
      <c r="H259" s="120">
        <v>0.17483000000000001</v>
      </c>
      <c r="I259" s="121" t="str">
        <f t="shared" si="19"/>
        <v>n/a</v>
      </c>
      <c r="J259" s="121">
        <f t="shared" si="20"/>
        <v>0</v>
      </c>
      <c r="M259" s="6" t="s">
        <v>996</v>
      </c>
      <c r="N259" s="6">
        <v>17.483000000000001</v>
      </c>
      <c r="O259" s="6" t="str">
        <f t="shared" si="22"/>
        <v>n/a</v>
      </c>
      <c r="P259" s="6">
        <f t="shared" si="23"/>
        <v>0.17483000000000001</v>
      </c>
    </row>
    <row r="260" spans="1:16" x14ac:dyDescent="0.25">
      <c r="A260" s="6" t="s">
        <v>182</v>
      </c>
      <c r="B260" s="7" t="s">
        <v>573</v>
      </c>
      <c r="C260" s="116">
        <v>659.31399999999996</v>
      </c>
      <c r="D260" s="117">
        <v>11.31</v>
      </c>
      <c r="E260" s="118">
        <f t="shared" si="18"/>
        <v>7456.8413399999999</v>
      </c>
      <c r="F260" s="119">
        <f t="shared" si="21"/>
        <v>4.2924269596233662E-4</v>
      </c>
      <c r="G260" s="120">
        <v>4.2439999999999999E-2</v>
      </c>
      <c r="H260" s="120">
        <v>4.367E-2</v>
      </c>
      <c r="I260" s="121">
        <f t="shared" si="19"/>
        <v>1.8217060016641564E-5</v>
      </c>
      <c r="J260" s="121">
        <f t="shared" si="20"/>
        <v>1.874502853267524E-5</v>
      </c>
      <c r="M260" s="6">
        <v>4.2439999999999998</v>
      </c>
      <c r="N260" s="6">
        <v>4.367</v>
      </c>
      <c r="O260" s="6">
        <f t="shared" si="22"/>
        <v>4.2439999999999999E-2</v>
      </c>
      <c r="P260" s="6">
        <f t="shared" si="23"/>
        <v>4.367E-2</v>
      </c>
    </row>
    <row r="261" spans="1:16" x14ac:dyDescent="0.25">
      <c r="A261" s="6" t="s">
        <v>202</v>
      </c>
      <c r="B261" s="7" t="s">
        <v>896</v>
      </c>
      <c r="C261" s="116">
        <v>735.399</v>
      </c>
      <c r="D261" s="117">
        <v>163.32</v>
      </c>
      <c r="E261" s="118">
        <f t="shared" si="18"/>
        <v>120105.36468</v>
      </c>
      <c r="F261" s="119">
        <f t="shared" si="21"/>
        <v>6.9136981979534516E-3</v>
      </c>
      <c r="G261" s="120">
        <v>2.8166000000000004E-2</v>
      </c>
      <c r="H261" s="120">
        <v>6.812E-2</v>
      </c>
      <c r="I261" s="121">
        <f t="shared" si="19"/>
        <v>1.9473122344355694E-4</v>
      </c>
      <c r="J261" s="121">
        <f t="shared" si="20"/>
        <v>4.7096112124458912E-4</v>
      </c>
      <c r="M261" s="6">
        <v>2.8166000000000002</v>
      </c>
      <c r="N261" s="6">
        <v>6.8120000000000003</v>
      </c>
      <c r="O261" s="6">
        <f t="shared" si="22"/>
        <v>2.8166000000000004E-2</v>
      </c>
      <c r="P261" s="6">
        <f t="shared" si="23"/>
        <v>6.812E-2</v>
      </c>
    </row>
    <row r="262" spans="1:16" x14ac:dyDescent="0.25">
      <c r="A262" s="6" t="s">
        <v>209</v>
      </c>
      <c r="B262" s="7" t="s">
        <v>898</v>
      </c>
      <c r="C262" s="116">
        <v>5246.54</v>
      </c>
      <c r="D262" s="117">
        <v>143.65</v>
      </c>
      <c r="E262" s="118">
        <f t="shared" si="18"/>
        <v>753665.47100000002</v>
      </c>
      <c r="F262" s="119">
        <f t="shared" si="21"/>
        <v>4.3383704155057726E-2</v>
      </c>
      <c r="G262" s="120">
        <v>1.5872000000000001E-2</v>
      </c>
      <c r="H262" s="120">
        <v>0.10632</v>
      </c>
      <c r="I262" s="121">
        <f t="shared" si="19"/>
        <v>6.8858615234907621E-4</v>
      </c>
      <c r="J262" s="121">
        <f t="shared" si="20"/>
        <v>4.6125554257657377E-3</v>
      </c>
      <c r="M262" s="6">
        <v>1.5872000000000002</v>
      </c>
      <c r="N262" s="6">
        <v>10.632</v>
      </c>
      <c r="O262" s="6">
        <f t="shared" si="22"/>
        <v>1.5872000000000001E-2</v>
      </c>
      <c r="P262" s="6">
        <f t="shared" si="23"/>
        <v>0.10632</v>
      </c>
    </row>
    <row r="263" spans="1:16" x14ac:dyDescent="0.25">
      <c r="A263" s="6" t="s">
        <v>214</v>
      </c>
      <c r="B263" s="7" t="s">
        <v>900</v>
      </c>
      <c r="C263" s="116">
        <v>220.84899999999999</v>
      </c>
      <c r="D263" s="117">
        <v>90.07</v>
      </c>
      <c r="E263" s="118">
        <f t="shared" si="18"/>
        <v>19891.869429999999</v>
      </c>
      <c r="F263" s="119">
        <f t="shared" si="21"/>
        <v>0</v>
      </c>
      <c r="G263" s="120" t="s">
        <v>996</v>
      </c>
      <c r="H263" s="120">
        <v>0.24332999999999999</v>
      </c>
      <c r="I263" s="121" t="str">
        <f t="shared" si="19"/>
        <v>n/a</v>
      </c>
      <c r="J263" s="121">
        <f t="shared" si="20"/>
        <v>0</v>
      </c>
      <c r="M263" s="6" t="s">
        <v>996</v>
      </c>
      <c r="N263" s="6">
        <v>24.332999999999998</v>
      </c>
      <c r="O263" s="6" t="str">
        <f t="shared" si="22"/>
        <v>n/a</v>
      </c>
      <c r="P263" s="6">
        <f t="shared" si="23"/>
        <v>0.24332999999999999</v>
      </c>
    </row>
    <row r="264" spans="1:16" x14ac:dyDescent="0.25">
      <c r="A264" s="6" t="s">
        <v>259</v>
      </c>
      <c r="B264" s="7" t="s">
        <v>909</v>
      </c>
      <c r="C264" s="116">
        <v>105.32299999999999</v>
      </c>
      <c r="D264" s="117">
        <v>122.47</v>
      </c>
      <c r="E264" s="118">
        <f t="shared" si="18"/>
        <v>12898.907809999999</v>
      </c>
      <c r="F264" s="119">
        <f t="shared" si="21"/>
        <v>7.4250767997888483E-4</v>
      </c>
      <c r="G264" s="120">
        <v>1.0860000000000002E-2</v>
      </c>
      <c r="H264" s="120">
        <v>0.1115</v>
      </c>
      <c r="I264" s="121">
        <f t="shared" si="19"/>
        <v>8.0636334045706899E-6</v>
      </c>
      <c r="J264" s="121">
        <f t="shared" si="20"/>
        <v>8.2789606317645664E-5</v>
      </c>
      <c r="M264" s="6">
        <v>1.0860000000000001</v>
      </c>
      <c r="N264" s="6">
        <v>11.15</v>
      </c>
      <c r="O264" s="6">
        <f t="shared" si="22"/>
        <v>1.0860000000000002E-2</v>
      </c>
      <c r="P264" s="6">
        <f t="shared" si="23"/>
        <v>0.1115</v>
      </c>
    </row>
    <row r="265" spans="1:16" x14ac:dyDescent="0.25">
      <c r="A265" s="6" t="s">
        <v>269</v>
      </c>
      <c r="B265" s="7" t="s">
        <v>914</v>
      </c>
      <c r="C265" s="116">
        <v>4733.5119999999997</v>
      </c>
      <c r="D265" s="117">
        <v>39.19</v>
      </c>
      <c r="E265" s="118">
        <f t="shared" si="18"/>
        <v>185506.33527999997</v>
      </c>
      <c r="F265" s="119">
        <f t="shared" si="21"/>
        <v>1.0678414068775172E-2</v>
      </c>
      <c r="G265" s="120">
        <v>1.6076E-2</v>
      </c>
      <c r="H265" s="120">
        <v>0.10310000000000001</v>
      </c>
      <c r="I265" s="121">
        <f t="shared" si="19"/>
        <v>1.7166618456962966E-4</v>
      </c>
      <c r="J265" s="121">
        <f t="shared" si="20"/>
        <v>1.1009444904907203E-3</v>
      </c>
      <c r="M265" s="6">
        <v>1.6076000000000001</v>
      </c>
      <c r="N265" s="6">
        <v>10.31</v>
      </c>
      <c r="O265" s="6">
        <f t="shared" si="22"/>
        <v>1.6076E-2</v>
      </c>
      <c r="P265" s="6">
        <f t="shared" si="23"/>
        <v>0.10310000000000001</v>
      </c>
    </row>
    <row r="266" spans="1:16" x14ac:dyDescent="0.25">
      <c r="A266" s="6" t="s">
        <v>416</v>
      </c>
      <c r="B266" s="7" t="s">
        <v>768</v>
      </c>
      <c r="C266" s="116">
        <v>194.72800000000001</v>
      </c>
      <c r="D266" s="117">
        <v>95.89</v>
      </c>
      <c r="E266" s="118">
        <f t="shared" si="18"/>
        <v>18672.467919999999</v>
      </c>
      <c r="F266" s="119">
        <f t="shared" si="21"/>
        <v>1.0748546341273024E-3</v>
      </c>
      <c r="G266" s="120">
        <v>1.7103E-2</v>
      </c>
      <c r="H266" s="120">
        <v>0.16875000000000001</v>
      </c>
      <c r="I266" s="121">
        <f t="shared" si="19"/>
        <v>1.8383238807479254E-5</v>
      </c>
      <c r="J266" s="121">
        <f t="shared" si="20"/>
        <v>1.8138171950898231E-4</v>
      </c>
      <c r="M266" s="6">
        <v>1.7103000000000002</v>
      </c>
      <c r="N266" s="6">
        <v>16.875</v>
      </c>
      <c r="O266" s="6">
        <f t="shared" si="22"/>
        <v>1.7103E-2</v>
      </c>
      <c r="P266" s="6">
        <f t="shared" si="23"/>
        <v>0.16875000000000001</v>
      </c>
    </row>
    <row r="267" spans="1:16" x14ac:dyDescent="0.25">
      <c r="A267" s="6" t="s">
        <v>383</v>
      </c>
      <c r="B267" s="7" t="s">
        <v>941</v>
      </c>
      <c r="C267" s="116">
        <v>156.76300000000001</v>
      </c>
      <c r="D267" s="117">
        <v>98.22</v>
      </c>
      <c r="E267" s="118">
        <f t="shared" si="18"/>
        <v>15397.261860000001</v>
      </c>
      <c r="F267" s="119">
        <f t="shared" si="21"/>
        <v>8.8632195454817892E-4</v>
      </c>
      <c r="G267" s="120">
        <v>2.1991E-2</v>
      </c>
      <c r="H267" s="120">
        <v>4.2000000000000003E-2</v>
      </c>
      <c r="I267" s="121">
        <f t="shared" si="19"/>
        <v>1.9491106102469001E-5</v>
      </c>
      <c r="J267" s="121">
        <f t="shared" si="20"/>
        <v>3.7225522091023514E-5</v>
      </c>
      <c r="M267" s="6">
        <v>2.1991000000000001</v>
      </c>
      <c r="N267" s="6">
        <v>4.2</v>
      </c>
      <c r="O267" s="6">
        <f t="shared" si="22"/>
        <v>2.1991E-2</v>
      </c>
      <c r="P267" s="6">
        <f t="shared" si="23"/>
        <v>4.2000000000000003E-2</v>
      </c>
    </row>
    <row r="268" spans="1:16" x14ac:dyDescent="0.25">
      <c r="A268" s="6" t="s">
        <v>1017</v>
      </c>
      <c r="B268" s="7" t="s">
        <v>90</v>
      </c>
      <c r="C268" s="116">
        <v>382.42</v>
      </c>
      <c r="D268" s="117">
        <v>94.42</v>
      </c>
      <c r="E268" s="118">
        <f t="shared" si="18"/>
        <v>36108.096400000002</v>
      </c>
      <c r="F268" s="119">
        <f t="shared" si="21"/>
        <v>2.0785123268834286E-3</v>
      </c>
      <c r="G268" s="120">
        <v>1.2709E-2</v>
      </c>
      <c r="H268" s="120">
        <v>0.13186</v>
      </c>
      <c r="I268" s="121">
        <f t="shared" si="19"/>
        <v>2.6415813162361492E-5</v>
      </c>
      <c r="J268" s="121">
        <f t="shared" si="20"/>
        <v>2.7407263542284887E-4</v>
      </c>
      <c r="M268" s="6">
        <v>1.2708999999999999</v>
      </c>
      <c r="N268" s="6">
        <v>13.186</v>
      </c>
      <c r="O268" s="6">
        <f t="shared" si="22"/>
        <v>1.2709E-2</v>
      </c>
      <c r="P268" s="6">
        <f t="shared" si="23"/>
        <v>0.13186</v>
      </c>
    </row>
    <row r="269" spans="1:16" x14ac:dyDescent="0.25">
      <c r="A269" s="6" t="s">
        <v>405</v>
      </c>
      <c r="B269" s="7" t="s">
        <v>759</v>
      </c>
      <c r="C269" s="116">
        <v>113.227</v>
      </c>
      <c r="D269" s="117">
        <v>99.9</v>
      </c>
      <c r="E269" s="118">
        <f t="shared" si="18"/>
        <v>11311.377300000002</v>
      </c>
      <c r="F269" s="119">
        <f t="shared" si="21"/>
        <v>6.5112369513003164E-4</v>
      </c>
      <c r="G269" s="120">
        <v>1.8818999999999999E-2</v>
      </c>
      <c r="H269" s="120">
        <v>7.8600000000000003E-2</v>
      </c>
      <c r="I269" s="121">
        <f t="shared" si="19"/>
        <v>1.2253496818652064E-5</v>
      </c>
      <c r="J269" s="121">
        <f t="shared" si="20"/>
        <v>5.1178322437220489E-5</v>
      </c>
      <c r="M269" s="6">
        <v>1.8818999999999999</v>
      </c>
      <c r="N269" s="6">
        <v>7.86</v>
      </c>
      <c r="O269" s="6">
        <f t="shared" si="22"/>
        <v>1.8818999999999999E-2</v>
      </c>
      <c r="P269" s="6">
        <f t="shared" si="23"/>
        <v>7.8600000000000003E-2</v>
      </c>
    </row>
    <row r="270" spans="1:16" x14ac:dyDescent="0.25">
      <c r="A270" s="6" t="s">
        <v>436</v>
      </c>
      <c r="B270" s="7" t="s">
        <v>782</v>
      </c>
      <c r="C270" s="116">
        <v>166.851</v>
      </c>
      <c r="D270" s="117">
        <v>48.27</v>
      </c>
      <c r="E270" s="118">
        <f t="shared" ref="E270:E333" si="24">C270*D270</f>
        <v>8053.8977700000005</v>
      </c>
      <c r="F270" s="119">
        <f t="shared" si="21"/>
        <v>4.6361141858488984E-4</v>
      </c>
      <c r="G270" s="120">
        <v>3.0661000000000001E-2</v>
      </c>
      <c r="H270" s="120">
        <v>7.6289999999999997E-2</v>
      </c>
      <c r="I270" s="121">
        <f t="shared" ref="I270:I333" si="25">IF(G270="n/a","n/a",$F270*G270)</f>
        <v>1.4214789705231309E-5</v>
      </c>
      <c r="J270" s="121">
        <f t="shared" ref="J270:J333" si="26">IF(H270="n/a","n/a",$F270*H270)</f>
        <v>3.5368915123841245E-5</v>
      </c>
      <c r="M270" s="6">
        <v>3.0661</v>
      </c>
      <c r="N270" s="6">
        <v>7.6289999999999996</v>
      </c>
      <c r="O270" s="6">
        <f t="shared" si="22"/>
        <v>3.0661000000000001E-2</v>
      </c>
      <c r="P270" s="6">
        <f t="shared" si="23"/>
        <v>7.6289999999999997E-2</v>
      </c>
    </row>
    <row r="271" spans="1:16" x14ac:dyDescent="0.25">
      <c r="A271" s="6" t="s">
        <v>448</v>
      </c>
      <c r="B271" s="7" t="s">
        <v>958</v>
      </c>
      <c r="C271" s="116">
        <v>351.255</v>
      </c>
      <c r="D271" s="117">
        <v>66.73</v>
      </c>
      <c r="E271" s="118">
        <f t="shared" si="24"/>
        <v>23439.246150000003</v>
      </c>
      <c r="F271" s="119">
        <f t="shared" ref="F271:F334" si="27">IF(OR(G271="n/a",H271="n/a",H271&lt;0%),0%,E271/SUMIFS(E$14:E$518,G$14:G$518,"&lt;&gt;n/a",$H$14:$H$518,"&lt;&gt;n/a",$H$14:$H$518,"&gt;=0"))</f>
        <v>1.3492475902338054E-3</v>
      </c>
      <c r="G271" s="120">
        <v>1.4985999999999999E-2</v>
      </c>
      <c r="H271" s="120">
        <v>6.7330000000000001E-2</v>
      </c>
      <c r="I271" s="121">
        <f t="shared" si="25"/>
        <v>2.0219824387243807E-5</v>
      </c>
      <c r="J271" s="121">
        <f t="shared" si="26"/>
        <v>9.0844840250442127E-5</v>
      </c>
      <c r="M271" s="6">
        <v>1.4985999999999999</v>
      </c>
      <c r="N271" s="6">
        <v>6.7329999999999997</v>
      </c>
      <c r="O271" s="6">
        <f t="shared" ref="O271:O334" si="28">IFERROR(M271/100, "n/a")</f>
        <v>1.4985999999999999E-2</v>
      </c>
      <c r="P271" s="6">
        <f t="shared" ref="P271:P334" si="29">IFERROR(N271/100, "n/a")</f>
        <v>6.7330000000000001E-2</v>
      </c>
    </row>
    <row r="272" spans="1:16" x14ac:dyDescent="0.25">
      <c r="A272" s="6" t="s">
        <v>275</v>
      </c>
      <c r="B272" s="7" t="s">
        <v>915</v>
      </c>
      <c r="C272" s="116">
        <v>438.94099999999997</v>
      </c>
      <c r="D272" s="117">
        <v>177.52</v>
      </c>
      <c r="E272" s="118">
        <f t="shared" si="24"/>
        <v>77920.806320000003</v>
      </c>
      <c r="F272" s="119">
        <f t="shared" si="27"/>
        <v>4.4854027933972215E-3</v>
      </c>
      <c r="G272" s="120">
        <v>1.1266E-2</v>
      </c>
      <c r="H272" s="120">
        <v>0.10396000000000001</v>
      </c>
      <c r="I272" s="121">
        <f t="shared" si="25"/>
        <v>5.0532547870413096E-5</v>
      </c>
      <c r="J272" s="121">
        <f t="shared" si="26"/>
        <v>4.6630247440157519E-4</v>
      </c>
      <c r="M272" s="6">
        <v>1.1266</v>
      </c>
      <c r="N272" s="6">
        <v>10.396000000000001</v>
      </c>
      <c r="O272" s="6">
        <f t="shared" si="28"/>
        <v>1.1266E-2</v>
      </c>
      <c r="P272" s="6">
        <f t="shared" si="29"/>
        <v>0.10396000000000001</v>
      </c>
    </row>
    <row r="273" spans="1:16" x14ac:dyDescent="0.25">
      <c r="A273" s="6" t="s">
        <v>507</v>
      </c>
      <c r="B273" s="7" t="s">
        <v>842</v>
      </c>
      <c r="C273" s="116">
        <v>373.76499999999999</v>
      </c>
      <c r="D273" s="117">
        <v>136.37</v>
      </c>
      <c r="E273" s="118">
        <f t="shared" si="24"/>
        <v>50970.333050000001</v>
      </c>
      <c r="F273" s="119">
        <f t="shared" si="27"/>
        <v>2.9340362996754048E-3</v>
      </c>
      <c r="G273" s="120">
        <v>1.2466E-2</v>
      </c>
      <c r="H273" s="120">
        <v>8.0380000000000007E-2</v>
      </c>
      <c r="I273" s="121">
        <f t="shared" si="25"/>
        <v>3.6575696511753595E-5</v>
      </c>
      <c r="J273" s="121">
        <f t="shared" si="26"/>
        <v>2.3583783776790905E-4</v>
      </c>
      <c r="M273" s="6">
        <v>1.2465999999999999</v>
      </c>
      <c r="N273" s="6">
        <v>8.0380000000000003</v>
      </c>
      <c r="O273" s="6">
        <f t="shared" si="28"/>
        <v>1.2466E-2</v>
      </c>
      <c r="P273" s="6">
        <f t="shared" si="29"/>
        <v>8.0380000000000007E-2</v>
      </c>
    </row>
    <row r="274" spans="1:16" x14ac:dyDescent="0.25">
      <c r="A274" s="6" t="s">
        <v>529</v>
      </c>
      <c r="B274" s="7" t="s">
        <v>858</v>
      </c>
      <c r="C274" s="116">
        <v>286.94799999999998</v>
      </c>
      <c r="D274" s="117">
        <v>64.260000000000005</v>
      </c>
      <c r="E274" s="118">
        <f t="shared" si="24"/>
        <v>18439.278480000001</v>
      </c>
      <c r="F274" s="119">
        <f t="shared" si="27"/>
        <v>1.0614314084836753E-3</v>
      </c>
      <c r="G274" s="120">
        <v>1.4006000000000001E-2</v>
      </c>
      <c r="H274" s="120">
        <v>6.3E-2</v>
      </c>
      <c r="I274" s="121">
        <f t="shared" si="25"/>
        <v>1.4866408307222357E-5</v>
      </c>
      <c r="J274" s="121">
        <f t="shared" si="26"/>
        <v>6.6870178734471547E-5</v>
      </c>
      <c r="M274" s="6">
        <v>1.4006000000000001</v>
      </c>
      <c r="N274" s="6">
        <v>6.3</v>
      </c>
      <c r="O274" s="6">
        <f t="shared" si="28"/>
        <v>1.4006000000000001E-2</v>
      </c>
      <c r="P274" s="6">
        <f t="shared" si="29"/>
        <v>6.3E-2</v>
      </c>
    </row>
    <row r="275" spans="1:16" x14ac:dyDescent="0.25">
      <c r="A275" s="6" t="s">
        <v>210</v>
      </c>
      <c r="B275" s="7" t="s">
        <v>899</v>
      </c>
      <c r="C275" s="116">
        <v>1079.8309999999999</v>
      </c>
      <c r="D275" s="117">
        <v>40.61</v>
      </c>
      <c r="E275" s="118">
        <f t="shared" si="24"/>
        <v>43851.936909999997</v>
      </c>
      <c r="F275" s="119">
        <f t="shared" si="27"/>
        <v>2.5242757307236329E-3</v>
      </c>
      <c r="G275" s="120">
        <v>9.8499999999999994E-3</v>
      </c>
      <c r="H275" s="120">
        <v>0.15720000000000001</v>
      </c>
      <c r="I275" s="121">
        <f t="shared" si="25"/>
        <v>2.4864115947627782E-5</v>
      </c>
      <c r="J275" s="121">
        <f t="shared" si="26"/>
        <v>3.9681614486975511E-4</v>
      </c>
      <c r="M275" s="6">
        <v>0.98499999999999999</v>
      </c>
      <c r="N275" s="6">
        <v>15.72</v>
      </c>
      <c r="O275" s="6">
        <f t="shared" si="28"/>
        <v>9.8499999999999994E-3</v>
      </c>
      <c r="P275" s="6">
        <f t="shared" si="29"/>
        <v>0.15720000000000001</v>
      </c>
    </row>
    <row r="276" spans="1:16" x14ac:dyDescent="0.25">
      <c r="A276" s="6" t="s">
        <v>520</v>
      </c>
      <c r="B276" s="7" t="s">
        <v>852</v>
      </c>
      <c r="C276" s="116">
        <v>775.31299999999999</v>
      </c>
      <c r="D276" s="117">
        <v>99.27</v>
      </c>
      <c r="E276" s="118">
        <f t="shared" si="24"/>
        <v>76965.321509999994</v>
      </c>
      <c r="F276" s="119">
        <f t="shared" si="27"/>
        <v>4.4304016398128716E-3</v>
      </c>
      <c r="G276" s="120">
        <v>1.6218E-2</v>
      </c>
      <c r="H276" s="120">
        <v>9.3000000000000013E-2</v>
      </c>
      <c r="I276" s="121">
        <f t="shared" si="25"/>
        <v>7.1852253794485145E-5</v>
      </c>
      <c r="J276" s="121">
        <f t="shared" si="26"/>
        <v>4.1202735250259713E-4</v>
      </c>
      <c r="M276" s="6">
        <v>1.6217999999999999</v>
      </c>
      <c r="N276" s="6">
        <v>9.3000000000000007</v>
      </c>
      <c r="O276" s="6">
        <f t="shared" si="28"/>
        <v>1.6218E-2</v>
      </c>
      <c r="P276" s="6">
        <f t="shared" si="29"/>
        <v>9.3000000000000013E-2</v>
      </c>
    </row>
    <row r="277" spans="1:16" x14ac:dyDescent="0.25">
      <c r="A277" s="6" t="s">
        <v>227</v>
      </c>
      <c r="B277" s="7" t="s">
        <v>903</v>
      </c>
      <c r="C277" s="116">
        <v>145.154</v>
      </c>
      <c r="D277" s="117">
        <v>38.75</v>
      </c>
      <c r="E277" s="118">
        <f t="shared" si="24"/>
        <v>5624.7174999999997</v>
      </c>
      <c r="F277" s="119">
        <f t="shared" si="27"/>
        <v>3.2377903640987675E-4</v>
      </c>
      <c r="G277" s="120">
        <v>1.5484E-2</v>
      </c>
      <c r="H277" s="120">
        <v>5.636E-2</v>
      </c>
      <c r="I277" s="121">
        <f t="shared" si="25"/>
        <v>5.0133945997705312E-6</v>
      </c>
      <c r="J277" s="121">
        <f t="shared" si="26"/>
        <v>1.8248186492060654E-5</v>
      </c>
      <c r="M277" s="6">
        <v>1.5484</v>
      </c>
      <c r="N277" s="6">
        <v>5.6360000000000001</v>
      </c>
      <c r="O277" s="6">
        <f t="shared" si="28"/>
        <v>1.5484E-2</v>
      </c>
      <c r="P277" s="6">
        <f t="shared" si="29"/>
        <v>5.636E-2</v>
      </c>
    </row>
    <row r="278" spans="1:16" x14ac:dyDescent="0.25">
      <c r="A278" s="6" t="s">
        <v>1018</v>
      </c>
      <c r="B278" s="7" t="s">
        <v>1019</v>
      </c>
      <c r="C278" s="116">
        <v>492.589</v>
      </c>
      <c r="D278" s="117">
        <v>42.62</v>
      </c>
      <c r="E278" s="118">
        <f t="shared" si="24"/>
        <v>20994.143179999999</v>
      </c>
      <c r="F278" s="119">
        <f t="shared" si="27"/>
        <v>0</v>
      </c>
      <c r="G278" s="120">
        <v>9.3849999999999992E-3</v>
      </c>
      <c r="H278" s="120">
        <v>-2.7099999999999999E-2</v>
      </c>
      <c r="I278" s="121">
        <f t="shared" si="25"/>
        <v>0</v>
      </c>
      <c r="J278" s="121">
        <f t="shared" si="26"/>
        <v>0</v>
      </c>
      <c r="M278" s="6">
        <v>0.9385</v>
      </c>
      <c r="N278" s="6">
        <v>-2.71</v>
      </c>
      <c r="O278" s="6">
        <f t="shared" si="28"/>
        <v>9.3849999999999992E-3</v>
      </c>
      <c r="P278" s="6">
        <f t="shared" si="29"/>
        <v>-2.7099999999999999E-2</v>
      </c>
    </row>
    <row r="279" spans="1:16" x14ac:dyDescent="0.25">
      <c r="A279" s="6" t="s">
        <v>241</v>
      </c>
      <c r="B279" s="7" t="s">
        <v>619</v>
      </c>
      <c r="C279" s="116">
        <v>315.45499999999998</v>
      </c>
      <c r="D279" s="117">
        <v>72.59</v>
      </c>
      <c r="E279" s="118">
        <f t="shared" si="24"/>
        <v>22898.87845</v>
      </c>
      <c r="F279" s="119">
        <f t="shared" si="27"/>
        <v>1.3181420754745268E-3</v>
      </c>
      <c r="G279" s="120">
        <v>2.4736000000000001E-2</v>
      </c>
      <c r="H279" s="120">
        <v>7.7670000000000003E-2</v>
      </c>
      <c r="I279" s="121">
        <f t="shared" si="25"/>
        <v>3.2605562378937896E-5</v>
      </c>
      <c r="J279" s="121">
        <f t="shared" si="26"/>
        <v>1.023800950021065E-4</v>
      </c>
      <c r="M279" s="6">
        <v>2.4736000000000002</v>
      </c>
      <c r="N279" s="6">
        <v>7.7670000000000003</v>
      </c>
      <c r="O279" s="6">
        <f t="shared" si="28"/>
        <v>2.4736000000000001E-2</v>
      </c>
      <c r="P279" s="6">
        <f t="shared" si="29"/>
        <v>7.7670000000000003E-2</v>
      </c>
    </row>
    <row r="280" spans="1:16" x14ac:dyDescent="0.25">
      <c r="A280" s="6" t="s">
        <v>247</v>
      </c>
      <c r="B280" s="7" t="s">
        <v>905</v>
      </c>
      <c r="C280" s="116">
        <v>780.82399999999996</v>
      </c>
      <c r="D280" s="117">
        <v>124.05</v>
      </c>
      <c r="E280" s="118">
        <f t="shared" si="24"/>
        <v>96861.217199999999</v>
      </c>
      <c r="F280" s="119">
        <f t="shared" si="27"/>
        <v>0</v>
      </c>
      <c r="G280" s="120" t="s">
        <v>996</v>
      </c>
      <c r="H280" s="120">
        <v>0.20678000000000002</v>
      </c>
      <c r="I280" s="121" t="str">
        <f t="shared" si="25"/>
        <v>n/a</v>
      </c>
      <c r="J280" s="121">
        <f t="shared" si="26"/>
        <v>0</v>
      </c>
      <c r="M280" s="6" t="s">
        <v>996</v>
      </c>
      <c r="N280" s="6">
        <v>20.678000000000001</v>
      </c>
      <c r="O280" s="6" t="str">
        <f t="shared" si="28"/>
        <v>n/a</v>
      </c>
      <c r="P280" s="6">
        <f t="shared" si="29"/>
        <v>0.20678000000000002</v>
      </c>
    </row>
    <row r="281" spans="1:16" x14ac:dyDescent="0.25">
      <c r="A281" s="6" t="s">
        <v>250</v>
      </c>
      <c r="B281" s="7" t="s">
        <v>906</v>
      </c>
      <c r="C281" s="116">
        <v>330.42899999999997</v>
      </c>
      <c r="D281" s="117">
        <v>64.75</v>
      </c>
      <c r="E281" s="118">
        <f t="shared" si="24"/>
        <v>21395.277749999997</v>
      </c>
      <c r="F281" s="119">
        <f t="shared" si="27"/>
        <v>0</v>
      </c>
      <c r="G281" s="120" t="s">
        <v>996</v>
      </c>
      <c r="H281" s="120">
        <v>0.12820000000000001</v>
      </c>
      <c r="I281" s="121" t="str">
        <f t="shared" si="25"/>
        <v>n/a</v>
      </c>
      <c r="J281" s="121">
        <f t="shared" si="26"/>
        <v>0</v>
      </c>
      <c r="M281" s="6" t="s">
        <v>996</v>
      </c>
      <c r="N281" s="6">
        <v>12.82</v>
      </c>
      <c r="O281" s="6" t="str">
        <f t="shared" si="28"/>
        <v>n/a</v>
      </c>
      <c r="P281" s="6">
        <f t="shared" si="29"/>
        <v>0.12820000000000001</v>
      </c>
    </row>
    <row r="282" spans="1:16" x14ac:dyDescent="0.25">
      <c r="A282" s="6" t="s">
        <v>258</v>
      </c>
      <c r="B282" s="7" t="s">
        <v>908</v>
      </c>
      <c r="C282" s="116">
        <v>164.68799999999999</v>
      </c>
      <c r="D282" s="117">
        <v>72.09</v>
      </c>
      <c r="E282" s="118">
        <f t="shared" si="24"/>
        <v>11872.35792</v>
      </c>
      <c r="F282" s="119">
        <f t="shared" si="27"/>
        <v>0</v>
      </c>
      <c r="G282" s="120">
        <v>2.7743000000000004E-2</v>
      </c>
      <c r="H282" s="120" t="s">
        <v>996</v>
      </c>
      <c r="I282" s="121">
        <f t="shared" si="25"/>
        <v>0</v>
      </c>
      <c r="J282" s="121" t="str">
        <f t="shared" si="26"/>
        <v>n/a</v>
      </c>
      <c r="M282" s="6">
        <v>2.7743000000000002</v>
      </c>
      <c r="N282" s="6" t="s">
        <v>996</v>
      </c>
      <c r="O282" s="6">
        <f t="shared" si="28"/>
        <v>2.7743000000000004E-2</v>
      </c>
      <c r="P282" s="6" t="str">
        <f t="shared" si="29"/>
        <v>n/a</v>
      </c>
    </row>
    <row r="283" spans="1:16" x14ac:dyDescent="0.25">
      <c r="A283" s="6" t="s">
        <v>293</v>
      </c>
      <c r="B283" s="7" t="s">
        <v>663</v>
      </c>
      <c r="C283" s="116">
        <v>375.577</v>
      </c>
      <c r="D283" s="117">
        <v>32.89</v>
      </c>
      <c r="E283" s="118">
        <f t="shared" si="24"/>
        <v>12352.72753</v>
      </c>
      <c r="F283" s="119">
        <f t="shared" si="27"/>
        <v>7.1106757213978424E-4</v>
      </c>
      <c r="G283" s="120">
        <v>1.2161999999999999E-2</v>
      </c>
      <c r="H283" s="120">
        <v>0.11768000000000001</v>
      </c>
      <c r="I283" s="121">
        <f t="shared" si="25"/>
        <v>8.6480038123640555E-6</v>
      </c>
      <c r="J283" s="121">
        <f t="shared" si="26"/>
        <v>8.3678431889409809E-5</v>
      </c>
      <c r="M283" s="6">
        <v>1.2161999999999999</v>
      </c>
      <c r="N283" s="6">
        <v>11.768000000000001</v>
      </c>
      <c r="O283" s="6">
        <f t="shared" si="28"/>
        <v>1.2161999999999999E-2</v>
      </c>
      <c r="P283" s="6">
        <f t="shared" si="29"/>
        <v>0.11768000000000001</v>
      </c>
    </row>
    <row r="284" spans="1:16" x14ac:dyDescent="0.25">
      <c r="A284" s="6" t="s">
        <v>329</v>
      </c>
      <c r="B284" s="7" t="s">
        <v>686</v>
      </c>
      <c r="C284" s="116">
        <v>130.489</v>
      </c>
      <c r="D284" s="117">
        <v>50.87</v>
      </c>
      <c r="E284" s="118">
        <f t="shared" si="24"/>
        <v>6637.9754299999995</v>
      </c>
      <c r="F284" s="119">
        <f t="shared" si="27"/>
        <v>3.8210581925898269E-4</v>
      </c>
      <c r="G284" s="120">
        <v>1.494E-2</v>
      </c>
      <c r="H284" s="120">
        <v>0.1174</v>
      </c>
      <c r="I284" s="121">
        <f t="shared" si="25"/>
        <v>5.7086609397292013E-6</v>
      </c>
      <c r="J284" s="121">
        <f t="shared" si="26"/>
        <v>4.4859223181004566E-5</v>
      </c>
      <c r="M284" s="6">
        <v>1.494</v>
      </c>
      <c r="N284" s="6">
        <v>11.74</v>
      </c>
      <c r="O284" s="6">
        <f t="shared" si="28"/>
        <v>1.494E-2</v>
      </c>
      <c r="P284" s="6">
        <f t="shared" si="29"/>
        <v>0.1174</v>
      </c>
    </row>
    <row r="285" spans="1:16" x14ac:dyDescent="0.25">
      <c r="A285" s="6" t="s">
        <v>305</v>
      </c>
      <c r="B285" s="7" t="s">
        <v>921</v>
      </c>
      <c r="C285" s="116">
        <v>308.26499999999999</v>
      </c>
      <c r="D285" s="117">
        <v>94.82</v>
      </c>
      <c r="E285" s="118">
        <f t="shared" si="24"/>
        <v>29229.687299999998</v>
      </c>
      <c r="F285" s="119">
        <f t="shared" si="27"/>
        <v>0</v>
      </c>
      <c r="G285" s="120" t="s">
        <v>996</v>
      </c>
      <c r="H285" s="120">
        <v>0.11266999999999999</v>
      </c>
      <c r="I285" s="121" t="str">
        <f t="shared" si="25"/>
        <v>n/a</v>
      </c>
      <c r="J285" s="121">
        <f t="shared" si="26"/>
        <v>0</v>
      </c>
      <c r="M285" s="6" t="s">
        <v>996</v>
      </c>
      <c r="N285" s="6">
        <v>11.266999999999999</v>
      </c>
      <c r="O285" s="6" t="str">
        <f t="shared" si="28"/>
        <v>n/a</v>
      </c>
      <c r="P285" s="6">
        <f t="shared" si="29"/>
        <v>0.11266999999999999</v>
      </c>
    </row>
    <row r="286" spans="1:16" x14ac:dyDescent="0.25">
      <c r="A286" s="6" t="s">
        <v>318</v>
      </c>
      <c r="B286" s="7" t="s">
        <v>924</v>
      </c>
      <c r="C286" s="116">
        <v>593.52700000000004</v>
      </c>
      <c r="D286" s="117">
        <v>61.34</v>
      </c>
      <c r="E286" s="118">
        <f t="shared" si="24"/>
        <v>36406.946180000006</v>
      </c>
      <c r="F286" s="119">
        <f t="shared" si="27"/>
        <v>0</v>
      </c>
      <c r="G286" s="120" t="s">
        <v>996</v>
      </c>
      <c r="H286" s="120">
        <v>0.11988</v>
      </c>
      <c r="I286" s="121" t="str">
        <f t="shared" si="25"/>
        <v>n/a</v>
      </c>
      <c r="J286" s="121">
        <f t="shared" si="26"/>
        <v>0</v>
      </c>
      <c r="M286" s="6" t="s">
        <v>996</v>
      </c>
      <c r="N286" s="6">
        <v>11.988</v>
      </c>
      <c r="O286" s="6" t="str">
        <f t="shared" si="28"/>
        <v>n/a</v>
      </c>
      <c r="P286" s="6">
        <f t="shared" si="29"/>
        <v>0.11988</v>
      </c>
    </row>
    <row r="287" spans="1:16" x14ac:dyDescent="0.25">
      <c r="A287" s="6" t="s">
        <v>317</v>
      </c>
      <c r="B287" s="7" t="s">
        <v>923</v>
      </c>
      <c r="C287" s="116">
        <v>180.696</v>
      </c>
      <c r="D287" s="117">
        <v>56.09</v>
      </c>
      <c r="E287" s="118">
        <f t="shared" si="24"/>
        <v>10135.238640000001</v>
      </c>
      <c r="F287" s="119">
        <f t="shared" si="27"/>
        <v>5.8342090969783818E-4</v>
      </c>
      <c r="G287" s="120">
        <v>1.4263E-2</v>
      </c>
      <c r="H287" s="120">
        <v>7.85E-2</v>
      </c>
      <c r="I287" s="121">
        <f t="shared" si="25"/>
        <v>8.3213324350202656E-6</v>
      </c>
      <c r="J287" s="121">
        <f t="shared" si="26"/>
        <v>4.5798541411280301E-5</v>
      </c>
      <c r="M287" s="6">
        <v>1.4262999999999999</v>
      </c>
      <c r="N287" s="6">
        <v>7.85</v>
      </c>
      <c r="O287" s="6">
        <f t="shared" si="28"/>
        <v>1.4263E-2</v>
      </c>
      <c r="P287" s="6">
        <f t="shared" si="29"/>
        <v>7.85E-2</v>
      </c>
    </row>
    <row r="288" spans="1:16" x14ac:dyDescent="0.25">
      <c r="A288" s="6" t="s">
        <v>322</v>
      </c>
      <c r="B288" s="7" t="s">
        <v>927</v>
      </c>
      <c r="C288" s="116">
        <v>289.26400000000001</v>
      </c>
      <c r="D288" s="117">
        <v>44.68</v>
      </c>
      <c r="E288" s="118">
        <f t="shared" si="24"/>
        <v>12924.31552</v>
      </c>
      <c r="F288" s="119">
        <f t="shared" si="27"/>
        <v>7.4397023945163739E-4</v>
      </c>
      <c r="G288" s="120">
        <v>2.8647999999999996E-2</v>
      </c>
      <c r="H288" s="120">
        <v>0.14550000000000002</v>
      </c>
      <c r="I288" s="121">
        <f t="shared" si="25"/>
        <v>2.1313259419810504E-5</v>
      </c>
      <c r="J288" s="121">
        <f t="shared" si="26"/>
        <v>1.0824766984021325E-4</v>
      </c>
      <c r="M288" s="6">
        <v>2.8647999999999998</v>
      </c>
      <c r="N288" s="6">
        <v>14.55</v>
      </c>
      <c r="O288" s="6">
        <f t="shared" si="28"/>
        <v>2.8647999999999996E-2</v>
      </c>
      <c r="P288" s="6">
        <f t="shared" si="29"/>
        <v>0.14550000000000002</v>
      </c>
    </row>
    <row r="289" spans="1:16" x14ac:dyDescent="0.25">
      <c r="A289" s="6" t="s">
        <v>397</v>
      </c>
      <c r="B289" s="7" t="s">
        <v>751</v>
      </c>
      <c r="C289" s="116">
        <v>153.762</v>
      </c>
      <c r="D289" s="117">
        <v>155.41</v>
      </c>
      <c r="E289" s="118">
        <f t="shared" si="24"/>
        <v>23896.152419999999</v>
      </c>
      <c r="F289" s="119">
        <f t="shared" si="27"/>
        <v>1.3755487639070128E-3</v>
      </c>
      <c r="G289" s="120">
        <v>1.9304000000000002E-2</v>
      </c>
      <c r="H289" s="122">
        <v>6.5730000000000011E-2</v>
      </c>
      <c r="I289" s="121">
        <f t="shared" si="25"/>
        <v>2.6553593338460979E-5</v>
      </c>
      <c r="J289" s="121">
        <f t="shared" si="26"/>
        <v>9.0414820251607974E-5</v>
      </c>
      <c r="M289" s="6">
        <v>1.9304000000000001</v>
      </c>
      <c r="N289" s="6">
        <v>6.5730000000000004</v>
      </c>
      <c r="O289" s="6">
        <f t="shared" si="28"/>
        <v>1.9304000000000002E-2</v>
      </c>
      <c r="P289" s="6">
        <f t="shared" si="29"/>
        <v>6.5730000000000011E-2</v>
      </c>
    </row>
    <row r="290" spans="1:16" x14ac:dyDescent="0.25">
      <c r="A290" s="6" t="s">
        <v>327</v>
      </c>
      <c r="B290" s="7" t="s">
        <v>929</v>
      </c>
      <c r="C290" s="116">
        <v>212.37799999999999</v>
      </c>
      <c r="D290" s="117">
        <v>119.14</v>
      </c>
      <c r="E290" s="118">
        <f t="shared" si="24"/>
        <v>25302.714919999999</v>
      </c>
      <c r="F290" s="119">
        <f t="shared" si="27"/>
        <v>0</v>
      </c>
      <c r="G290" s="120" t="s">
        <v>996</v>
      </c>
      <c r="H290" s="120">
        <v>0.10132999999999999</v>
      </c>
      <c r="I290" s="121" t="str">
        <f t="shared" si="25"/>
        <v>n/a</v>
      </c>
      <c r="J290" s="121">
        <f t="shared" si="26"/>
        <v>0</v>
      </c>
      <c r="M290" s="6" t="s">
        <v>996</v>
      </c>
      <c r="N290" s="6">
        <v>10.132999999999999</v>
      </c>
      <c r="O290" s="6" t="str">
        <f t="shared" si="28"/>
        <v>n/a</v>
      </c>
      <c r="P290" s="6">
        <f t="shared" si="29"/>
        <v>0.10132999999999999</v>
      </c>
    </row>
    <row r="291" spans="1:16" x14ac:dyDescent="0.25">
      <c r="A291" s="6" t="s">
        <v>325</v>
      </c>
      <c r="B291" s="7" t="s">
        <v>928</v>
      </c>
      <c r="C291" s="116">
        <v>750.62099999999998</v>
      </c>
      <c r="D291" s="117">
        <v>24.43</v>
      </c>
      <c r="E291" s="118">
        <f t="shared" si="24"/>
        <v>18337.671029999998</v>
      </c>
      <c r="F291" s="119">
        <f t="shared" si="27"/>
        <v>1.0555825170054695E-3</v>
      </c>
      <c r="G291" s="120">
        <v>2.2922999999999999E-2</v>
      </c>
      <c r="H291" s="120">
        <v>2.5249999999999998E-2</v>
      </c>
      <c r="I291" s="121">
        <f t="shared" si="25"/>
        <v>2.4197118037316377E-5</v>
      </c>
      <c r="J291" s="121">
        <f t="shared" si="26"/>
        <v>2.6653458554388102E-5</v>
      </c>
      <c r="M291" s="6">
        <v>2.2923</v>
      </c>
      <c r="N291" s="6">
        <v>2.5249999999999999</v>
      </c>
      <c r="O291" s="6">
        <f t="shared" si="28"/>
        <v>2.2922999999999999E-2</v>
      </c>
      <c r="P291" s="6">
        <f t="shared" si="29"/>
        <v>2.5249999999999998E-2</v>
      </c>
    </row>
    <row r="292" spans="1:16" x14ac:dyDescent="0.25">
      <c r="A292" s="6" t="s">
        <v>341</v>
      </c>
      <c r="B292" s="7" t="s">
        <v>932</v>
      </c>
      <c r="C292" s="116">
        <v>1307.2370000000001</v>
      </c>
      <c r="D292" s="117">
        <v>68.55</v>
      </c>
      <c r="E292" s="118">
        <f t="shared" si="24"/>
        <v>89611.096350000007</v>
      </c>
      <c r="F292" s="119">
        <f t="shared" si="27"/>
        <v>0</v>
      </c>
      <c r="G292" s="120">
        <v>3.0342999999999998E-2</v>
      </c>
      <c r="H292" s="120">
        <v>-3.29E-3</v>
      </c>
      <c r="I292" s="121">
        <f t="shared" si="25"/>
        <v>0</v>
      </c>
      <c r="J292" s="121">
        <f t="shared" si="26"/>
        <v>0</v>
      </c>
      <c r="M292" s="6">
        <v>3.0343</v>
      </c>
      <c r="N292" s="6">
        <v>-0.32900000000000001</v>
      </c>
      <c r="O292" s="6">
        <f t="shared" si="28"/>
        <v>3.0342999999999998E-2</v>
      </c>
      <c r="P292" s="6">
        <f t="shared" si="29"/>
        <v>-3.29E-3</v>
      </c>
    </row>
    <row r="293" spans="1:16" x14ac:dyDescent="0.25">
      <c r="A293" s="6" t="s">
        <v>349</v>
      </c>
      <c r="B293" s="7" t="s">
        <v>936</v>
      </c>
      <c r="C293" s="116">
        <v>125.00700000000001</v>
      </c>
      <c r="D293" s="117">
        <v>99.11</v>
      </c>
      <c r="E293" s="118">
        <f t="shared" si="24"/>
        <v>12389.44377</v>
      </c>
      <c r="F293" s="119">
        <f t="shared" si="27"/>
        <v>7.1318109140680412E-4</v>
      </c>
      <c r="G293" s="120">
        <v>2.3005000000000001E-2</v>
      </c>
      <c r="H293" s="120">
        <v>9.4499999999999987E-2</v>
      </c>
      <c r="I293" s="121">
        <f t="shared" si="25"/>
        <v>1.6406731007813528E-5</v>
      </c>
      <c r="J293" s="121">
        <f t="shared" si="26"/>
        <v>6.7395613137942979E-5</v>
      </c>
      <c r="M293" s="6">
        <v>2.3005</v>
      </c>
      <c r="N293" s="6">
        <v>9.4499999999999993</v>
      </c>
      <c r="O293" s="6">
        <f t="shared" si="28"/>
        <v>2.3005000000000001E-2</v>
      </c>
      <c r="P293" s="6">
        <f t="shared" si="29"/>
        <v>9.4499999999999987E-2</v>
      </c>
    </row>
    <row r="294" spans="1:16" x14ac:dyDescent="0.25">
      <c r="A294" s="6" t="s">
        <v>359</v>
      </c>
      <c r="B294" s="7" t="s">
        <v>937</v>
      </c>
      <c r="C294" s="116">
        <v>1087.1199999999999</v>
      </c>
      <c r="D294" s="117">
        <v>12.86</v>
      </c>
      <c r="E294" s="118">
        <f t="shared" si="24"/>
        <v>13980.363199999998</v>
      </c>
      <c r="F294" s="119">
        <f t="shared" si="27"/>
        <v>8.0476015471996596E-4</v>
      </c>
      <c r="G294" s="120">
        <v>2.4883000000000002E-2</v>
      </c>
      <c r="H294" s="120">
        <v>0.10349999999999999</v>
      </c>
      <c r="I294" s="121">
        <f t="shared" si="25"/>
        <v>2.0024846929896914E-5</v>
      </c>
      <c r="J294" s="121">
        <f t="shared" si="26"/>
        <v>8.3292676013516475E-5</v>
      </c>
      <c r="M294" s="6">
        <v>2.4883000000000002</v>
      </c>
      <c r="N294" s="6">
        <v>10.35</v>
      </c>
      <c r="O294" s="6">
        <f t="shared" si="28"/>
        <v>2.4883000000000002E-2</v>
      </c>
      <c r="P294" s="6">
        <f t="shared" si="29"/>
        <v>0.10349999999999999</v>
      </c>
    </row>
    <row r="295" spans="1:16" x14ac:dyDescent="0.25">
      <c r="A295" s="6" t="s">
        <v>1091</v>
      </c>
      <c r="B295" s="7" t="s">
        <v>707</v>
      </c>
      <c r="C295" s="116">
        <v>363.20600000000002</v>
      </c>
      <c r="D295" s="117">
        <v>71.44</v>
      </c>
      <c r="E295" s="118">
        <f t="shared" si="24"/>
        <v>25947.43664</v>
      </c>
      <c r="F295" s="119">
        <f t="shared" si="27"/>
        <v>1.493628085784847E-3</v>
      </c>
      <c r="G295" s="120">
        <v>4.8711999999999998E-2</v>
      </c>
      <c r="H295" s="120">
        <v>4.5899999999999996E-2</v>
      </c>
      <c r="I295" s="121">
        <f t="shared" si="25"/>
        <v>7.2757611314751459E-5</v>
      </c>
      <c r="J295" s="121">
        <f t="shared" si="26"/>
        <v>6.8557529137524474E-5</v>
      </c>
      <c r="M295" s="6">
        <v>4.8712</v>
      </c>
      <c r="N295" s="6">
        <v>4.59</v>
      </c>
      <c r="O295" s="6">
        <f t="shared" si="28"/>
        <v>4.8711999999999998E-2</v>
      </c>
      <c r="P295" s="6">
        <f t="shared" si="29"/>
        <v>4.5899999999999996E-2</v>
      </c>
    </row>
    <row r="296" spans="1:16" x14ac:dyDescent="0.25">
      <c r="A296" s="6" t="s">
        <v>1020</v>
      </c>
      <c r="B296" s="7" t="s">
        <v>904</v>
      </c>
      <c r="C296" s="116">
        <v>212.11500000000001</v>
      </c>
      <c r="D296" s="117">
        <v>271.20999999999998</v>
      </c>
      <c r="E296" s="118">
        <f t="shared" si="24"/>
        <v>57527.709149999995</v>
      </c>
      <c r="F296" s="119">
        <f t="shared" si="27"/>
        <v>0</v>
      </c>
      <c r="G296" s="120" t="s">
        <v>996</v>
      </c>
      <c r="H296" s="120">
        <v>7.6999999999999999E-2</v>
      </c>
      <c r="I296" s="121" t="str">
        <f t="shared" si="25"/>
        <v>n/a</v>
      </c>
      <c r="J296" s="121">
        <f t="shared" si="26"/>
        <v>0</v>
      </c>
      <c r="M296" s="6" t="s">
        <v>996</v>
      </c>
      <c r="N296" s="6">
        <v>7.7</v>
      </c>
      <c r="O296" s="6" t="str">
        <f t="shared" si="28"/>
        <v>n/a</v>
      </c>
      <c r="P296" s="6">
        <f t="shared" si="29"/>
        <v>7.6999999999999999E-2</v>
      </c>
    </row>
    <row r="297" spans="1:16" x14ac:dyDescent="0.25">
      <c r="A297" s="6" t="s">
        <v>480</v>
      </c>
      <c r="B297" s="7" t="s">
        <v>818</v>
      </c>
      <c r="C297" s="116">
        <v>247.59</v>
      </c>
      <c r="D297" s="117">
        <v>26.49</v>
      </c>
      <c r="E297" s="118">
        <f t="shared" si="24"/>
        <v>6558.6590999999999</v>
      </c>
      <c r="F297" s="119">
        <f t="shared" si="27"/>
        <v>0</v>
      </c>
      <c r="G297" s="120">
        <v>3.0200000000000001E-3</v>
      </c>
      <c r="H297" s="120">
        <v>-0.1013</v>
      </c>
      <c r="I297" s="121">
        <f t="shared" si="25"/>
        <v>0</v>
      </c>
      <c r="J297" s="121">
        <f t="shared" si="26"/>
        <v>0</v>
      </c>
      <c r="M297" s="6">
        <v>0.30199999999999999</v>
      </c>
      <c r="N297" s="6">
        <v>-10.130000000000001</v>
      </c>
      <c r="O297" s="6">
        <f t="shared" si="28"/>
        <v>3.0200000000000001E-3</v>
      </c>
      <c r="P297" s="6">
        <f t="shared" si="29"/>
        <v>-0.1013</v>
      </c>
    </row>
    <row r="298" spans="1:16" x14ac:dyDescent="0.25">
      <c r="A298" s="6" t="s">
        <v>438</v>
      </c>
      <c r="B298" s="7" t="s">
        <v>955</v>
      </c>
      <c r="C298" s="116">
        <v>229.48500000000001</v>
      </c>
      <c r="D298" s="117">
        <v>90</v>
      </c>
      <c r="E298" s="118">
        <f t="shared" si="24"/>
        <v>20653.650000000001</v>
      </c>
      <c r="F298" s="119">
        <f t="shared" si="27"/>
        <v>1.1888986238592163E-3</v>
      </c>
      <c r="G298" s="120">
        <v>1.6888999999999998E-2</v>
      </c>
      <c r="H298" s="120">
        <v>0.13150000000000001</v>
      </c>
      <c r="I298" s="121">
        <f t="shared" si="25"/>
        <v>2.0079308858358301E-5</v>
      </c>
      <c r="J298" s="121">
        <f t="shared" si="26"/>
        <v>1.5634016903748695E-4</v>
      </c>
      <c r="M298" s="6">
        <v>1.6888999999999998</v>
      </c>
      <c r="N298" s="6">
        <v>13.15</v>
      </c>
      <c r="O298" s="6">
        <f t="shared" si="28"/>
        <v>1.6888999999999998E-2</v>
      </c>
      <c r="P298" s="6">
        <f t="shared" si="29"/>
        <v>0.13150000000000001</v>
      </c>
    </row>
    <row r="299" spans="1:16" x14ac:dyDescent="0.25">
      <c r="A299" s="6" t="s">
        <v>450</v>
      </c>
      <c r="B299" s="7" t="s">
        <v>960</v>
      </c>
      <c r="C299" s="116">
        <v>359.24799999999999</v>
      </c>
      <c r="D299" s="117">
        <v>59.28</v>
      </c>
      <c r="E299" s="118">
        <f t="shared" si="24"/>
        <v>21296.221440000001</v>
      </c>
      <c r="F299" s="119">
        <f t="shared" si="27"/>
        <v>1.2258873547008463E-3</v>
      </c>
      <c r="G299" s="120">
        <v>3.1038999999999997E-2</v>
      </c>
      <c r="H299" s="120">
        <v>0.09</v>
      </c>
      <c r="I299" s="121">
        <f t="shared" si="25"/>
        <v>3.8050317602559564E-5</v>
      </c>
      <c r="J299" s="121">
        <f t="shared" si="26"/>
        <v>1.1032986192307616E-4</v>
      </c>
      <c r="M299" s="6">
        <v>3.1038999999999999</v>
      </c>
      <c r="N299" s="6">
        <v>9</v>
      </c>
      <c r="O299" s="6">
        <f t="shared" si="28"/>
        <v>3.1038999999999997E-2</v>
      </c>
      <c r="P299" s="6">
        <f t="shared" si="29"/>
        <v>0.09</v>
      </c>
    </row>
    <row r="300" spans="1:16" x14ac:dyDescent="0.25">
      <c r="A300" s="6" t="s">
        <v>452</v>
      </c>
      <c r="B300" s="7" t="s">
        <v>961</v>
      </c>
      <c r="C300" s="116">
        <v>343.50799999999998</v>
      </c>
      <c r="D300" s="117">
        <v>17.47</v>
      </c>
      <c r="E300" s="118">
        <f t="shared" si="24"/>
        <v>6001.0847599999997</v>
      </c>
      <c r="F300" s="119">
        <f t="shared" si="27"/>
        <v>3.4544409403793101E-4</v>
      </c>
      <c r="G300" s="120">
        <v>3.9496000000000003E-2</v>
      </c>
      <c r="H300" s="120">
        <v>0.02</v>
      </c>
      <c r="I300" s="121">
        <f t="shared" si="25"/>
        <v>1.3643659938122124E-5</v>
      </c>
      <c r="J300" s="121">
        <f t="shared" si="26"/>
        <v>6.90888188075862E-6</v>
      </c>
      <c r="M300" s="6">
        <v>3.9496000000000002</v>
      </c>
      <c r="N300" s="6">
        <v>2</v>
      </c>
      <c r="O300" s="6">
        <f t="shared" si="28"/>
        <v>3.9496000000000003E-2</v>
      </c>
      <c r="P300" s="6">
        <f t="shared" si="29"/>
        <v>0.02</v>
      </c>
    </row>
    <row r="301" spans="1:16" x14ac:dyDescent="0.25">
      <c r="A301" s="6" t="s">
        <v>449</v>
      </c>
      <c r="B301" s="7" t="s">
        <v>959</v>
      </c>
      <c r="C301" s="116">
        <v>97.134</v>
      </c>
      <c r="D301" s="117">
        <v>44.49</v>
      </c>
      <c r="E301" s="118">
        <f t="shared" si="24"/>
        <v>4321.4916600000006</v>
      </c>
      <c r="F301" s="119">
        <f t="shared" si="27"/>
        <v>2.4876065429563687E-4</v>
      </c>
      <c r="G301" s="120">
        <v>2.3376000000000001E-2</v>
      </c>
      <c r="H301" s="120">
        <v>4.7579999999999997E-2</v>
      </c>
      <c r="I301" s="121">
        <f t="shared" si="25"/>
        <v>5.8150290548148075E-6</v>
      </c>
      <c r="J301" s="121">
        <f t="shared" si="26"/>
        <v>1.1836031931386402E-5</v>
      </c>
      <c r="M301" s="6">
        <v>2.3376000000000001</v>
      </c>
      <c r="N301" s="6">
        <v>4.758</v>
      </c>
      <c r="O301" s="6">
        <f t="shared" si="28"/>
        <v>2.3376000000000001E-2</v>
      </c>
      <c r="P301" s="6">
        <f t="shared" si="29"/>
        <v>4.7579999999999997E-2</v>
      </c>
    </row>
    <row r="302" spans="1:16" x14ac:dyDescent="0.25">
      <c r="A302" s="6" t="s">
        <v>476</v>
      </c>
      <c r="B302" s="7" t="s">
        <v>963</v>
      </c>
      <c r="C302" s="116">
        <v>1477.4369999999999</v>
      </c>
      <c r="D302" s="117">
        <v>53.74</v>
      </c>
      <c r="E302" s="118">
        <f t="shared" si="24"/>
        <v>79397.46437999999</v>
      </c>
      <c r="F302" s="119">
        <f t="shared" si="27"/>
        <v>4.5704045599345936E-3</v>
      </c>
      <c r="G302" s="120">
        <v>4.2426000000000005E-2</v>
      </c>
      <c r="H302" s="120">
        <v>8.7179999999999994E-2</v>
      </c>
      <c r="I302" s="121">
        <f t="shared" si="25"/>
        <v>1.9390398385978508E-4</v>
      </c>
      <c r="J302" s="121">
        <f t="shared" si="26"/>
        <v>3.9844786953509786E-4</v>
      </c>
      <c r="M302" s="6">
        <v>4.2426000000000004</v>
      </c>
      <c r="N302" s="6">
        <v>8.718</v>
      </c>
      <c r="O302" s="6">
        <f t="shared" si="28"/>
        <v>4.2426000000000005E-2</v>
      </c>
      <c r="P302" s="6">
        <f t="shared" si="29"/>
        <v>8.7179999999999994E-2</v>
      </c>
    </row>
    <row r="303" spans="1:16" x14ac:dyDescent="0.25">
      <c r="A303" s="6" t="s">
        <v>1021</v>
      </c>
      <c r="B303" s="7" t="s">
        <v>827</v>
      </c>
      <c r="C303" s="116">
        <v>101.874</v>
      </c>
      <c r="D303" s="117">
        <v>218.7</v>
      </c>
      <c r="E303" s="118">
        <f t="shared" si="24"/>
        <v>22279.843799999999</v>
      </c>
      <c r="F303" s="119">
        <f t="shared" si="27"/>
        <v>1.2825082071991289E-3</v>
      </c>
      <c r="G303" s="120">
        <v>6.4010000000000004E-3</v>
      </c>
      <c r="H303" s="120">
        <v>0.12867000000000001</v>
      </c>
      <c r="I303" s="121">
        <f t="shared" si="25"/>
        <v>8.2093350342816242E-6</v>
      </c>
      <c r="J303" s="121">
        <f t="shared" si="26"/>
        <v>1.6502033102031193E-4</v>
      </c>
      <c r="M303" s="6">
        <v>0.6401</v>
      </c>
      <c r="N303" s="6">
        <v>12.867000000000001</v>
      </c>
      <c r="O303" s="6">
        <f t="shared" si="28"/>
        <v>6.4010000000000004E-3</v>
      </c>
      <c r="P303" s="6">
        <f t="shared" si="29"/>
        <v>0.12867000000000001</v>
      </c>
    </row>
    <row r="304" spans="1:16" x14ac:dyDescent="0.25">
      <c r="A304" s="6" t="s">
        <v>490</v>
      </c>
      <c r="B304" s="7" t="s">
        <v>965</v>
      </c>
      <c r="C304" s="116">
        <v>392</v>
      </c>
      <c r="D304" s="117">
        <v>65</v>
      </c>
      <c r="E304" s="118">
        <f t="shared" si="24"/>
        <v>25480</v>
      </c>
      <c r="F304" s="119">
        <f t="shared" si="27"/>
        <v>1.466720746015006E-3</v>
      </c>
      <c r="G304" s="120">
        <v>9.8460000000000006E-3</v>
      </c>
      <c r="H304" s="120">
        <v>0.1245</v>
      </c>
      <c r="I304" s="121">
        <f t="shared" si="25"/>
        <v>1.444133246526375E-5</v>
      </c>
      <c r="J304" s="121">
        <f t="shared" si="26"/>
        <v>1.8260673287886825E-4</v>
      </c>
      <c r="M304" s="6">
        <v>0.98460000000000003</v>
      </c>
      <c r="N304" s="6">
        <v>12.45</v>
      </c>
      <c r="O304" s="6">
        <f t="shared" si="28"/>
        <v>9.8460000000000006E-3</v>
      </c>
      <c r="P304" s="6">
        <f t="shared" si="29"/>
        <v>0.1245</v>
      </c>
    </row>
    <row r="305" spans="1:16" x14ac:dyDescent="0.25">
      <c r="A305" s="6" t="s">
        <v>1158</v>
      </c>
      <c r="B305" s="7" t="s">
        <v>1159</v>
      </c>
      <c r="C305" s="116">
        <v>88.123000000000005</v>
      </c>
      <c r="D305" s="117">
        <v>167.73</v>
      </c>
      <c r="E305" s="118">
        <f t="shared" si="24"/>
        <v>14780.870789999999</v>
      </c>
      <c r="F305" s="119">
        <f t="shared" si="27"/>
        <v>0</v>
      </c>
      <c r="G305" s="120" t="s">
        <v>996</v>
      </c>
      <c r="H305" s="120">
        <v>0.10423</v>
      </c>
      <c r="I305" s="121" t="str">
        <f t="shared" si="25"/>
        <v>n/a</v>
      </c>
      <c r="J305" s="121">
        <f t="shared" si="26"/>
        <v>0</v>
      </c>
      <c r="M305" s="6" t="s">
        <v>996</v>
      </c>
      <c r="N305" s="6">
        <v>10.423</v>
      </c>
      <c r="O305" s="6" t="str">
        <f t="shared" si="28"/>
        <v>n/a</v>
      </c>
      <c r="P305" s="6">
        <f t="shared" si="29"/>
        <v>0.10423</v>
      </c>
    </row>
    <row r="306" spans="1:16" x14ac:dyDescent="0.25">
      <c r="A306" s="6" t="s">
        <v>216</v>
      </c>
      <c r="B306" s="7" t="s">
        <v>596</v>
      </c>
      <c r="C306" s="116">
        <v>101.261</v>
      </c>
      <c r="D306" s="117">
        <v>42</v>
      </c>
      <c r="E306" s="118">
        <f t="shared" si="24"/>
        <v>4252.9619999999995</v>
      </c>
      <c r="F306" s="119">
        <f t="shared" si="27"/>
        <v>0</v>
      </c>
      <c r="G306" s="120" t="s">
        <v>996</v>
      </c>
      <c r="H306" s="120">
        <v>7.9229999999999995E-2</v>
      </c>
      <c r="I306" s="121" t="str">
        <f t="shared" si="25"/>
        <v>n/a</v>
      </c>
      <c r="J306" s="121">
        <f t="shared" si="26"/>
        <v>0</v>
      </c>
      <c r="M306" s="6" t="s">
        <v>996</v>
      </c>
      <c r="N306" s="6">
        <v>7.923</v>
      </c>
      <c r="O306" s="6" t="str">
        <f t="shared" si="28"/>
        <v>n/a</v>
      </c>
      <c r="P306" s="6">
        <f t="shared" si="29"/>
        <v>7.9229999999999995E-2</v>
      </c>
    </row>
    <row r="307" spans="1:16" x14ac:dyDescent="0.25">
      <c r="A307" s="6" t="s">
        <v>504</v>
      </c>
      <c r="B307" s="7" t="s">
        <v>968</v>
      </c>
      <c r="C307" s="116">
        <v>1457.4</v>
      </c>
      <c r="D307" s="117">
        <v>60.06</v>
      </c>
      <c r="E307" s="118">
        <f t="shared" si="24"/>
        <v>87531.444000000003</v>
      </c>
      <c r="F307" s="119">
        <f t="shared" si="27"/>
        <v>5.0386257787853501E-3</v>
      </c>
      <c r="G307" s="120">
        <v>1.6650000000000002E-2</v>
      </c>
      <c r="H307" s="120">
        <v>0.17132999999999998</v>
      </c>
      <c r="I307" s="121">
        <f t="shared" si="25"/>
        <v>8.3893119216776091E-5</v>
      </c>
      <c r="J307" s="121">
        <f t="shared" si="26"/>
        <v>8.6326775467929391E-4</v>
      </c>
      <c r="M307" s="6">
        <v>1.665</v>
      </c>
      <c r="N307" s="6">
        <v>17.132999999999999</v>
      </c>
      <c r="O307" s="6">
        <f t="shared" si="28"/>
        <v>1.6650000000000002E-2</v>
      </c>
      <c r="P307" s="6">
        <f t="shared" si="29"/>
        <v>0.17132999999999998</v>
      </c>
    </row>
    <row r="308" spans="1:16" x14ac:dyDescent="0.25">
      <c r="A308" s="6" t="s">
        <v>379</v>
      </c>
      <c r="B308" s="7" t="s">
        <v>734</v>
      </c>
      <c r="C308" s="116">
        <v>1082.0160000000001</v>
      </c>
      <c r="D308" s="117">
        <v>18.239999999999998</v>
      </c>
      <c r="E308" s="118">
        <f t="shared" si="24"/>
        <v>19735.971839999998</v>
      </c>
      <c r="F308" s="119">
        <f t="shared" si="27"/>
        <v>1.1360737574762931E-3</v>
      </c>
      <c r="G308" s="120">
        <v>1.864E-2</v>
      </c>
      <c r="H308" s="120">
        <v>7.417E-2</v>
      </c>
      <c r="I308" s="121">
        <f t="shared" si="25"/>
        <v>2.1176414839358105E-5</v>
      </c>
      <c r="J308" s="121">
        <f t="shared" si="26"/>
        <v>8.4262590592016658E-5</v>
      </c>
      <c r="M308" s="6">
        <v>1.8639999999999999</v>
      </c>
      <c r="N308" s="6">
        <v>7.4169999999999998</v>
      </c>
      <c r="O308" s="6">
        <f t="shared" si="28"/>
        <v>1.864E-2</v>
      </c>
      <c r="P308" s="6">
        <f t="shared" si="29"/>
        <v>7.417E-2</v>
      </c>
    </row>
    <row r="309" spans="1:16" x14ac:dyDescent="0.25">
      <c r="A309" s="6" t="s">
        <v>503</v>
      </c>
      <c r="B309" s="7" t="s">
        <v>967</v>
      </c>
      <c r="C309" s="116">
        <v>653.08699999999999</v>
      </c>
      <c r="D309" s="117">
        <v>9.77</v>
      </c>
      <c r="E309" s="118">
        <f t="shared" si="24"/>
        <v>6380.6599899999992</v>
      </c>
      <c r="F309" s="119">
        <f t="shared" si="27"/>
        <v>3.6729381399532571E-4</v>
      </c>
      <c r="G309" s="120">
        <v>4.913E-2</v>
      </c>
      <c r="H309" s="122">
        <v>5.9399999999999994E-2</v>
      </c>
      <c r="I309" s="121">
        <f t="shared" si="25"/>
        <v>1.8045145081590351E-5</v>
      </c>
      <c r="J309" s="121">
        <f t="shared" si="26"/>
        <v>2.1817252551322345E-5</v>
      </c>
      <c r="M309" s="6">
        <v>4.9130000000000003</v>
      </c>
      <c r="N309" s="6">
        <v>5.9399999999999995</v>
      </c>
      <c r="O309" s="6">
        <f t="shared" si="28"/>
        <v>4.913E-2</v>
      </c>
      <c r="P309" s="6">
        <f t="shared" si="29"/>
        <v>5.9399999999999994E-2</v>
      </c>
    </row>
    <row r="310" spans="1:16" x14ac:dyDescent="0.25">
      <c r="A310" s="6" t="s">
        <v>505</v>
      </c>
      <c r="B310" s="7" t="s">
        <v>841</v>
      </c>
      <c r="C310" s="116">
        <v>381.65800000000002</v>
      </c>
      <c r="D310" s="117">
        <v>83.9</v>
      </c>
      <c r="E310" s="118">
        <f t="shared" si="24"/>
        <v>32021.106200000002</v>
      </c>
      <c r="F310" s="119">
        <f t="shared" si="27"/>
        <v>1.8432504228371167E-3</v>
      </c>
      <c r="G310" s="120">
        <v>1.8117000000000001E-2</v>
      </c>
      <c r="H310" s="120">
        <v>9.6999999999999989E-2</v>
      </c>
      <c r="I310" s="121">
        <f t="shared" si="25"/>
        <v>3.3394167910540045E-5</v>
      </c>
      <c r="J310" s="121">
        <f t="shared" si="26"/>
        <v>1.7879529101520031E-4</v>
      </c>
      <c r="M310" s="6">
        <v>1.8117000000000001</v>
      </c>
      <c r="N310" s="6">
        <v>9.6999999999999993</v>
      </c>
      <c r="O310" s="6">
        <f t="shared" si="28"/>
        <v>1.8117000000000001E-2</v>
      </c>
      <c r="P310" s="6">
        <f t="shared" si="29"/>
        <v>9.6999999999999989E-2</v>
      </c>
    </row>
    <row r="311" spans="1:16" x14ac:dyDescent="0.25">
      <c r="A311" s="6" t="s">
        <v>1062</v>
      </c>
      <c r="B311" s="7" t="s">
        <v>865</v>
      </c>
      <c r="C311" s="116">
        <v>1693.2239999999999</v>
      </c>
      <c r="D311" s="117">
        <v>51.28</v>
      </c>
      <c r="E311" s="118">
        <f t="shared" si="24"/>
        <v>86828.526719999994</v>
      </c>
      <c r="F311" s="119">
        <f t="shared" si="27"/>
        <v>4.9981633236319571E-3</v>
      </c>
      <c r="G311" s="120">
        <v>2.1840999999999999E-2</v>
      </c>
      <c r="H311" s="120">
        <v>8.7819999999999995E-2</v>
      </c>
      <c r="I311" s="121">
        <f t="shared" si="25"/>
        <v>1.0916488515144558E-4</v>
      </c>
      <c r="J311" s="121">
        <f t="shared" si="26"/>
        <v>4.3893870308135842E-4</v>
      </c>
      <c r="M311" s="6">
        <v>2.1840999999999999</v>
      </c>
      <c r="N311" s="6">
        <v>8.782</v>
      </c>
      <c r="O311" s="6">
        <f t="shared" si="28"/>
        <v>2.1840999999999999E-2</v>
      </c>
      <c r="P311" s="6">
        <f t="shared" si="29"/>
        <v>8.7819999999999995E-2</v>
      </c>
    </row>
    <row r="312" spans="1:16" x14ac:dyDescent="0.25">
      <c r="A312" s="6" t="s">
        <v>509</v>
      </c>
      <c r="B312" s="7" t="s">
        <v>970</v>
      </c>
      <c r="C312" s="116">
        <v>618.83399999999995</v>
      </c>
      <c r="D312" s="117">
        <v>31.63</v>
      </c>
      <c r="E312" s="118">
        <f t="shared" si="24"/>
        <v>19573.719419999998</v>
      </c>
      <c r="F312" s="119">
        <f t="shared" si="27"/>
        <v>1.1267339226840975E-3</v>
      </c>
      <c r="G312" s="120">
        <v>9.4850000000000004E-3</v>
      </c>
      <c r="H312" s="120">
        <v>0.11632999999999999</v>
      </c>
      <c r="I312" s="121">
        <f t="shared" si="25"/>
        <v>1.0687071256658666E-5</v>
      </c>
      <c r="J312" s="121">
        <f t="shared" si="26"/>
        <v>1.3107295722584105E-4</v>
      </c>
      <c r="M312" s="6">
        <v>0.94850000000000001</v>
      </c>
      <c r="N312" s="6">
        <v>11.632999999999999</v>
      </c>
      <c r="O312" s="6">
        <f t="shared" si="28"/>
        <v>9.4850000000000004E-3</v>
      </c>
      <c r="P312" s="6">
        <f t="shared" si="29"/>
        <v>0.11632999999999999</v>
      </c>
    </row>
    <row r="313" spans="1:16" x14ac:dyDescent="0.25">
      <c r="A313" s="6" t="s">
        <v>511</v>
      </c>
      <c r="B313" s="7" t="s">
        <v>971</v>
      </c>
      <c r="C313" s="116">
        <v>241.268</v>
      </c>
      <c r="D313" s="117">
        <v>70.89</v>
      </c>
      <c r="E313" s="118">
        <f t="shared" si="24"/>
        <v>17103.488519999999</v>
      </c>
      <c r="F313" s="119">
        <f t="shared" si="27"/>
        <v>9.8453851811277433E-4</v>
      </c>
      <c r="G313" s="120">
        <v>3.2162999999999997E-2</v>
      </c>
      <c r="H313" s="120">
        <v>0.12147000000000001</v>
      </c>
      <c r="I313" s="121">
        <f t="shared" si="25"/>
        <v>3.1665712358061159E-5</v>
      </c>
      <c r="J313" s="121">
        <f t="shared" si="26"/>
        <v>1.1959189379515871E-4</v>
      </c>
      <c r="M313" s="6">
        <v>3.2162999999999999</v>
      </c>
      <c r="N313" s="6">
        <v>12.147</v>
      </c>
      <c r="O313" s="6">
        <f t="shared" si="28"/>
        <v>3.2162999999999997E-2</v>
      </c>
      <c r="P313" s="6">
        <f t="shared" si="29"/>
        <v>0.12147000000000001</v>
      </c>
    </row>
    <row r="314" spans="1:16" x14ac:dyDescent="0.25">
      <c r="A314" s="6" t="s">
        <v>549</v>
      </c>
      <c r="B314" s="7" t="s">
        <v>876</v>
      </c>
      <c r="C314" s="116">
        <v>441.94099999999997</v>
      </c>
      <c r="D314" s="117">
        <v>72.78</v>
      </c>
      <c r="E314" s="118">
        <f t="shared" si="24"/>
        <v>32164.465979999997</v>
      </c>
      <c r="F314" s="119">
        <f t="shared" si="27"/>
        <v>1.8515027290957565E-3</v>
      </c>
      <c r="G314" s="120">
        <v>2.3358E-2</v>
      </c>
      <c r="H314" s="120">
        <v>0.10772999999999999</v>
      </c>
      <c r="I314" s="121">
        <f t="shared" si="25"/>
        <v>4.3247400746218681E-5</v>
      </c>
      <c r="J314" s="121">
        <f t="shared" si="26"/>
        <v>1.9946238900548583E-4</v>
      </c>
      <c r="M314" s="6">
        <v>2.3357999999999999</v>
      </c>
      <c r="N314" s="6">
        <v>10.773</v>
      </c>
      <c r="O314" s="6">
        <f t="shared" si="28"/>
        <v>2.3358E-2</v>
      </c>
      <c r="P314" s="6">
        <f t="shared" si="29"/>
        <v>0.10772999999999999</v>
      </c>
    </row>
    <row r="315" spans="1:16" x14ac:dyDescent="0.25">
      <c r="A315" s="23" t="s">
        <v>246</v>
      </c>
      <c r="B315" s="7" t="s">
        <v>624</v>
      </c>
      <c r="C315" s="116">
        <v>369.98399999999998</v>
      </c>
      <c r="D315" s="117">
        <v>66.56</v>
      </c>
      <c r="E315" s="118">
        <f t="shared" si="24"/>
        <v>24626.135040000001</v>
      </c>
      <c r="F315" s="119">
        <f t="shared" si="27"/>
        <v>1.4175691976976092E-3</v>
      </c>
      <c r="G315" s="120">
        <v>1.0817E-2</v>
      </c>
      <c r="H315" s="120">
        <v>0.12640000000000001</v>
      </c>
      <c r="I315" s="121">
        <f t="shared" si="25"/>
        <v>1.5333846011495038E-5</v>
      </c>
      <c r="J315" s="121">
        <f t="shared" si="26"/>
        <v>1.7918074658897782E-4</v>
      </c>
      <c r="M315" s="6">
        <v>1.0817000000000001</v>
      </c>
      <c r="N315" s="6">
        <v>12.64</v>
      </c>
      <c r="O315" s="6">
        <f t="shared" si="28"/>
        <v>1.0817E-2</v>
      </c>
      <c r="P315" s="6">
        <f t="shared" si="29"/>
        <v>0.12640000000000001</v>
      </c>
    </row>
    <row r="316" spans="1:16" x14ac:dyDescent="0.25">
      <c r="A316" s="6" t="s">
        <v>1160</v>
      </c>
      <c r="B316" s="7" t="s">
        <v>1063</v>
      </c>
      <c r="C316" s="116">
        <v>335.49599999999998</v>
      </c>
      <c r="D316" s="117">
        <v>243.86</v>
      </c>
      <c r="E316" s="118">
        <f t="shared" si="24"/>
        <v>81814.054560000004</v>
      </c>
      <c r="F316" s="119">
        <f t="shared" si="27"/>
        <v>4.7095122110971588E-3</v>
      </c>
      <c r="G316" s="120">
        <v>1.1482000000000001E-2</v>
      </c>
      <c r="H316" s="120">
        <v>0.12725</v>
      </c>
      <c r="I316" s="121">
        <f t="shared" si="25"/>
        <v>5.407461920781758E-5</v>
      </c>
      <c r="J316" s="121">
        <f t="shared" si="26"/>
        <v>5.9928542886211343E-4</v>
      </c>
      <c r="M316" s="6">
        <v>1.1482000000000001</v>
      </c>
      <c r="N316" s="6">
        <v>12.725</v>
      </c>
      <c r="O316" s="6">
        <f t="shared" si="28"/>
        <v>1.1482000000000001E-2</v>
      </c>
      <c r="P316" s="6">
        <f t="shared" si="29"/>
        <v>0.12725</v>
      </c>
    </row>
    <row r="317" spans="1:16" x14ac:dyDescent="0.25">
      <c r="A317" s="6" t="s">
        <v>556</v>
      </c>
      <c r="B317" s="7" t="s">
        <v>980</v>
      </c>
      <c r="C317" s="116">
        <v>318.565</v>
      </c>
      <c r="D317" s="117">
        <v>36.369999999999997</v>
      </c>
      <c r="E317" s="118">
        <f t="shared" si="24"/>
        <v>11586.209049999999</v>
      </c>
      <c r="F317" s="119">
        <f t="shared" si="27"/>
        <v>6.6694400240587968E-4</v>
      </c>
      <c r="G317" s="120">
        <v>1.5396999999999999E-2</v>
      </c>
      <c r="H317" s="120">
        <v>3.1699999999999999E-2</v>
      </c>
      <c r="I317" s="121">
        <f t="shared" si="25"/>
        <v>1.026893680504333E-5</v>
      </c>
      <c r="J317" s="121">
        <f t="shared" si="26"/>
        <v>2.1142124876266386E-5</v>
      </c>
      <c r="M317" s="6">
        <v>1.5396999999999998</v>
      </c>
      <c r="N317" s="6">
        <v>3.17</v>
      </c>
      <c r="O317" s="6">
        <f t="shared" si="28"/>
        <v>1.5396999999999999E-2</v>
      </c>
      <c r="P317" s="6">
        <f t="shared" si="29"/>
        <v>3.1699999999999999E-2</v>
      </c>
    </row>
    <row r="318" spans="1:16" x14ac:dyDescent="0.25">
      <c r="A318" s="6" t="s">
        <v>273</v>
      </c>
      <c r="B318" s="7" t="s">
        <v>644</v>
      </c>
      <c r="C318" s="116">
        <v>171.447</v>
      </c>
      <c r="D318" s="117">
        <v>172.54</v>
      </c>
      <c r="E318" s="118">
        <f t="shared" si="24"/>
        <v>29581.465379999998</v>
      </c>
      <c r="F318" s="119">
        <f t="shared" si="27"/>
        <v>1.7028158936566197E-3</v>
      </c>
      <c r="G318" s="120">
        <v>1.2055E-2</v>
      </c>
      <c r="H318" s="120">
        <v>0.17824999999999999</v>
      </c>
      <c r="I318" s="121">
        <f t="shared" si="25"/>
        <v>2.0527445598030549E-5</v>
      </c>
      <c r="J318" s="121">
        <f t="shared" si="26"/>
        <v>3.0352693304429247E-4</v>
      </c>
      <c r="M318" s="6">
        <v>1.2055</v>
      </c>
      <c r="N318" s="6">
        <v>17.824999999999999</v>
      </c>
      <c r="O318" s="6">
        <f t="shared" si="28"/>
        <v>1.2055E-2</v>
      </c>
      <c r="P318" s="6">
        <f t="shared" si="29"/>
        <v>0.17824999999999999</v>
      </c>
    </row>
    <row r="319" spans="1:16" x14ac:dyDescent="0.25">
      <c r="A319" s="6" t="s">
        <v>563</v>
      </c>
      <c r="B319" s="7" t="s">
        <v>982</v>
      </c>
      <c r="C319" s="116">
        <v>248.935</v>
      </c>
      <c r="D319" s="117">
        <v>63.11</v>
      </c>
      <c r="E319" s="118">
        <f t="shared" si="24"/>
        <v>15710.287850000001</v>
      </c>
      <c r="F319" s="119">
        <f t="shared" si="27"/>
        <v>9.0434086010449317E-4</v>
      </c>
      <c r="G319" s="120">
        <v>2.2183000000000001E-2</v>
      </c>
      <c r="H319" s="120">
        <v>8.8399999999999992E-2</v>
      </c>
      <c r="I319" s="121">
        <f t="shared" si="25"/>
        <v>2.0060993299697974E-5</v>
      </c>
      <c r="J319" s="121">
        <f t="shared" si="26"/>
        <v>7.9943732033237186E-5</v>
      </c>
      <c r="M319" s="6">
        <v>2.2183000000000002</v>
      </c>
      <c r="N319" s="6">
        <v>8.84</v>
      </c>
      <c r="O319" s="6">
        <f t="shared" si="28"/>
        <v>2.2183000000000001E-2</v>
      </c>
      <c r="P319" s="6">
        <f t="shared" si="29"/>
        <v>8.8399999999999992E-2</v>
      </c>
    </row>
    <row r="320" spans="1:16" x14ac:dyDescent="0.25">
      <c r="A320" s="6" t="s">
        <v>1161</v>
      </c>
      <c r="B320" s="7" t="s">
        <v>916</v>
      </c>
      <c r="C320" s="116">
        <v>230.191</v>
      </c>
      <c r="D320" s="117">
        <v>63.24</v>
      </c>
      <c r="E320" s="118">
        <f t="shared" si="24"/>
        <v>14557.278840000001</v>
      </c>
      <c r="F320" s="119">
        <f t="shared" si="27"/>
        <v>8.3796950079094434E-4</v>
      </c>
      <c r="G320" s="120">
        <v>5.5339999999999999E-3</v>
      </c>
      <c r="H320" s="120">
        <v>9.4740000000000005E-2</v>
      </c>
      <c r="I320" s="121">
        <f t="shared" si="25"/>
        <v>4.6373232173770858E-6</v>
      </c>
      <c r="J320" s="121">
        <f t="shared" si="26"/>
        <v>7.9389230504934078E-5</v>
      </c>
      <c r="M320" s="6">
        <v>0.5534</v>
      </c>
      <c r="N320" s="6">
        <v>9.4740000000000002</v>
      </c>
      <c r="O320" s="6">
        <f t="shared" si="28"/>
        <v>5.5339999999999999E-3</v>
      </c>
      <c r="P320" s="6">
        <f t="shared" si="29"/>
        <v>9.4740000000000005E-2</v>
      </c>
    </row>
    <row r="321" spans="1:16" x14ac:dyDescent="0.25">
      <c r="A321" s="6" t="s">
        <v>567</v>
      </c>
      <c r="B321" s="7" t="s">
        <v>984</v>
      </c>
      <c r="C321" s="116">
        <v>202.42400000000001</v>
      </c>
      <c r="D321" s="117">
        <v>40.03</v>
      </c>
      <c r="E321" s="118">
        <f t="shared" si="24"/>
        <v>8103.0327200000002</v>
      </c>
      <c r="F321" s="119">
        <f t="shared" si="27"/>
        <v>4.6643980361312415E-4</v>
      </c>
      <c r="G321" s="120">
        <v>7.9939999999999994E-3</v>
      </c>
      <c r="H321" s="120">
        <v>0.09</v>
      </c>
      <c r="I321" s="121">
        <f t="shared" si="25"/>
        <v>3.7287197900833141E-6</v>
      </c>
      <c r="J321" s="121">
        <f t="shared" si="26"/>
        <v>4.1979582325181171E-5</v>
      </c>
      <c r="M321" s="6">
        <v>0.7994</v>
      </c>
      <c r="N321" s="6">
        <v>9</v>
      </c>
      <c r="O321" s="6">
        <f t="shared" si="28"/>
        <v>7.9939999999999994E-3</v>
      </c>
      <c r="P321" s="6">
        <f t="shared" si="29"/>
        <v>0.09</v>
      </c>
    </row>
    <row r="322" spans="1:16" x14ac:dyDescent="0.25">
      <c r="A322" s="6" t="s">
        <v>1162</v>
      </c>
      <c r="B322" s="7" t="s">
        <v>1163</v>
      </c>
      <c r="C322" s="116">
        <v>123.697</v>
      </c>
      <c r="D322" s="117">
        <v>85.09</v>
      </c>
      <c r="E322" s="118">
        <f t="shared" si="24"/>
        <v>10525.37773</v>
      </c>
      <c r="F322" s="119">
        <f t="shared" si="27"/>
        <v>6.0587872355711658E-4</v>
      </c>
      <c r="G322" s="120">
        <v>1.4102999999999999E-2</v>
      </c>
      <c r="H322" s="120">
        <v>0.1066</v>
      </c>
      <c r="I322" s="121">
        <f t="shared" si="25"/>
        <v>8.544707638326015E-6</v>
      </c>
      <c r="J322" s="121">
        <f t="shared" si="26"/>
        <v>6.4586671931188622E-5</v>
      </c>
      <c r="M322" s="6">
        <v>1.4102999999999999</v>
      </c>
      <c r="N322" s="6">
        <v>10.66</v>
      </c>
      <c r="O322" s="6">
        <f t="shared" si="28"/>
        <v>1.4102999999999999E-2</v>
      </c>
      <c r="P322" s="6">
        <f t="shared" si="29"/>
        <v>0.1066</v>
      </c>
    </row>
    <row r="323" spans="1:16" x14ac:dyDescent="0.25">
      <c r="A323" s="6" t="s">
        <v>370</v>
      </c>
      <c r="B323" s="7" t="s">
        <v>724</v>
      </c>
      <c r="C323" s="116">
        <v>406.85700000000003</v>
      </c>
      <c r="D323" s="117">
        <v>32.94</v>
      </c>
      <c r="E323" s="118">
        <f t="shared" si="24"/>
        <v>13401.86958</v>
      </c>
      <c r="F323" s="119">
        <f t="shared" si="27"/>
        <v>7.7145997442595827E-4</v>
      </c>
      <c r="G323" s="120">
        <v>3.5215999999999997E-2</v>
      </c>
      <c r="H323" s="120">
        <v>0.1079</v>
      </c>
      <c r="I323" s="121">
        <f t="shared" si="25"/>
        <v>2.7167734459384545E-5</v>
      </c>
      <c r="J323" s="121">
        <f t="shared" si="26"/>
        <v>8.3240531240560896E-5</v>
      </c>
      <c r="M323" s="6">
        <v>3.5215999999999998</v>
      </c>
      <c r="N323" s="6">
        <v>10.79</v>
      </c>
      <c r="O323" s="6">
        <f t="shared" si="28"/>
        <v>3.5215999999999997E-2</v>
      </c>
      <c r="P323" s="6">
        <f t="shared" si="29"/>
        <v>0.1079</v>
      </c>
    </row>
    <row r="324" spans="1:16" x14ac:dyDescent="0.25">
      <c r="A324" s="6" t="s">
        <v>368</v>
      </c>
      <c r="B324" s="7" t="s">
        <v>939</v>
      </c>
      <c r="C324" s="116">
        <v>255.785</v>
      </c>
      <c r="D324" s="117">
        <v>125.21</v>
      </c>
      <c r="E324" s="118">
        <f t="shared" si="24"/>
        <v>32026.839849999997</v>
      </c>
      <c r="F324" s="119">
        <f t="shared" si="27"/>
        <v>1.8435804724213154E-3</v>
      </c>
      <c r="G324" s="120">
        <v>1.0862E-2</v>
      </c>
      <c r="H324" s="120">
        <v>0.14777999999999999</v>
      </c>
      <c r="I324" s="121">
        <f t="shared" si="25"/>
        <v>2.002497109144033E-5</v>
      </c>
      <c r="J324" s="121">
        <f t="shared" si="26"/>
        <v>2.7244432221442197E-4</v>
      </c>
      <c r="M324" s="6">
        <v>1.0862000000000001</v>
      </c>
      <c r="N324" s="6">
        <v>14.778</v>
      </c>
      <c r="O324" s="6">
        <f t="shared" si="28"/>
        <v>1.0862E-2</v>
      </c>
      <c r="P324" s="6">
        <f t="shared" si="29"/>
        <v>0.14777999999999999</v>
      </c>
    </row>
    <row r="325" spans="1:16" x14ac:dyDescent="0.25">
      <c r="A325" s="6" t="s">
        <v>421</v>
      </c>
      <c r="B325" s="7" t="s">
        <v>138</v>
      </c>
      <c r="C325" s="116">
        <v>1852.373</v>
      </c>
      <c r="D325" s="117">
        <v>43.37</v>
      </c>
      <c r="E325" s="118">
        <f t="shared" si="24"/>
        <v>80337.41700999999</v>
      </c>
      <c r="F325" s="119">
        <f t="shared" si="27"/>
        <v>4.6245116251893963E-3</v>
      </c>
      <c r="G325" s="120">
        <v>1.8446000000000001E-2</v>
      </c>
      <c r="H325" s="120">
        <v>0.14867</v>
      </c>
      <c r="I325" s="121">
        <f t="shared" si="25"/>
        <v>8.5303741438243612E-5</v>
      </c>
      <c r="J325" s="121">
        <f t="shared" si="26"/>
        <v>6.8752614331690754E-4</v>
      </c>
      <c r="M325" s="6">
        <v>1.8446</v>
      </c>
      <c r="N325" s="6">
        <v>14.867000000000001</v>
      </c>
      <c r="O325" s="6">
        <f t="shared" si="28"/>
        <v>1.8446000000000001E-2</v>
      </c>
      <c r="P325" s="6">
        <f t="shared" si="29"/>
        <v>0.14867</v>
      </c>
    </row>
    <row r="326" spans="1:16" x14ac:dyDescent="0.25">
      <c r="A326" s="6" t="s">
        <v>412</v>
      </c>
      <c r="B326" s="7" t="s">
        <v>944</v>
      </c>
      <c r="C326" s="116">
        <v>216.43199999999999</v>
      </c>
      <c r="D326" s="117">
        <v>75.58</v>
      </c>
      <c r="E326" s="118">
        <f t="shared" si="24"/>
        <v>16357.930559999999</v>
      </c>
      <c r="F326" s="119">
        <f t="shared" si="27"/>
        <v>9.4162151154728664E-4</v>
      </c>
      <c r="G326" s="120">
        <v>1.9106000000000001E-2</v>
      </c>
      <c r="H326" s="120">
        <v>0.17519999999999999</v>
      </c>
      <c r="I326" s="121">
        <f t="shared" si="25"/>
        <v>1.7990620599622458E-5</v>
      </c>
      <c r="J326" s="121">
        <f t="shared" si="26"/>
        <v>1.6497208882308462E-4</v>
      </c>
      <c r="M326" s="6">
        <v>1.9106000000000001</v>
      </c>
      <c r="N326" s="6">
        <v>17.52</v>
      </c>
      <c r="O326" s="6">
        <f t="shared" si="28"/>
        <v>1.9106000000000001E-2</v>
      </c>
      <c r="P326" s="6">
        <f t="shared" si="29"/>
        <v>0.17519999999999999</v>
      </c>
    </row>
    <row r="327" spans="1:16" x14ac:dyDescent="0.25">
      <c r="A327" s="6" t="s">
        <v>1164</v>
      </c>
      <c r="B327" s="7" t="s">
        <v>632</v>
      </c>
      <c r="C327" s="116">
        <v>465.78100000000001</v>
      </c>
      <c r="D327" s="117">
        <v>137.25</v>
      </c>
      <c r="E327" s="118">
        <f t="shared" si="24"/>
        <v>63928.44225</v>
      </c>
      <c r="F327" s="119">
        <f t="shared" si="27"/>
        <v>3.6799518252942395E-3</v>
      </c>
      <c r="G327" s="120">
        <v>2.0108999999999998E-2</v>
      </c>
      <c r="H327" s="120">
        <v>0.10632999999999999</v>
      </c>
      <c r="I327" s="121">
        <f t="shared" si="25"/>
        <v>7.4000151254841859E-5</v>
      </c>
      <c r="J327" s="121">
        <f t="shared" si="26"/>
        <v>3.9128927758353647E-4</v>
      </c>
      <c r="M327" s="6">
        <v>2.0108999999999999</v>
      </c>
      <c r="N327" s="6">
        <v>10.632999999999999</v>
      </c>
      <c r="O327" s="6">
        <f t="shared" si="28"/>
        <v>2.0108999999999998E-2</v>
      </c>
      <c r="P327" s="6">
        <f t="shared" si="29"/>
        <v>0.10632999999999999</v>
      </c>
    </row>
    <row r="328" spans="1:16" x14ac:dyDescent="0.25">
      <c r="A328" s="6" t="s">
        <v>1165</v>
      </c>
      <c r="B328" s="7" t="s">
        <v>1166</v>
      </c>
      <c r="C328" s="116">
        <v>279.29599999999999</v>
      </c>
      <c r="D328" s="117">
        <v>45.15</v>
      </c>
      <c r="E328" s="118">
        <f t="shared" si="24"/>
        <v>12610.214399999999</v>
      </c>
      <c r="F328" s="119">
        <f t="shared" si="27"/>
        <v>0</v>
      </c>
      <c r="G328" s="120" t="s">
        <v>996</v>
      </c>
      <c r="H328" s="120">
        <v>0.10217999999999999</v>
      </c>
      <c r="I328" s="121" t="str">
        <f t="shared" si="25"/>
        <v>n/a</v>
      </c>
      <c r="J328" s="121">
        <f t="shared" si="26"/>
        <v>0</v>
      </c>
      <c r="M328" s="6" t="s">
        <v>996</v>
      </c>
      <c r="N328" s="6">
        <v>10.218</v>
      </c>
      <c r="O328" s="6" t="str">
        <f t="shared" si="28"/>
        <v>n/a</v>
      </c>
      <c r="P328" s="6">
        <f t="shared" si="29"/>
        <v>0.10217999999999999</v>
      </c>
    </row>
    <row r="329" spans="1:16" x14ac:dyDescent="0.25">
      <c r="A329" s="6" t="s">
        <v>254</v>
      </c>
      <c r="B329" s="7" t="s">
        <v>629</v>
      </c>
      <c r="C329" s="116">
        <v>908.03499999999997</v>
      </c>
      <c r="D329" s="117">
        <v>5.26</v>
      </c>
      <c r="E329" s="118">
        <f t="shared" si="24"/>
        <v>4776.2640999999994</v>
      </c>
      <c r="F329" s="119">
        <f t="shared" si="27"/>
        <v>0</v>
      </c>
      <c r="G329" s="120" t="s">
        <v>996</v>
      </c>
      <c r="H329" s="120">
        <v>-5.7299999999999999E-3</v>
      </c>
      <c r="I329" s="121" t="str">
        <f t="shared" si="25"/>
        <v>n/a</v>
      </c>
      <c r="J329" s="121">
        <f t="shared" si="26"/>
        <v>0</v>
      </c>
      <c r="M329" s="6" t="s">
        <v>996</v>
      </c>
      <c r="N329" s="6">
        <v>-0.57299999999999995</v>
      </c>
      <c r="O329" s="6" t="str">
        <f t="shared" si="28"/>
        <v>n/a</v>
      </c>
      <c r="P329" s="6">
        <f t="shared" si="29"/>
        <v>-5.7299999999999999E-3</v>
      </c>
    </row>
    <row r="330" spans="1:16" x14ac:dyDescent="0.25">
      <c r="A330" s="6" t="s">
        <v>1167</v>
      </c>
      <c r="B330" s="7" t="s">
        <v>1168</v>
      </c>
      <c r="C330" s="116">
        <v>509.32299999999998</v>
      </c>
      <c r="D330" s="117">
        <v>36.71</v>
      </c>
      <c r="E330" s="118">
        <f t="shared" si="24"/>
        <v>18697.247329999998</v>
      </c>
      <c r="F330" s="119">
        <f t="shared" si="27"/>
        <v>1.076281026384799E-3</v>
      </c>
      <c r="G330" s="120">
        <v>1.5255000000000001E-2</v>
      </c>
      <c r="H330" s="120">
        <v>0.19125</v>
      </c>
      <c r="I330" s="121">
        <f t="shared" si="25"/>
        <v>1.6418667057500109E-5</v>
      </c>
      <c r="J330" s="121">
        <f t="shared" si="26"/>
        <v>2.0583874629609281E-4</v>
      </c>
      <c r="M330" s="6">
        <v>1.5255000000000001</v>
      </c>
      <c r="N330" s="6">
        <v>19.125</v>
      </c>
      <c r="O330" s="6">
        <f t="shared" si="28"/>
        <v>1.5255000000000001E-2</v>
      </c>
      <c r="P330" s="6">
        <f t="shared" si="29"/>
        <v>0.19125</v>
      </c>
    </row>
    <row r="331" spans="1:16" x14ac:dyDescent="0.25">
      <c r="A331" s="6" t="s">
        <v>443</v>
      </c>
      <c r="B331" s="7" t="s">
        <v>957</v>
      </c>
      <c r="C331" s="116">
        <v>91.646000000000001</v>
      </c>
      <c r="D331" s="117">
        <v>248.15</v>
      </c>
      <c r="E331" s="118">
        <f t="shared" si="24"/>
        <v>22741.954900000001</v>
      </c>
      <c r="F331" s="119">
        <f t="shared" si="27"/>
        <v>0</v>
      </c>
      <c r="G331" s="120" t="s">
        <v>996</v>
      </c>
      <c r="H331" s="120">
        <v>0.15495</v>
      </c>
      <c r="I331" s="121" t="str">
        <f t="shared" si="25"/>
        <v>n/a</v>
      </c>
      <c r="J331" s="121">
        <f t="shared" si="26"/>
        <v>0</v>
      </c>
      <c r="M331" s="6" t="s">
        <v>996</v>
      </c>
      <c r="N331" s="6">
        <v>15.494999999999999</v>
      </c>
      <c r="O331" s="6" t="str">
        <f t="shared" si="28"/>
        <v>n/a</v>
      </c>
      <c r="P331" s="6">
        <f t="shared" si="29"/>
        <v>0.15495</v>
      </c>
    </row>
    <row r="332" spans="1:16" x14ac:dyDescent="0.25">
      <c r="A332" s="6" t="s">
        <v>191</v>
      </c>
      <c r="B332" s="7" t="s">
        <v>579</v>
      </c>
      <c r="C332" s="116">
        <v>365.20400000000001</v>
      </c>
      <c r="D332" s="117">
        <v>81.290000000000006</v>
      </c>
      <c r="E332" s="118">
        <f t="shared" si="24"/>
        <v>29687.433160000004</v>
      </c>
      <c r="F332" s="119">
        <f t="shared" si="27"/>
        <v>1.7089157814641222E-3</v>
      </c>
      <c r="G332" s="120">
        <v>1.8206E-2</v>
      </c>
      <c r="H332" s="120">
        <v>9.6999999999999989E-2</v>
      </c>
      <c r="I332" s="121">
        <f t="shared" si="25"/>
        <v>3.111252071733581E-5</v>
      </c>
      <c r="J332" s="121">
        <f t="shared" si="26"/>
        <v>1.6576483080201984E-4</v>
      </c>
      <c r="M332" s="6">
        <v>1.8206</v>
      </c>
      <c r="N332" s="6">
        <v>9.6999999999999993</v>
      </c>
      <c r="O332" s="6">
        <f t="shared" si="28"/>
        <v>1.8206E-2</v>
      </c>
      <c r="P332" s="6">
        <f t="shared" si="29"/>
        <v>9.6999999999999989E-2</v>
      </c>
    </row>
    <row r="333" spans="1:16" x14ac:dyDescent="0.25">
      <c r="A333" s="6" t="s">
        <v>328</v>
      </c>
      <c r="B333" s="7" t="s">
        <v>930</v>
      </c>
      <c r="C333" s="116">
        <v>136.37</v>
      </c>
      <c r="D333" s="117">
        <v>36.729999999999997</v>
      </c>
      <c r="E333" s="118">
        <f t="shared" si="24"/>
        <v>5008.8701000000001</v>
      </c>
      <c r="F333" s="119">
        <f t="shared" si="27"/>
        <v>0</v>
      </c>
      <c r="G333" s="120">
        <v>1.6334999999999999E-2</v>
      </c>
      <c r="H333" s="120" t="s">
        <v>996</v>
      </c>
      <c r="I333" s="121">
        <f t="shared" si="25"/>
        <v>0</v>
      </c>
      <c r="J333" s="121" t="str">
        <f t="shared" si="26"/>
        <v>n/a</v>
      </c>
      <c r="M333" s="6">
        <v>1.6335</v>
      </c>
      <c r="N333" s="6" t="s">
        <v>996</v>
      </c>
      <c r="O333" s="6">
        <f t="shared" si="28"/>
        <v>1.6334999999999999E-2</v>
      </c>
      <c r="P333" s="6" t="str">
        <f t="shared" si="29"/>
        <v>n/a</v>
      </c>
    </row>
    <row r="334" spans="1:16" x14ac:dyDescent="0.25">
      <c r="A334" s="6" t="s">
        <v>312</v>
      </c>
      <c r="B334" s="7" t="s">
        <v>678</v>
      </c>
      <c r="C334" s="116">
        <v>367.13799999999998</v>
      </c>
      <c r="D334" s="117">
        <v>64.58</v>
      </c>
      <c r="E334" s="118">
        <f t="shared" ref="E334:E397" si="30">C334*D334</f>
        <v>23709.772039999996</v>
      </c>
      <c r="F334" s="119">
        <f t="shared" si="27"/>
        <v>1.3648200366701147E-3</v>
      </c>
      <c r="G334" s="120">
        <v>3.1202000000000001E-2</v>
      </c>
      <c r="H334" s="120">
        <v>9.0380000000000002E-2</v>
      </c>
      <c r="I334" s="121">
        <f t="shared" ref="I334:I397" si="31">IF(G334="n/a","n/a",$F334*G334)</f>
        <v>4.2585114784180919E-5</v>
      </c>
      <c r="J334" s="121">
        <f t="shared" ref="J334:J397" si="32">IF(H334="n/a","n/a",$F334*H334)</f>
        <v>1.2335243491424497E-4</v>
      </c>
      <c r="M334" s="6">
        <v>3.1202000000000001</v>
      </c>
      <c r="N334" s="6">
        <v>9.0380000000000003</v>
      </c>
      <c r="O334" s="6">
        <f t="shared" si="28"/>
        <v>3.1202000000000001E-2</v>
      </c>
      <c r="P334" s="6">
        <f t="shared" si="29"/>
        <v>9.0380000000000002E-2</v>
      </c>
    </row>
    <row r="335" spans="1:16" x14ac:dyDescent="0.25">
      <c r="A335" s="6" t="s">
        <v>232</v>
      </c>
      <c r="B335" s="7" t="s">
        <v>611</v>
      </c>
      <c r="C335" s="116">
        <v>212.22</v>
      </c>
      <c r="D335" s="117">
        <v>42.28</v>
      </c>
      <c r="E335" s="118">
        <f t="shared" si="30"/>
        <v>8972.6615999999995</v>
      </c>
      <c r="F335" s="119">
        <f t="shared" ref="F335:F398" si="33">IF(OR(G335="n/a",H335="n/a",H335&lt;0%),0%,E335/SUMIFS(E$14:E$518,G$14:G$518,"&lt;&gt;n/a",$H$14:$H$518,"&lt;&gt;n/a",$H$14:$H$518,"&gt;=0"))</f>
        <v>5.1649878005071413E-4</v>
      </c>
      <c r="G335" s="120">
        <v>1.3245E-2</v>
      </c>
      <c r="H335" s="120">
        <v>6.13E-2</v>
      </c>
      <c r="I335" s="121">
        <f t="shared" si="31"/>
        <v>6.8410263417717088E-6</v>
      </c>
      <c r="J335" s="121">
        <f t="shared" si="32"/>
        <v>3.1661375217108774E-5</v>
      </c>
      <c r="M335" s="6">
        <v>1.3245</v>
      </c>
      <c r="N335" s="6">
        <v>6.13</v>
      </c>
      <c r="O335" s="6">
        <f t="shared" ref="O335:O398" si="34">IFERROR(M335/100, "n/a")</f>
        <v>1.3245E-2</v>
      </c>
      <c r="P335" s="6">
        <f t="shared" ref="P335:P398" si="35">IFERROR(N335/100, "n/a")</f>
        <v>6.13E-2</v>
      </c>
    </row>
    <row r="336" spans="1:16" x14ac:dyDescent="0.25">
      <c r="A336" s="6" t="s">
        <v>429</v>
      </c>
      <c r="B336" s="7" t="s">
        <v>775</v>
      </c>
      <c r="C336" s="116">
        <v>198.96600000000001</v>
      </c>
      <c r="D336" s="117">
        <v>34.619999999999997</v>
      </c>
      <c r="E336" s="118">
        <f t="shared" si="30"/>
        <v>6888.2029199999997</v>
      </c>
      <c r="F336" s="119">
        <f t="shared" si="33"/>
        <v>0</v>
      </c>
      <c r="G336" s="120" t="s">
        <v>996</v>
      </c>
      <c r="H336" s="120">
        <v>0.20385</v>
      </c>
      <c r="I336" s="121" t="str">
        <f t="shared" si="31"/>
        <v>n/a</v>
      </c>
      <c r="J336" s="121">
        <f t="shared" si="32"/>
        <v>0</v>
      </c>
      <c r="M336" s="6" t="s">
        <v>996</v>
      </c>
      <c r="N336" s="6">
        <v>20.385000000000002</v>
      </c>
      <c r="O336" s="6" t="str">
        <f t="shared" si="34"/>
        <v>n/a</v>
      </c>
      <c r="P336" s="6">
        <f t="shared" si="35"/>
        <v>0.20385</v>
      </c>
    </row>
    <row r="337" spans="1:16" x14ac:dyDescent="0.25">
      <c r="A337" s="6" t="s">
        <v>1350</v>
      </c>
      <c r="B337" s="7" t="s">
        <v>1351</v>
      </c>
      <c r="C337" s="116">
        <v>204.58600000000001</v>
      </c>
      <c r="D337" s="117">
        <v>124.28</v>
      </c>
      <c r="E337" s="118">
        <f t="shared" si="30"/>
        <v>25425.948080000002</v>
      </c>
      <c r="F337" s="119">
        <f t="shared" si="33"/>
        <v>0</v>
      </c>
      <c r="G337" s="120" t="s">
        <v>996</v>
      </c>
      <c r="H337" s="120">
        <v>0.42383000000000004</v>
      </c>
      <c r="I337" s="121" t="str">
        <f t="shared" si="31"/>
        <v>n/a</v>
      </c>
      <c r="J337" s="121">
        <f t="shared" si="32"/>
        <v>0</v>
      </c>
      <c r="M337" s="6" t="s">
        <v>996</v>
      </c>
      <c r="N337" s="6">
        <v>42.383000000000003</v>
      </c>
      <c r="O337" s="6" t="str">
        <f t="shared" si="34"/>
        <v>n/a</v>
      </c>
      <c r="P337" s="6">
        <f t="shared" si="35"/>
        <v>0.42383000000000004</v>
      </c>
    </row>
    <row r="338" spans="1:16" x14ac:dyDescent="0.25">
      <c r="A338" s="6" t="s">
        <v>498</v>
      </c>
      <c r="B338" s="7" t="s">
        <v>836</v>
      </c>
      <c r="C338" s="116">
        <v>312.33300000000003</v>
      </c>
      <c r="D338" s="117">
        <v>165.26</v>
      </c>
      <c r="E338" s="118">
        <f t="shared" si="30"/>
        <v>51616.151580000005</v>
      </c>
      <c r="F338" s="119">
        <f t="shared" si="33"/>
        <v>2.9712119447347423E-3</v>
      </c>
      <c r="G338" s="120">
        <v>4.2356999999999999E-2</v>
      </c>
      <c r="H338" s="120">
        <v>7.8730000000000008E-2</v>
      </c>
      <c r="I338" s="121">
        <f t="shared" si="31"/>
        <v>1.2585162434312948E-4</v>
      </c>
      <c r="J338" s="121">
        <f t="shared" si="32"/>
        <v>2.3392351640896629E-4</v>
      </c>
      <c r="M338" s="6">
        <v>4.2356999999999996</v>
      </c>
      <c r="N338" s="6">
        <v>7.8730000000000002</v>
      </c>
      <c r="O338" s="6">
        <f t="shared" si="34"/>
        <v>4.2356999999999999E-2</v>
      </c>
      <c r="P338" s="6">
        <f t="shared" si="35"/>
        <v>7.8730000000000008E-2</v>
      </c>
    </row>
    <row r="339" spans="1:16" x14ac:dyDescent="0.25">
      <c r="A339" s="6" t="s">
        <v>298</v>
      </c>
      <c r="B339" s="7" t="s">
        <v>666</v>
      </c>
      <c r="C339" s="116">
        <v>145.82499999999999</v>
      </c>
      <c r="D339" s="117">
        <v>79.75</v>
      </c>
      <c r="E339" s="118">
        <f t="shared" si="30"/>
        <v>11629.543749999999</v>
      </c>
      <c r="F339" s="119">
        <f t="shared" si="33"/>
        <v>6.6943850411358514E-4</v>
      </c>
      <c r="G339" s="120">
        <v>2.5579999999999999E-2</v>
      </c>
      <c r="H339" s="120">
        <v>7.2499999999999995E-2</v>
      </c>
      <c r="I339" s="121">
        <f t="shared" si="31"/>
        <v>1.7124236935225506E-5</v>
      </c>
      <c r="J339" s="121">
        <f t="shared" si="32"/>
        <v>4.8534291548234922E-5</v>
      </c>
      <c r="M339" s="6">
        <v>2.5579999999999998</v>
      </c>
      <c r="N339" s="6">
        <v>7.25</v>
      </c>
      <c r="O339" s="6">
        <f t="shared" si="34"/>
        <v>2.5579999999999999E-2</v>
      </c>
      <c r="P339" s="6">
        <f t="shared" si="35"/>
        <v>7.2499999999999995E-2</v>
      </c>
    </row>
    <row r="340" spans="1:16" x14ac:dyDescent="0.25">
      <c r="A340" s="6" t="s">
        <v>218</v>
      </c>
      <c r="B340" s="7" t="s">
        <v>598</v>
      </c>
      <c r="C340" s="116">
        <v>137.47999999999999</v>
      </c>
      <c r="D340" s="117">
        <v>189.84</v>
      </c>
      <c r="E340" s="118">
        <f t="shared" si="30"/>
        <v>26099.2032</v>
      </c>
      <c r="F340" s="119">
        <f t="shared" si="33"/>
        <v>1.5023643166366259E-3</v>
      </c>
      <c r="G340" s="120">
        <v>2.9919999999999999E-2</v>
      </c>
      <c r="H340" s="120">
        <v>6.9599999999999995E-2</v>
      </c>
      <c r="I340" s="121">
        <f t="shared" si="31"/>
        <v>4.495074035376785E-5</v>
      </c>
      <c r="J340" s="121">
        <f t="shared" si="32"/>
        <v>1.0456455643790916E-4</v>
      </c>
      <c r="M340" s="6">
        <v>2.992</v>
      </c>
      <c r="N340" s="6">
        <v>6.96</v>
      </c>
      <c r="O340" s="6">
        <f t="shared" si="34"/>
        <v>2.9919999999999999E-2</v>
      </c>
      <c r="P340" s="6">
        <f t="shared" si="35"/>
        <v>6.9599999999999995E-2</v>
      </c>
    </row>
    <row r="341" spans="1:16" x14ac:dyDescent="0.25">
      <c r="A341" s="6" t="s">
        <v>471</v>
      </c>
      <c r="B341" s="7" t="s">
        <v>810</v>
      </c>
      <c r="C341" s="116">
        <v>430.37</v>
      </c>
      <c r="D341" s="117">
        <v>107.03</v>
      </c>
      <c r="E341" s="118">
        <f t="shared" si="30"/>
        <v>46062.501100000001</v>
      </c>
      <c r="F341" s="119">
        <f t="shared" si="33"/>
        <v>2.6515237824454095E-3</v>
      </c>
      <c r="G341" s="120">
        <v>2.8029999999999999E-2</v>
      </c>
      <c r="H341" s="120">
        <v>9.6999999999999989E-2</v>
      </c>
      <c r="I341" s="121">
        <f t="shared" si="31"/>
        <v>7.4322211621944832E-5</v>
      </c>
      <c r="J341" s="121">
        <f t="shared" si="32"/>
        <v>2.5719780689720468E-4</v>
      </c>
      <c r="M341" s="6">
        <v>2.8029999999999999</v>
      </c>
      <c r="N341" s="6">
        <v>9.6999999999999993</v>
      </c>
      <c r="O341" s="6">
        <f t="shared" si="34"/>
        <v>2.8029999999999999E-2</v>
      </c>
      <c r="P341" s="6">
        <f t="shared" si="35"/>
        <v>9.6999999999999989E-2</v>
      </c>
    </row>
    <row r="342" spans="1:16" x14ac:dyDescent="0.25">
      <c r="A342" s="6" t="s">
        <v>532</v>
      </c>
      <c r="B342" s="7" t="s">
        <v>861</v>
      </c>
      <c r="C342" s="116">
        <v>689.22699999999998</v>
      </c>
      <c r="D342" s="117">
        <v>107.46</v>
      </c>
      <c r="E342" s="118">
        <f t="shared" si="30"/>
        <v>74064.333419999995</v>
      </c>
      <c r="F342" s="119">
        <f t="shared" si="33"/>
        <v>4.2634102969735686E-3</v>
      </c>
      <c r="G342" s="120">
        <v>3.0895000000000002E-2</v>
      </c>
      <c r="H342" s="120">
        <v>8.5000000000000006E-2</v>
      </c>
      <c r="I342" s="121">
        <f t="shared" si="31"/>
        <v>1.3171806112499842E-4</v>
      </c>
      <c r="J342" s="121">
        <f t="shared" si="32"/>
        <v>3.6238987524275334E-4</v>
      </c>
      <c r="M342" s="6">
        <v>3.0895000000000001</v>
      </c>
      <c r="N342" s="6">
        <v>8.5</v>
      </c>
      <c r="O342" s="6">
        <f t="shared" si="34"/>
        <v>3.0895000000000002E-2</v>
      </c>
      <c r="P342" s="6">
        <f t="shared" si="35"/>
        <v>8.5000000000000006E-2</v>
      </c>
    </row>
    <row r="343" spans="1:16" x14ac:dyDescent="0.25">
      <c r="A343" s="6" t="s">
        <v>208</v>
      </c>
      <c r="B343" s="7" t="s">
        <v>592</v>
      </c>
      <c r="C343" s="116">
        <v>157.017</v>
      </c>
      <c r="D343" s="117">
        <v>43.74</v>
      </c>
      <c r="E343" s="118">
        <f t="shared" si="30"/>
        <v>6867.9235800000006</v>
      </c>
      <c r="F343" s="119">
        <f t="shared" si="33"/>
        <v>3.9534246455383249E-4</v>
      </c>
      <c r="G343" s="120">
        <v>3.2922E-2</v>
      </c>
      <c r="H343" s="120">
        <v>0.25395000000000001</v>
      </c>
      <c r="I343" s="121">
        <f t="shared" si="31"/>
        <v>1.3015464618041274E-5</v>
      </c>
      <c r="J343" s="121">
        <f t="shared" si="32"/>
        <v>1.0039721887344577E-4</v>
      </c>
      <c r="M343" s="6">
        <v>3.2922000000000002</v>
      </c>
      <c r="N343" s="6">
        <v>25.395</v>
      </c>
      <c r="O343" s="6">
        <f t="shared" si="34"/>
        <v>3.2922E-2</v>
      </c>
      <c r="P343" s="6">
        <f t="shared" si="35"/>
        <v>0.25395000000000001</v>
      </c>
    </row>
    <row r="344" spans="1:16" x14ac:dyDescent="0.25">
      <c r="A344" s="6" t="s">
        <v>1022</v>
      </c>
      <c r="B344" s="7" t="s">
        <v>1023</v>
      </c>
      <c r="C344" s="116">
        <v>1080.951</v>
      </c>
      <c r="D344" s="117">
        <v>86.54</v>
      </c>
      <c r="E344" s="118">
        <f t="shared" si="30"/>
        <v>93545.499540000004</v>
      </c>
      <c r="F344" s="119">
        <f t="shared" si="33"/>
        <v>5.3848165177258715E-3</v>
      </c>
      <c r="G344" s="120">
        <v>1.7332999999999998E-2</v>
      </c>
      <c r="H344" s="120">
        <v>0.1065</v>
      </c>
      <c r="I344" s="121">
        <f t="shared" si="31"/>
        <v>9.3335024701742523E-5</v>
      </c>
      <c r="J344" s="121">
        <f t="shared" si="32"/>
        <v>5.7348295913780525E-4</v>
      </c>
      <c r="M344" s="6">
        <v>1.7332999999999998</v>
      </c>
      <c r="N344" s="6">
        <v>10.65</v>
      </c>
      <c r="O344" s="6">
        <f t="shared" si="34"/>
        <v>1.7332999999999998E-2</v>
      </c>
      <c r="P344" s="6">
        <f t="shared" si="35"/>
        <v>0.1065</v>
      </c>
    </row>
    <row r="345" spans="1:16" x14ac:dyDescent="0.25">
      <c r="A345" s="6" t="s">
        <v>407</v>
      </c>
      <c r="B345" s="7" t="s">
        <v>761</v>
      </c>
      <c r="C345" s="116">
        <v>212.053</v>
      </c>
      <c r="D345" s="117">
        <v>138.29</v>
      </c>
      <c r="E345" s="118">
        <f t="shared" si="30"/>
        <v>29324.809369999999</v>
      </c>
      <c r="F345" s="119">
        <f t="shared" si="33"/>
        <v>1.688041847563353E-3</v>
      </c>
      <c r="G345" s="120">
        <v>8.0990000000000003E-3</v>
      </c>
      <c r="H345" s="120">
        <v>7.1830000000000005E-2</v>
      </c>
      <c r="I345" s="121">
        <f t="shared" si="31"/>
        <v>1.3671450923415596E-5</v>
      </c>
      <c r="J345" s="121">
        <f t="shared" si="32"/>
        <v>1.2125204591047565E-4</v>
      </c>
      <c r="M345" s="6">
        <v>0.80989999999999995</v>
      </c>
      <c r="N345" s="6">
        <v>7.1829999999999998</v>
      </c>
      <c r="O345" s="6">
        <f t="shared" si="34"/>
        <v>8.0990000000000003E-3</v>
      </c>
      <c r="P345" s="6">
        <f t="shared" si="35"/>
        <v>7.1830000000000005E-2</v>
      </c>
    </row>
    <row r="346" spans="1:16" x14ac:dyDescent="0.25">
      <c r="A346" s="6" t="s">
        <v>393</v>
      </c>
      <c r="B346" s="7" t="s">
        <v>747</v>
      </c>
      <c r="C346" s="116">
        <v>289.44299999999998</v>
      </c>
      <c r="D346" s="117">
        <v>269.45</v>
      </c>
      <c r="E346" s="118">
        <f t="shared" si="30"/>
        <v>77990.41635</v>
      </c>
      <c r="F346" s="119">
        <f t="shared" si="33"/>
        <v>4.489409797915735E-3</v>
      </c>
      <c r="G346" s="120">
        <v>2.7018E-2</v>
      </c>
      <c r="H346" s="120">
        <v>7.3450000000000001E-2</v>
      </c>
      <c r="I346" s="121">
        <f t="shared" si="31"/>
        <v>1.2129487392008733E-4</v>
      </c>
      <c r="J346" s="121">
        <f t="shared" si="32"/>
        <v>3.2974714965691075E-4</v>
      </c>
      <c r="M346" s="6">
        <v>2.7018</v>
      </c>
      <c r="N346" s="6">
        <v>7.3449999999999998</v>
      </c>
      <c r="O346" s="6">
        <f t="shared" si="34"/>
        <v>2.7018E-2</v>
      </c>
      <c r="P346" s="6">
        <f t="shared" si="35"/>
        <v>7.3450000000000001E-2</v>
      </c>
    </row>
    <row r="347" spans="1:16" x14ac:dyDescent="0.25">
      <c r="A347" s="6" t="s">
        <v>200</v>
      </c>
      <c r="B347" s="7" t="s">
        <v>586</v>
      </c>
      <c r="C347" s="116">
        <v>217.28</v>
      </c>
      <c r="D347" s="117">
        <v>82.05</v>
      </c>
      <c r="E347" s="118">
        <f t="shared" si="30"/>
        <v>17827.824000000001</v>
      </c>
      <c r="F347" s="119">
        <f t="shared" si="33"/>
        <v>1.0262338821469478E-3</v>
      </c>
      <c r="G347" s="120">
        <v>1.7793999999999997E-2</v>
      </c>
      <c r="H347" s="120">
        <v>9.4629999999999992E-2</v>
      </c>
      <c r="I347" s="121">
        <f t="shared" si="31"/>
        <v>1.8260805698922785E-5</v>
      </c>
      <c r="J347" s="121">
        <f t="shared" si="32"/>
        <v>9.7112512267565662E-5</v>
      </c>
      <c r="M347" s="6">
        <v>1.7793999999999999</v>
      </c>
      <c r="N347" s="6">
        <v>9.4629999999999992</v>
      </c>
      <c r="O347" s="6">
        <f t="shared" si="34"/>
        <v>1.7793999999999997E-2</v>
      </c>
      <c r="P347" s="6">
        <f t="shared" si="35"/>
        <v>9.4629999999999992E-2</v>
      </c>
    </row>
    <row r="348" spans="1:16" x14ac:dyDescent="0.25">
      <c r="A348" s="6" t="s">
        <v>240</v>
      </c>
      <c r="B348" s="7" t="s">
        <v>618</v>
      </c>
      <c r="C348" s="116">
        <v>482.70699999999999</v>
      </c>
      <c r="D348" s="117">
        <v>80.38</v>
      </c>
      <c r="E348" s="118">
        <f t="shared" si="30"/>
        <v>38799.988659999995</v>
      </c>
      <c r="F348" s="119">
        <f t="shared" si="33"/>
        <v>2.2334673592138525E-3</v>
      </c>
      <c r="G348" s="120">
        <v>1.9904999999999999E-2</v>
      </c>
      <c r="H348" s="120">
        <v>4.5240000000000002E-2</v>
      </c>
      <c r="I348" s="121">
        <f t="shared" si="31"/>
        <v>4.445716778515173E-5</v>
      </c>
      <c r="J348" s="121">
        <f t="shared" si="32"/>
        <v>1.0104206333083469E-4</v>
      </c>
      <c r="M348" s="6">
        <v>1.9904999999999999</v>
      </c>
      <c r="N348" s="6">
        <v>4.524</v>
      </c>
      <c r="O348" s="6">
        <f t="shared" si="34"/>
        <v>1.9904999999999999E-2</v>
      </c>
      <c r="P348" s="6">
        <f t="shared" si="35"/>
        <v>4.5240000000000002E-2</v>
      </c>
    </row>
    <row r="349" spans="1:16" x14ac:dyDescent="0.25">
      <c r="A349" s="6" t="s">
        <v>550</v>
      </c>
      <c r="B349" s="7" t="s">
        <v>877</v>
      </c>
      <c r="C349" s="116">
        <v>80.075999999999993</v>
      </c>
      <c r="D349" s="117">
        <v>169.89</v>
      </c>
      <c r="E349" s="118">
        <f t="shared" si="30"/>
        <v>13604.111639999997</v>
      </c>
      <c r="F349" s="119">
        <f t="shared" si="33"/>
        <v>0</v>
      </c>
      <c r="G349" s="120" t="s">
        <v>996</v>
      </c>
      <c r="H349" s="120">
        <v>7.51E-2</v>
      </c>
      <c r="I349" s="121" t="str">
        <f t="shared" si="31"/>
        <v>n/a</v>
      </c>
      <c r="J349" s="121">
        <f t="shared" si="32"/>
        <v>0</v>
      </c>
      <c r="M349" s="6" t="s">
        <v>996</v>
      </c>
      <c r="N349" s="6">
        <v>7.51</v>
      </c>
      <c r="O349" s="6" t="str">
        <f t="shared" si="34"/>
        <v>n/a</v>
      </c>
      <c r="P349" s="6">
        <f t="shared" si="35"/>
        <v>7.51E-2</v>
      </c>
    </row>
    <row r="350" spans="1:16" x14ac:dyDescent="0.25">
      <c r="A350" s="6" t="s">
        <v>289</v>
      </c>
      <c r="B350" s="7" t="s">
        <v>918</v>
      </c>
      <c r="C350" s="116">
        <v>236.298</v>
      </c>
      <c r="D350" s="117">
        <v>82.77</v>
      </c>
      <c r="E350" s="118">
        <f t="shared" si="30"/>
        <v>19558.385459999998</v>
      </c>
      <c r="F350" s="119">
        <f t="shared" si="33"/>
        <v>0</v>
      </c>
      <c r="G350" s="120" t="s">
        <v>996</v>
      </c>
      <c r="H350" s="120">
        <v>0.15225</v>
      </c>
      <c r="I350" s="121" t="str">
        <f t="shared" si="31"/>
        <v>n/a</v>
      </c>
      <c r="J350" s="121">
        <f t="shared" si="32"/>
        <v>0</v>
      </c>
      <c r="M350" s="6" t="s">
        <v>996</v>
      </c>
      <c r="N350" s="6">
        <v>15.225</v>
      </c>
      <c r="O350" s="6" t="str">
        <f t="shared" si="34"/>
        <v>n/a</v>
      </c>
      <c r="P350" s="6">
        <f t="shared" si="35"/>
        <v>0.15225</v>
      </c>
    </row>
    <row r="351" spans="1:16" x14ac:dyDescent="0.25">
      <c r="A351" s="6" t="s">
        <v>281</v>
      </c>
      <c r="B351" s="7" t="s">
        <v>652</v>
      </c>
      <c r="C351" s="116">
        <v>124.339</v>
      </c>
      <c r="D351" s="117">
        <v>85.19</v>
      </c>
      <c r="E351" s="118">
        <f t="shared" si="30"/>
        <v>10592.439409999999</v>
      </c>
      <c r="F351" s="119">
        <f t="shared" si="33"/>
        <v>6.0973903585376569E-4</v>
      </c>
      <c r="G351" s="120">
        <v>2.6293999999999998E-2</v>
      </c>
      <c r="H351" s="120">
        <v>9.6880000000000008E-2</v>
      </c>
      <c r="I351" s="121">
        <f t="shared" si="31"/>
        <v>1.6032478208738913E-5</v>
      </c>
      <c r="J351" s="121">
        <f t="shared" si="32"/>
        <v>5.9071517793512823E-5</v>
      </c>
      <c r="M351" s="6">
        <v>2.6294</v>
      </c>
      <c r="N351" s="6">
        <v>9.6880000000000006</v>
      </c>
      <c r="O351" s="6">
        <f t="shared" si="34"/>
        <v>2.6293999999999998E-2</v>
      </c>
      <c r="P351" s="6">
        <f t="shared" si="35"/>
        <v>9.6880000000000008E-2</v>
      </c>
    </row>
    <row r="352" spans="1:16" x14ac:dyDescent="0.25">
      <c r="A352" s="6" t="s">
        <v>427</v>
      </c>
      <c r="B352" s="7" t="s">
        <v>952</v>
      </c>
      <c r="C352" s="116">
        <v>270.95100000000002</v>
      </c>
      <c r="D352" s="117">
        <v>39.85</v>
      </c>
      <c r="E352" s="118">
        <f t="shared" si="30"/>
        <v>10797.397350000001</v>
      </c>
      <c r="F352" s="119">
        <f t="shared" si="33"/>
        <v>6.2153715448243522E-4</v>
      </c>
      <c r="G352" s="120">
        <v>1.9071999999999999E-2</v>
      </c>
      <c r="H352" s="120">
        <v>0.10162</v>
      </c>
      <c r="I352" s="121">
        <f t="shared" si="31"/>
        <v>1.1853956610289004E-5</v>
      </c>
      <c r="J352" s="121">
        <f t="shared" si="32"/>
        <v>6.3160605638505071E-5</v>
      </c>
      <c r="M352" s="6">
        <v>1.9072</v>
      </c>
      <c r="N352" s="6">
        <v>10.162000000000001</v>
      </c>
      <c r="O352" s="6">
        <f t="shared" si="34"/>
        <v>1.9071999999999999E-2</v>
      </c>
      <c r="P352" s="6">
        <f t="shared" si="35"/>
        <v>0.10162</v>
      </c>
    </row>
    <row r="353" spans="1:16" x14ac:dyDescent="0.25">
      <c r="A353" s="6" t="s">
        <v>262</v>
      </c>
      <c r="B353" s="7" t="s">
        <v>911</v>
      </c>
      <c r="C353" s="116">
        <v>151.18299999999999</v>
      </c>
      <c r="D353" s="117">
        <v>80.94</v>
      </c>
      <c r="E353" s="118">
        <f t="shared" si="30"/>
        <v>12236.75202</v>
      </c>
      <c r="F353" s="119">
        <f t="shared" si="33"/>
        <v>0</v>
      </c>
      <c r="G353" s="120" t="s">
        <v>996</v>
      </c>
      <c r="H353" s="120">
        <v>0.10339999999999999</v>
      </c>
      <c r="I353" s="121" t="str">
        <f t="shared" si="31"/>
        <v>n/a</v>
      </c>
      <c r="J353" s="121">
        <f t="shared" si="32"/>
        <v>0</v>
      </c>
      <c r="M353" s="6" t="s">
        <v>996</v>
      </c>
      <c r="N353" s="6">
        <v>10.34</v>
      </c>
      <c r="O353" s="6" t="str">
        <f t="shared" si="34"/>
        <v>n/a</v>
      </c>
      <c r="P353" s="6">
        <f t="shared" si="35"/>
        <v>0.10339999999999999</v>
      </c>
    </row>
    <row r="354" spans="1:16" x14ac:dyDescent="0.25">
      <c r="A354" s="6" t="s">
        <v>343</v>
      </c>
      <c r="B354" s="7" t="s">
        <v>933</v>
      </c>
      <c r="C354" s="116">
        <v>251.79400000000001</v>
      </c>
      <c r="D354" s="117">
        <v>36.229999999999997</v>
      </c>
      <c r="E354" s="118">
        <f t="shared" si="30"/>
        <v>9122.4966199999999</v>
      </c>
      <c r="F354" s="119">
        <f t="shared" si="33"/>
        <v>0</v>
      </c>
      <c r="G354" s="120">
        <v>1.1041E-2</v>
      </c>
      <c r="H354" s="120" t="s">
        <v>996</v>
      </c>
      <c r="I354" s="121">
        <f t="shared" si="31"/>
        <v>0</v>
      </c>
      <c r="J354" s="121" t="str">
        <f t="shared" si="32"/>
        <v>n/a</v>
      </c>
      <c r="M354" s="6">
        <v>1.1041000000000001</v>
      </c>
      <c r="N354" s="6" t="s">
        <v>996</v>
      </c>
      <c r="O354" s="6">
        <f t="shared" si="34"/>
        <v>1.1041E-2</v>
      </c>
      <c r="P354" s="6" t="str">
        <f t="shared" si="35"/>
        <v>n/a</v>
      </c>
    </row>
    <row r="355" spans="1:16" x14ac:dyDescent="0.25">
      <c r="A355" s="6" t="s">
        <v>1352</v>
      </c>
      <c r="B355" s="7" t="s">
        <v>1353</v>
      </c>
      <c r="C355" s="116">
        <v>283.61500000000001</v>
      </c>
      <c r="D355" s="117">
        <v>75.34</v>
      </c>
      <c r="E355" s="118">
        <f t="shared" si="30"/>
        <v>21367.554100000001</v>
      </c>
      <c r="F355" s="119">
        <f t="shared" si="33"/>
        <v>0</v>
      </c>
      <c r="G355" s="120" t="s">
        <v>996</v>
      </c>
      <c r="H355" s="120" t="s">
        <v>996</v>
      </c>
      <c r="I355" s="121" t="str">
        <f t="shared" si="31"/>
        <v>n/a</v>
      </c>
      <c r="J355" s="121" t="str">
        <f t="shared" si="32"/>
        <v>n/a</v>
      </c>
      <c r="M355" s="6" t="s">
        <v>996</v>
      </c>
      <c r="N355" s="6" t="s">
        <v>996</v>
      </c>
      <c r="O355" s="6" t="str">
        <f t="shared" si="34"/>
        <v>n/a</v>
      </c>
      <c r="P355" s="6" t="str">
        <f t="shared" si="35"/>
        <v>n/a</v>
      </c>
    </row>
    <row r="356" spans="1:16" x14ac:dyDescent="0.25">
      <c r="A356" s="6" t="s">
        <v>1169</v>
      </c>
      <c r="B356" s="7" t="s">
        <v>653</v>
      </c>
      <c r="C356" s="116">
        <v>194.6</v>
      </c>
      <c r="D356" s="117">
        <v>69.010000000000005</v>
      </c>
      <c r="E356" s="118">
        <f t="shared" si="30"/>
        <v>13429.346000000001</v>
      </c>
      <c r="F356" s="119">
        <f t="shared" si="33"/>
        <v>0</v>
      </c>
      <c r="G356" s="120" t="s">
        <v>996</v>
      </c>
      <c r="H356" s="120">
        <v>8.8350000000000012E-2</v>
      </c>
      <c r="I356" s="121" t="str">
        <f t="shared" si="31"/>
        <v>n/a</v>
      </c>
      <c r="J356" s="121">
        <f t="shared" si="32"/>
        <v>0</v>
      </c>
      <c r="M356" s="6" t="s">
        <v>996</v>
      </c>
      <c r="N356" s="6">
        <v>8.8350000000000009</v>
      </c>
      <c r="O356" s="6" t="str">
        <f t="shared" si="34"/>
        <v>n/a</v>
      </c>
      <c r="P356" s="6">
        <f t="shared" si="35"/>
        <v>8.8350000000000012E-2</v>
      </c>
    </row>
    <row r="357" spans="1:16" x14ac:dyDescent="0.25">
      <c r="A357" s="6" t="s">
        <v>348</v>
      </c>
      <c r="B357" s="7" t="s">
        <v>705</v>
      </c>
      <c r="C357" s="116">
        <v>367.36099999999999</v>
      </c>
      <c r="D357" s="117">
        <v>48.36</v>
      </c>
      <c r="E357" s="118">
        <f t="shared" si="30"/>
        <v>17765.577959999999</v>
      </c>
      <c r="F357" s="119">
        <f t="shared" si="33"/>
        <v>1.0226507754662066E-3</v>
      </c>
      <c r="G357" s="120">
        <v>1.9023999999999999E-2</v>
      </c>
      <c r="H357" s="120">
        <v>9.5000000000000001E-2</v>
      </c>
      <c r="I357" s="121">
        <f t="shared" si="31"/>
        <v>1.9454908352469113E-5</v>
      </c>
      <c r="J357" s="121">
        <f t="shared" si="32"/>
        <v>9.7151823669289626E-5</v>
      </c>
      <c r="M357" s="6">
        <v>1.9024000000000001</v>
      </c>
      <c r="N357" s="6">
        <v>9.5</v>
      </c>
      <c r="O357" s="6">
        <f t="shared" si="34"/>
        <v>1.9023999999999999E-2</v>
      </c>
      <c r="P357" s="6">
        <f t="shared" si="35"/>
        <v>9.5000000000000001E-2</v>
      </c>
    </row>
    <row r="358" spans="1:16" x14ac:dyDescent="0.25">
      <c r="A358" s="6" t="s">
        <v>371</v>
      </c>
      <c r="B358" s="7" t="s">
        <v>725</v>
      </c>
      <c r="C358" s="116">
        <v>264.11700000000002</v>
      </c>
      <c r="D358" s="117">
        <v>34.76</v>
      </c>
      <c r="E358" s="118">
        <f t="shared" si="30"/>
        <v>9180.7069200000005</v>
      </c>
      <c r="F358" s="119">
        <f t="shared" si="33"/>
        <v>5.2847461941316835E-4</v>
      </c>
      <c r="G358" s="120">
        <v>6.3291E-2</v>
      </c>
      <c r="H358" s="120">
        <v>0.11449999999999999</v>
      </c>
      <c r="I358" s="121">
        <f t="shared" si="31"/>
        <v>3.3447687137278839E-5</v>
      </c>
      <c r="J358" s="121">
        <f t="shared" si="32"/>
        <v>6.0510343922807769E-5</v>
      </c>
      <c r="M358" s="6">
        <v>6.3291000000000004</v>
      </c>
      <c r="N358" s="6">
        <v>11.45</v>
      </c>
      <c r="O358" s="6">
        <f t="shared" si="34"/>
        <v>6.3291E-2</v>
      </c>
      <c r="P358" s="6">
        <f t="shared" si="35"/>
        <v>0.11449999999999999</v>
      </c>
    </row>
    <row r="359" spans="1:16" x14ac:dyDescent="0.25">
      <c r="A359" s="6" t="s">
        <v>314</v>
      </c>
      <c r="B359" s="7" t="s">
        <v>680</v>
      </c>
      <c r="C359" s="116">
        <v>222.244</v>
      </c>
      <c r="D359" s="117">
        <v>87.14</v>
      </c>
      <c r="E359" s="118">
        <f t="shared" si="30"/>
        <v>19366.34216</v>
      </c>
      <c r="F359" s="119">
        <f t="shared" si="33"/>
        <v>1.1147965392659758E-3</v>
      </c>
      <c r="G359" s="120">
        <v>1.5606999999999999E-2</v>
      </c>
      <c r="H359" s="120">
        <v>0.10824</v>
      </c>
      <c r="I359" s="121">
        <f t="shared" si="31"/>
        <v>1.7398629588324083E-5</v>
      </c>
      <c r="J359" s="121">
        <f t="shared" si="32"/>
        <v>1.2066557741014922E-4</v>
      </c>
      <c r="M359" s="6">
        <v>1.5607</v>
      </c>
      <c r="N359" s="6">
        <v>10.824</v>
      </c>
      <c r="O359" s="6">
        <f t="shared" si="34"/>
        <v>1.5606999999999999E-2</v>
      </c>
      <c r="P359" s="6">
        <f t="shared" si="35"/>
        <v>0.10824</v>
      </c>
    </row>
    <row r="360" spans="1:16" x14ac:dyDescent="0.25">
      <c r="A360" s="6" t="s">
        <v>565</v>
      </c>
      <c r="B360" s="7" t="s">
        <v>983</v>
      </c>
      <c r="C360" s="116">
        <v>958.13099999999997</v>
      </c>
      <c r="D360" s="117">
        <v>48.21</v>
      </c>
      <c r="E360" s="118">
        <f t="shared" si="30"/>
        <v>46191.495510000001</v>
      </c>
      <c r="F360" s="119">
        <f t="shared" si="33"/>
        <v>0</v>
      </c>
      <c r="G360" s="120" t="s">
        <v>996</v>
      </c>
      <c r="H360" s="120">
        <v>0.10366</v>
      </c>
      <c r="I360" s="121" t="str">
        <f t="shared" si="31"/>
        <v>n/a</v>
      </c>
      <c r="J360" s="121">
        <f t="shared" si="32"/>
        <v>0</v>
      </c>
      <c r="M360" s="6" t="s">
        <v>996</v>
      </c>
      <c r="N360" s="6">
        <v>10.366</v>
      </c>
      <c r="O360" s="6" t="str">
        <f t="shared" si="34"/>
        <v>n/a</v>
      </c>
      <c r="P360" s="6">
        <f t="shared" si="35"/>
        <v>0.10366</v>
      </c>
    </row>
    <row r="361" spans="1:16" x14ac:dyDescent="0.25">
      <c r="A361" s="6" t="s">
        <v>467</v>
      </c>
      <c r="B361" s="7" t="s">
        <v>806</v>
      </c>
      <c r="C361" s="116">
        <v>288.315</v>
      </c>
      <c r="D361" s="117">
        <v>65.13</v>
      </c>
      <c r="E361" s="118">
        <f t="shared" si="30"/>
        <v>18777.95595</v>
      </c>
      <c r="F361" s="119">
        <f t="shared" si="33"/>
        <v>1.0809269057935997E-3</v>
      </c>
      <c r="G361" s="120">
        <v>2.8250999999999998E-2</v>
      </c>
      <c r="H361" s="120">
        <v>9.5329999999999998E-2</v>
      </c>
      <c r="I361" s="121">
        <f t="shared" si="31"/>
        <v>3.0537266015574981E-5</v>
      </c>
      <c r="J361" s="121">
        <f t="shared" si="32"/>
        <v>1.0304476192930385E-4</v>
      </c>
      <c r="M361" s="6">
        <v>2.8250999999999999</v>
      </c>
      <c r="N361" s="6">
        <v>9.5329999999999995</v>
      </c>
      <c r="O361" s="6">
        <f t="shared" si="34"/>
        <v>2.8250999999999998E-2</v>
      </c>
      <c r="P361" s="6">
        <f t="shared" si="35"/>
        <v>9.5329999999999998E-2</v>
      </c>
    </row>
    <row r="362" spans="1:16" x14ac:dyDescent="0.25">
      <c r="A362" s="6" t="s">
        <v>506</v>
      </c>
      <c r="B362" s="7" t="s">
        <v>969</v>
      </c>
      <c r="C362" s="116">
        <v>85.262</v>
      </c>
      <c r="D362" s="117">
        <v>85.34</v>
      </c>
      <c r="E362" s="118">
        <f t="shared" si="30"/>
        <v>7276.2590800000007</v>
      </c>
      <c r="F362" s="119">
        <f t="shared" si="33"/>
        <v>0</v>
      </c>
      <c r="G362" s="120" t="s">
        <v>996</v>
      </c>
      <c r="H362" s="120">
        <v>9.9499999999999991E-2</v>
      </c>
      <c r="I362" s="121" t="str">
        <f t="shared" si="31"/>
        <v>n/a</v>
      </c>
      <c r="J362" s="121">
        <f t="shared" si="32"/>
        <v>0</v>
      </c>
      <c r="M362" s="6" t="s">
        <v>996</v>
      </c>
      <c r="N362" s="6">
        <v>9.9499999999999993</v>
      </c>
      <c r="O362" s="6" t="str">
        <f t="shared" si="34"/>
        <v>n/a</v>
      </c>
      <c r="P362" s="6">
        <f t="shared" si="35"/>
        <v>9.9499999999999991E-2</v>
      </c>
    </row>
    <row r="363" spans="1:16" x14ac:dyDescent="0.25">
      <c r="A363" s="6" t="s">
        <v>1001</v>
      </c>
      <c r="B363" s="7" t="s">
        <v>1004</v>
      </c>
      <c r="C363" s="116">
        <v>89.372</v>
      </c>
      <c r="D363" s="117">
        <v>120.76</v>
      </c>
      <c r="E363" s="118">
        <f t="shared" si="30"/>
        <v>10792.56272</v>
      </c>
      <c r="F363" s="119">
        <f t="shared" si="33"/>
        <v>6.2125885573360059E-4</v>
      </c>
      <c r="G363" s="120">
        <v>3.3119999999999998E-3</v>
      </c>
      <c r="H363" s="120">
        <v>9.4869999999999996E-2</v>
      </c>
      <c r="I363" s="121">
        <f t="shared" si="31"/>
        <v>2.0576093301896852E-6</v>
      </c>
      <c r="J363" s="121">
        <f t="shared" si="32"/>
        <v>5.8938827643446687E-5</v>
      </c>
      <c r="M363" s="6">
        <v>0.33119999999999999</v>
      </c>
      <c r="N363" s="6">
        <v>9.4870000000000001</v>
      </c>
      <c r="O363" s="6">
        <f t="shared" si="34"/>
        <v>3.3119999999999998E-3</v>
      </c>
      <c r="P363" s="6">
        <f t="shared" si="35"/>
        <v>9.4869999999999996E-2</v>
      </c>
    </row>
    <row r="364" spans="1:16" x14ac:dyDescent="0.25">
      <c r="A364" s="6" t="s">
        <v>297</v>
      </c>
      <c r="B364" s="7" t="s">
        <v>919</v>
      </c>
      <c r="C364" s="116">
        <v>274.70100000000002</v>
      </c>
      <c r="D364" s="117">
        <v>34.549999999999997</v>
      </c>
      <c r="E364" s="118">
        <f t="shared" si="30"/>
        <v>9490.9195500000005</v>
      </c>
      <c r="F364" s="119">
        <f t="shared" si="33"/>
        <v>0</v>
      </c>
      <c r="G364" s="120" t="s">
        <v>996</v>
      </c>
      <c r="H364" s="120">
        <v>0.16170000000000001</v>
      </c>
      <c r="I364" s="121" t="str">
        <f t="shared" si="31"/>
        <v>n/a</v>
      </c>
      <c r="J364" s="121">
        <f t="shared" si="32"/>
        <v>0</v>
      </c>
      <c r="M364" s="6" t="s">
        <v>996</v>
      </c>
      <c r="N364" s="6">
        <v>16.170000000000002</v>
      </c>
      <c r="O364" s="6" t="str">
        <f t="shared" si="34"/>
        <v>n/a</v>
      </c>
      <c r="P364" s="6">
        <f t="shared" si="35"/>
        <v>0.16170000000000001</v>
      </c>
    </row>
    <row r="365" spans="1:16" x14ac:dyDescent="0.25">
      <c r="A365" s="6" t="s">
        <v>1024</v>
      </c>
      <c r="B365" s="7" t="s">
        <v>1025</v>
      </c>
      <c r="C365" s="116">
        <v>184.49199999999999</v>
      </c>
      <c r="D365" s="117">
        <v>99.74</v>
      </c>
      <c r="E365" s="118">
        <f t="shared" si="30"/>
        <v>18401.232079999998</v>
      </c>
      <c r="F365" s="119">
        <f t="shared" si="33"/>
        <v>1.059241320407098E-3</v>
      </c>
      <c r="G365" s="120">
        <v>1.1228999999999999E-2</v>
      </c>
      <c r="H365" s="120">
        <v>0.14349999999999999</v>
      </c>
      <c r="I365" s="121">
        <f t="shared" si="31"/>
        <v>1.1894220786851304E-5</v>
      </c>
      <c r="J365" s="121">
        <f t="shared" si="32"/>
        <v>1.5200112947841854E-4</v>
      </c>
      <c r="M365" s="6">
        <v>1.1229</v>
      </c>
      <c r="N365" s="6">
        <v>14.35</v>
      </c>
      <c r="O365" s="6">
        <f t="shared" si="34"/>
        <v>1.1228999999999999E-2</v>
      </c>
      <c r="P365" s="6">
        <f t="shared" si="35"/>
        <v>0.14349999999999999</v>
      </c>
    </row>
    <row r="366" spans="1:16" x14ac:dyDescent="0.25">
      <c r="A366" s="6" t="s">
        <v>425</v>
      </c>
      <c r="B366" s="7" t="s">
        <v>98</v>
      </c>
      <c r="C366" s="116">
        <v>380.04199999999997</v>
      </c>
      <c r="D366" s="117">
        <v>34.97</v>
      </c>
      <c r="E366" s="118">
        <f t="shared" si="30"/>
        <v>13290.068739999999</v>
      </c>
      <c r="F366" s="119">
        <f t="shared" si="33"/>
        <v>0</v>
      </c>
      <c r="G366" s="120">
        <v>5.7189999999999993E-3</v>
      </c>
      <c r="H366" s="120" t="s">
        <v>996</v>
      </c>
      <c r="I366" s="121">
        <f t="shared" si="31"/>
        <v>0</v>
      </c>
      <c r="J366" s="121" t="str">
        <f t="shared" si="32"/>
        <v>n/a</v>
      </c>
      <c r="M366" s="6">
        <v>0.57189999999999996</v>
      </c>
      <c r="N366" s="6" t="s">
        <v>996</v>
      </c>
      <c r="O366" s="6">
        <f t="shared" si="34"/>
        <v>5.7189999999999993E-3</v>
      </c>
      <c r="P366" s="6" t="str">
        <f t="shared" si="35"/>
        <v>n/a</v>
      </c>
    </row>
    <row r="367" spans="1:16" x14ac:dyDescent="0.25">
      <c r="A367" s="6" t="s">
        <v>478</v>
      </c>
      <c r="B367" s="7" t="s">
        <v>816</v>
      </c>
      <c r="C367" s="116">
        <v>136.82599999999999</v>
      </c>
      <c r="D367" s="117">
        <v>105.51</v>
      </c>
      <c r="E367" s="118">
        <f t="shared" si="30"/>
        <v>14436.511259999999</v>
      </c>
      <c r="F367" s="119">
        <f t="shared" si="33"/>
        <v>8.3101768308953034E-4</v>
      </c>
      <c r="G367" s="120">
        <v>1.7059999999999999E-2</v>
      </c>
      <c r="H367" s="120">
        <v>8.5120000000000001E-2</v>
      </c>
      <c r="I367" s="121">
        <f t="shared" si="31"/>
        <v>1.4177161673507386E-5</v>
      </c>
      <c r="J367" s="121">
        <f t="shared" si="32"/>
        <v>7.0736225184580829E-5</v>
      </c>
      <c r="M367" s="6">
        <v>1.706</v>
      </c>
      <c r="N367" s="6">
        <v>8.5120000000000005</v>
      </c>
      <c r="O367" s="6">
        <f t="shared" si="34"/>
        <v>1.7059999999999999E-2</v>
      </c>
      <c r="P367" s="6">
        <f t="shared" si="35"/>
        <v>8.5120000000000001E-2</v>
      </c>
    </row>
    <row r="368" spans="1:16" x14ac:dyDescent="0.25">
      <c r="A368" s="6" t="s">
        <v>1083</v>
      </c>
      <c r="B368" s="7" t="s">
        <v>1084</v>
      </c>
      <c r="C368" s="116">
        <v>753.56700000000001</v>
      </c>
      <c r="D368" s="117">
        <v>52.25</v>
      </c>
      <c r="E368" s="118">
        <f t="shared" si="30"/>
        <v>39373.875749999999</v>
      </c>
      <c r="F368" s="119">
        <f t="shared" si="33"/>
        <v>2.2665023710181378E-3</v>
      </c>
      <c r="G368" s="120">
        <v>5.7420000000000006E-3</v>
      </c>
      <c r="H368" s="120">
        <v>9.4600000000000004E-2</v>
      </c>
      <c r="I368" s="121">
        <f t="shared" si="31"/>
        <v>1.3014256614386148E-5</v>
      </c>
      <c r="J368" s="121">
        <f t="shared" si="32"/>
        <v>2.1441112429831585E-4</v>
      </c>
      <c r="M368" s="6">
        <v>0.57420000000000004</v>
      </c>
      <c r="N368" s="6">
        <v>9.4600000000000009</v>
      </c>
      <c r="O368" s="6">
        <f t="shared" si="34"/>
        <v>5.7420000000000006E-3</v>
      </c>
      <c r="P368" s="6">
        <f t="shared" si="35"/>
        <v>9.4600000000000004E-2</v>
      </c>
    </row>
    <row r="369" spans="1:16" x14ac:dyDescent="0.25">
      <c r="A369" s="6" t="s">
        <v>488</v>
      </c>
      <c r="B369" s="7" t="s">
        <v>825</v>
      </c>
      <c r="C369" s="116">
        <v>128.6</v>
      </c>
      <c r="D369" s="117">
        <v>157.35</v>
      </c>
      <c r="E369" s="118">
        <f t="shared" si="30"/>
        <v>20235.21</v>
      </c>
      <c r="F369" s="119">
        <f t="shared" si="33"/>
        <v>1.1648117074949101E-3</v>
      </c>
      <c r="G369" s="120">
        <v>1.932E-2</v>
      </c>
      <c r="H369" s="120">
        <v>0.10987999999999999</v>
      </c>
      <c r="I369" s="121">
        <f t="shared" si="31"/>
        <v>2.2504162188801662E-5</v>
      </c>
      <c r="J369" s="121">
        <f t="shared" si="32"/>
        <v>1.2798951041954071E-4</v>
      </c>
      <c r="M369" s="6">
        <v>1.9319999999999999</v>
      </c>
      <c r="N369" s="6">
        <v>10.988</v>
      </c>
      <c r="O369" s="6">
        <f t="shared" si="34"/>
        <v>1.932E-2</v>
      </c>
      <c r="P369" s="6">
        <f t="shared" si="35"/>
        <v>0.10987999999999999</v>
      </c>
    </row>
    <row r="370" spans="1:16" x14ac:dyDescent="0.25">
      <c r="A370" s="6" t="s">
        <v>1064</v>
      </c>
      <c r="B370" s="7" t="s">
        <v>1065</v>
      </c>
      <c r="C370" s="116">
        <v>1217.136</v>
      </c>
      <c r="D370" s="117">
        <v>90.39</v>
      </c>
      <c r="E370" s="118">
        <f t="shared" si="30"/>
        <v>110016.92303999999</v>
      </c>
      <c r="F370" s="119">
        <f t="shared" si="33"/>
        <v>6.3329710924452231E-3</v>
      </c>
      <c r="G370" s="120">
        <v>2.6551999999999999E-2</v>
      </c>
      <c r="H370" s="120">
        <v>0.1003</v>
      </c>
      <c r="I370" s="121">
        <f t="shared" si="31"/>
        <v>1.6815304844660555E-4</v>
      </c>
      <c r="J370" s="121">
        <f t="shared" si="32"/>
        <v>6.3519700057225589E-4</v>
      </c>
      <c r="M370" s="6">
        <v>2.6551999999999998</v>
      </c>
      <c r="N370" s="6">
        <v>10.029999999999999</v>
      </c>
      <c r="O370" s="6">
        <f t="shared" si="34"/>
        <v>2.6551999999999999E-2</v>
      </c>
      <c r="P370" s="6">
        <f t="shared" si="35"/>
        <v>0.1003</v>
      </c>
    </row>
    <row r="371" spans="1:16" x14ac:dyDescent="0.25">
      <c r="A371" s="6" t="s">
        <v>198</v>
      </c>
      <c r="B371" s="7" t="s">
        <v>584</v>
      </c>
      <c r="C371" s="116">
        <v>425.00900000000001</v>
      </c>
      <c r="D371" s="117">
        <v>125.94</v>
      </c>
      <c r="E371" s="118">
        <f t="shared" si="30"/>
        <v>53525.633459999997</v>
      </c>
      <c r="F371" s="119">
        <f t="shared" si="33"/>
        <v>3.081128612220446E-3</v>
      </c>
      <c r="G371" s="120">
        <v>1.9691999999999998E-2</v>
      </c>
      <c r="H371" s="120">
        <v>0.17984000000000003</v>
      </c>
      <c r="I371" s="121">
        <f t="shared" si="31"/>
        <v>6.0673584631845017E-5</v>
      </c>
      <c r="J371" s="121">
        <f t="shared" si="32"/>
        <v>5.5411016962172511E-4</v>
      </c>
      <c r="M371" s="6">
        <v>1.9691999999999998</v>
      </c>
      <c r="N371" s="6">
        <v>17.984000000000002</v>
      </c>
      <c r="O371" s="6">
        <f t="shared" si="34"/>
        <v>1.9691999999999998E-2</v>
      </c>
      <c r="P371" s="6">
        <f t="shared" si="35"/>
        <v>0.17984000000000003</v>
      </c>
    </row>
    <row r="372" spans="1:16" x14ac:dyDescent="0.25">
      <c r="A372" s="6" t="s">
        <v>483</v>
      </c>
      <c r="B372" s="7" t="s">
        <v>964</v>
      </c>
      <c r="C372" s="116">
        <v>104.379</v>
      </c>
      <c r="D372" s="117">
        <v>388.49</v>
      </c>
      <c r="E372" s="118">
        <f t="shared" si="30"/>
        <v>40550.19771</v>
      </c>
      <c r="F372" s="119">
        <f t="shared" si="33"/>
        <v>0</v>
      </c>
      <c r="G372" s="120" t="s">
        <v>996</v>
      </c>
      <c r="H372" s="120">
        <v>0.19269999999999998</v>
      </c>
      <c r="I372" s="121" t="str">
        <f t="shared" si="31"/>
        <v>n/a</v>
      </c>
      <c r="J372" s="121">
        <f t="shared" si="32"/>
        <v>0</v>
      </c>
      <c r="M372" s="6" t="s">
        <v>996</v>
      </c>
      <c r="N372" s="6">
        <v>19.27</v>
      </c>
      <c r="O372" s="6" t="str">
        <f t="shared" si="34"/>
        <v>n/a</v>
      </c>
      <c r="P372" s="6">
        <f t="shared" si="35"/>
        <v>0.19269999999999998</v>
      </c>
    </row>
    <row r="373" spans="1:16" x14ac:dyDescent="0.25">
      <c r="A373" s="6" t="s">
        <v>193</v>
      </c>
      <c r="B373" s="7" t="s">
        <v>895</v>
      </c>
      <c r="C373" s="116">
        <v>477.97500000000002</v>
      </c>
      <c r="D373" s="117">
        <v>924.99</v>
      </c>
      <c r="E373" s="118">
        <f t="shared" si="30"/>
        <v>442122.09525000001</v>
      </c>
      <c r="F373" s="119">
        <f t="shared" si="33"/>
        <v>0</v>
      </c>
      <c r="G373" s="120" t="s">
        <v>996</v>
      </c>
      <c r="H373" s="120">
        <v>0.35488999999999998</v>
      </c>
      <c r="I373" s="121" t="str">
        <f t="shared" si="31"/>
        <v>n/a</v>
      </c>
      <c r="J373" s="121">
        <f t="shared" si="32"/>
        <v>0</v>
      </c>
      <c r="M373" s="6" t="s">
        <v>996</v>
      </c>
      <c r="N373" s="6">
        <v>35.488999999999997</v>
      </c>
      <c r="O373" s="6" t="str">
        <f t="shared" si="34"/>
        <v>n/a</v>
      </c>
      <c r="P373" s="6">
        <f t="shared" si="35"/>
        <v>0.35488999999999998</v>
      </c>
    </row>
    <row r="374" spans="1:16" x14ac:dyDescent="0.25">
      <c r="A374" s="6" t="s">
        <v>479</v>
      </c>
      <c r="B374" s="7" t="s">
        <v>817</v>
      </c>
      <c r="C374" s="116">
        <v>56.331000000000003</v>
      </c>
      <c r="D374" s="117">
        <v>80.72</v>
      </c>
      <c r="E374" s="118">
        <f t="shared" si="30"/>
        <v>4547.0383200000006</v>
      </c>
      <c r="F374" s="119">
        <f t="shared" si="33"/>
        <v>2.6174393394306204E-4</v>
      </c>
      <c r="G374" s="120">
        <v>2.4777E-2</v>
      </c>
      <c r="H374" s="120">
        <v>1.4579999999999999E-2</v>
      </c>
      <c r="I374" s="121">
        <f t="shared" si="31"/>
        <v>6.485229451307248E-6</v>
      </c>
      <c r="J374" s="121">
        <f t="shared" si="32"/>
        <v>3.8162265568898447E-6</v>
      </c>
      <c r="M374" s="6">
        <v>2.4777</v>
      </c>
      <c r="N374" s="6">
        <v>1.458</v>
      </c>
      <c r="O374" s="6">
        <f t="shared" si="34"/>
        <v>2.4777E-2</v>
      </c>
      <c r="P374" s="6">
        <f t="shared" si="35"/>
        <v>1.4579999999999999E-2</v>
      </c>
    </row>
    <row r="375" spans="1:16" x14ac:dyDescent="0.25">
      <c r="A375" s="6" t="s">
        <v>233</v>
      </c>
      <c r="B375" s="7" t="s">
        <v>612</v>
      </c>
      <c r="C375" s="116">
        <v>153.84899999999999</v>
      </c>
      <c r="D375" s="117">
        <v>126.6</v>
      </c>
      <c r="E375" s="118">
        <f t="shared" si="30"/>
        <v>19477.283399999997</v>
      </c>
      <c r="F375" s="119">
        <f t="shared" si="33"/>
        <v>1.1211827173780882E-3</v>
      </c>
      <c r="G375" s="120">
        <v>2.3696999999999999E-2</v>
      </c>
      <c r="H375" s="120">
        <v>5.3620000000000001E-2</v>
      </c>
      <c r="I375" s="121">
        <f t="shared" si="31"/>
        <v>2.6568666853708555E-5</v>
      </c>
      <c r="J375" s="121">
        <f t="shared" si="32"/>
        <v>6.0117817305813089E-5</v>
      </c>
      <c r="M375" s="6">
        <v>2.3696999999999999</v>
      </c>
      <c r="N375" s="6">
        <v>5.3620000000000001</v>
      </c>
      <c r="O375" s="6">
        <f t="shared" si="34"/>
        <v>2.3696999999999999E-2</v>
      </c>
      <c r="P375" s="6">
        <f t="shared" si="35"/>
        <v>5.3620000000000001E-2</v>
      </c>
    </row>
    <row r="376" spans="1:16" x14ac:dyDescent="0.25">
      <c r="A376" s="6" t="s">
        <v>203</v>
      </c>
      <c r="B376" s="7" t="s">
        <v>588</v>
      </c>
      <c r="C376" s="116">
        <v>305.38900000000001</v>
      </c>
      <c r="D376" s="117">
        <v>72.31</v>
      </c>
      <c r="E376" s="118">
        <f t="shared" si="30"/>
        <v>22082.678590000003</v>
      </c>
      <c r="F376" s="119">
        <f t="shared" si="33"/>
        <v>1.2711586662297648E-3</v>
      </c>
      <c r="G376" s="120">
        <v>8.8509999999999995E-3</v>
      </c>
      <c r="H376" s="120">
        <v>0.10025000000000001</v>
      </c>
      <c r="I376" s="121">
        <f t="shared" si="31"/>
        <v>1.1251025354799648E-5</v>
      </c>
      <c r="J376" s="121">
        <f t="shared" si="32"/>
        <v>1.2743365628953393E-4</v>
      </c>
      <c r="M376" s="6">
        <v>0.8851</v>
      </c>
      <c r="N376" s="6">
        <v>10.025</v>
      </c>
      <c r="O376" s="6">
        <f t="shared" si="34"/>
        <v>8.8509999999999995E-3</v>
      </c>
      <c r="P376" s="6">
        <f t="shared" si="35"/>
        <v>0.10025000000000001</v>
      </c>
    </row>
    <row r="377" spans="1:16" x14ac:dyDescent="0.25">
      <c r="A377" s="6" t="s">
        <v>1170</v>
      </c>
      <c r="B377" s="7" t="s">
        <v>1171</v>
      </c>
      <c r="C377" s="116">
        <v>440.64400000000001</v>
      </c>
      <c r="D377" s="117">
        <v>27.33</v>
      </c>
      <c r="E377" s="118">
        <f t="shared" si="30"/>
        <v>12042.800519999999</v>
      </c>
      <c r="F377" s="119">
        <f t="shared" si="33"/>
        <v>6.9322705505511382E-4</v>
      </c>
      <c r="G377" s="120">
        <v>8.7819999999999999E-3</v>
      </c>
      <c r="H377" s="120">
        <v>0.13100000000000001</v>
      </c>
      <c r="I377" s="121">
        <f t="shared" si="31"/>
        <v>6.0879199974940093E-6</v>
      </c>
      <c r="J377" s="121">
        <f t="shared" si="32"/>
        <v>9.081274421221991E-5</v>
      </c>
      <c r="M377" s="6">
        <v>0.87819999999999998</v>
      </c>
      <c r="N377" s="6">
        <v>13.1</v>
      </c>
      <c r="O377" s="6">
        <f t="shared" si="34"/>
        <v>8.7819999999999999E-3</v>
      </c>
      <c r="P377" s="6">
        <f t="shared" si="35"/>
        <v>0.13100000000000001</v>
      </c>
    </row>
    <row r="378" spans="1:16" x14ac:dyDescent="0.25">
      <c r="A378" s="6" t="s">
        <v>461</v>
      </c>
      <c r="B378" s="7" t="s">
        <v>801</v>
      </c>
      <c r="C378" s="116">
        <v>170.17699999999999</v>
      </c>
      <c r="D378" s="117">
        <v>172.99</v>
      </c>
      <c r="E378" s="118">
        <f t="shared" si="30"/>
        <v>29438.91923</v>
      </c>
      <c r="F378" s="119">
        <f t="shared" si="33"/>
        <v>1.6946104228768093E-3</v>
      </c>
      <c r="G378" s="120">
        <v>4.6199999999999995E-4</v>
      </c>
      <c r="H378" s="120">
        <v>0.2</v>
      </c>
      <c r="I378" s="121">
        <f t="shared" si="31"/>
        <v>7.8291001536908589E-7</v>
      </c>
      <c r="J378" s="121">
        <f t="shared" si="32"/>
        <v>3.3892208457536187E-4</v>
      </c>
      <c r="M378" s="6">
        <v>4.6199999999999998E-2</v>
      </c>
      <c r="N378" s="6">
        <v>20</v>
      </c>
      <c r="O378" s="6">
        <f t="shared" si="34"/>
        <v>4.6199999999999995E-4</v>
      </c>
      <c r="P378" s="6">
        <f t="shared" si="35"/>
        <v>0.2</v>
      </c>
    </row>
    <row r="379" spans="1:16" x14ac:dyDescent="0.25">
      <c r="A379" s="6" t="s">
        <v>536</v>
      </c>
      <c r="B379" s="7" t="s">
        <v>866</v>
      </c>
      <c r="C379" s="116">
        <v>448.73099999999999</v>
      </c>
      <c r="D379" s="117">
        <v>64.61</v>
      </c>
      <c r="E379" s="118">
        <f t="shared" si="30"/>
        <v>28992.509910000001</v>
      </c>
      <c r="F379" s="119">
        <f t="shared" si="33"/>
        <v>1.668913491524437E-3</v>
      </c>
      <c r="G379" s="120">
        <v>4.3337000000000001E-2</v>
      </c>
      <c r="H379" s="120">
        <v>0.13144999999999998</v>
      </c>
      <c r="I379" s="121">
        <f t="shared" si="31"/>
        <v>7.2325703982194529E-5</v>
      </c>
      <c r="J379" s="121">
        <f t="shared" si="32"/>
        <v>2.1937867846088722E-4</v>
      </c>
      <c r="M379" s="6">
        <v>4.3337000000000003</v>
      </c>
      <c r="N379" s="6">
        <v>13.145</v>
      </c>
      <c r="O379" s="6">
        <f t="shared" si="34"/>
        <v>4.3337000000000001E-2</v>
      </c>
      <c r="P379" s="6">
        <f t="shared" si="35"/>
        <v>0.13144999999999998</v>
      </c>
    </row>
    <row r="380" spans="1:16" x14ac:dyDescent="0.25">
      <c r="A380" s="6" t="s">
        <v>1354</v>
      </c>
      <c r="B380" s="7" t="s">
        <v>1355</v>
      </c>
      <c r="C380" s="116">
        <v>150.49799999999999</v>
      </c>
      <c r="D380" s="117">
        <v>73.7</v>
      </c>
      <c r="E380" s="118">
        <f t="shared" si="30"/>
        <v>11091.702600000001</v>
      </c>
      <c r="F380" s="119">
        <f t="shared" si="33"/>
        <v>0</v>
      </c>
      <c r="G380" s="120" t="s">
        <v>996</v>
      </c>
      <c r="H380" s="120">
        <v>9.3550000000000008E-2</v>
      </c>
      <c r="I380" s="121" t="str">
        <f t="shared" si="31"/>
        <v>n/a</v>
      </c>
      <c r="J380" s="121">
        <f t="shared" si="32"/>
        <v>0</v>
      </c>
      <c r="M380" s="6" t="s">
        <v>996</v>
      </c>
      <c r="N380" s="6">
        <v>9.3550000000000004</v>
      </c>
      <c r="O380" s="6" t="str">
        <f t="shared" si="34"/>
        <v>n/a</v>
      </c>
      <c r="P380" s="6">
        <f t="shared" si="35"/>
        <v>9.3550000000000008E-2</v>
      </c>
    </row>
    <row r="381" spans="1:16" x14ac:dyDescent="0.25">
      <c r="A381" s="6" t="s">
        <v>1172</v>
      </c>
      <c r="B381" s="7" t="s">
        <v>741</v>
      </c>
      <c r="C381" s="116">
        <v>77.876999999999995</v>
      </c>
      <c r="D381" s="117">
        <v>171.77</v>
      </c>
      <c r="E381" s="118">
        <f t="shared" si="30"/>
        <v>13376.932290000001</v>
      </c>
      <c r="F381" s="119">
        <f t="shared" si="33"/>
        <v>7.7002449402594278E-4</v>
      </c>
      <c r="G381" s="120">
        <v>1.7465000000000001E-2</v>
      </c>
      <c r="H381" s="120">
        <v>9.7650000000000001E-2</v>
      </c>
      <c r="I381" s="121">
        <f t="shared" si="31"/>
        <v>1.3448477788163092E-5</v>
      </c>
      <c r="J381" s="121">
        <f t="shared" si="32"/>
        <v>7.5192891841633307E-5</v>
      </c>
      <c r="M381" s="6">
        <v>1.7465000000000002</v>
      </c>
      <c r="N381" s="6">
        <v>9.7650000000000006</v>
      </c>
      <c r="O381" s="6">
        <f t="shared" si="34"/>
        <v>1.7465000000000001E-2</v>
      </c>
      <c r="P381" s="6">
        <f t="shared" si="35"/>
        <v>9.7650000000000001E-2</v>
      </c>
    </row>
    <row r="382" spans="1:16" x14ac:dyDescent="0.25">
      <c r="A382" s="6" t="s">
        <v>553</v>
      </c>
      <c r="B382" s="7" t="s">
        <v>879</v>
      </c>
      <c r="C382" s="116">
        <v>476.23399999999998</v>
      </c>
      <c r="D382" s="117">
        <v>19.86</v>
      </c>
      <c r="E382" s="118">
        <f t="shared" si="30"/>
        <v>9458.007239999999</v>
      </c>
      <c r="F382" s="119">
        <f t="shared" si="33"/>
        <v>5.4443702648619024E-4</v>
      </c>
      <c r="G382" s="120">
        <v>3.5247000000000001E-2</v>
      </c>
      <c r="H382" s="120">
        <v>5.7020000000000001E-2</v>
      </c>
      <c r="I382" s="121">
        <f t="shared" si="31"/>
        <v>1.9189771872558747E-5</v>
      </c>
      <c r="J382" s="121">
        <f t="shared" si="32"/>
        <v>3.1043799250242569E-5</v>
      </c>
      <c r="M382" s="6">
        <v>3.5247000000000002</v>
      </c>
      <c r="N382" s="6">
        <v>5.702</v>
      </c>
      <c r="O382" s="6">
        <f t="shared" si="34"/>
        <v>3.5247000000000001E-2</v>
      </c>
      <c r="P382" s="6">
        <f t="shared" si="35"/>
        <v>5.7020000000000001E-2</v>
      </c>
    </row>
    <row r="383" spans="1:16" x14ac:dyDescent="0.25">
      <c r="A383" s="6" t="s">
        <v>252</v>
      </c>
      <c r="B383" s="7" t="s">
        <v>907</v>
      </c>
      <c r="C383" s="116">
        <v>141.78100000000001</v>
      </c>
      <c r="D383" s="117">
        <v>72.7</v>
      </c>
      <c r="E383" s="118">
        <f t="shared" si="30"/>
        <v>10307.478700000001</v>
      </c>
      <c r="F383" s="119">
        <f t="shared" si="33"/>
        <v>5.9333566908939506E-4</v>
      </c>
      <c r="G383" s="120">
        <v>2.4759000000000003E-2</v>
      </c>
      <c r="H383" s="120">
        <v>9.2749999999999999E-2</v>
      </c>
      <c r="I383" s="121">
        <f t="shared" si="31"/>
        <v>1.4690397830984334E-5</v>
      </c>
      <c r="J383" s="121">
        <f t="shared" si="32"/>
        <v>5.5031883308041391E-5</v>
      </c>
      <c r="M383" s="6">
        <v>2.4759000000000002</v>
      </c>
      <c r="N383" s="6">
        <v>9.2750000000000004</v>
      </c>
      <c r="O383" s="6">
        <f t="shared" si="34"/>
        <v>2.4759000000000003E-2</v>
      </c>
      <c r="P383" s="6">
        <f t="shared" si="35"/>
        <v>9.2749999999999999E-2</v>
      </c>
    </row>
    <row r="384" spans="1:16" x14ac:dyDescent="0.25">
      <c r="A384" s="6" t="s">
        <v>180</v>
      </c>
      <c r="B384" s="7" t="s">
        <v>572</v>
      </c>
      <c r="C384" s="116">
        <v>620.08299999999997</v>
      </c>
      <c r="D384" s="117">
        <v>121.3</v>
      </c>
      <c r="E384" s="118">
        <f t="shared" si="30"/>
        <v>75216.067899999995</v>
      </c>
      <c r="F384" s="119">
        <f t="shared" si="33"/>
        <v>4.3297082897411042E-3</v>
      </c>
      <c r="G384" s="120">
        <v>1.9951E-2</v>
      </c>
      <c r="H384" s="120">
        <v>0.10067</v>
      </c>
      <c r="I384" s="121">
        <f t="shared" si="31"/>
        <v>8.6382010088624774E-5</v>
      </c>
      <c r="J384" s="121">
        <f t="shared" si="32"/>
        <v>4.3587173352823696E-4</v>
      </c>
      <c r="M384" s="6">
        <v>1.9950999999999999</v>
      </c>
      <c r="N384" s="6">
        <v>10.067</v>
      </c>
      <c r="O384" s="6">
        <f t="shared" si="34"/>
        <v>1.9951E-2</v>
      </c>
      <c r="P384" s="6">
        <f t="shared" si="35"/>
        <v>0.10067</v>
      </c>
    </row>
    <row r="385" spans="1:16" x14ac:dyDescent="0.25">
      <c r="A385" s="6" t="s">
        <v>1173</v>
      </c>
      <c r="B385" s="7" t="s">
        <v>1174</v>
      </c>
      <c r="C385" s="116">
        <v>52.844999999999999</v>
      </c>
      <c r="D385" s="117">
        <v>246.73</v>
      </c>
      <c r="E385" s="118">
        <f t="shared" si="30"/>
        <v>13038.446849999998</v>
      </c>
      <c r="F385" s="119">
        <f t="shared" si="33"/>
        <v>0</v>
      </c>
      <c r="G385" s="120" t="s">
        <v>996</v>
      </c>
      <c r="H385" s="120">
        <v>9.3850000000000003E-2</v>
      </c>
      <c r="I385" s="121" t="str">
        <f t="shared" si="31"/>
        <v>n/a</v>
      </c>
      <c r="J385" s="121">
        <f t="shared" si="32"/>
        <v>0</v>
      </c>
      <c r="M385" s="6" t="s">
        <v>996</v>
      </c>
      <c r="N385" s="6">
        <v>9.3849999999999998</v>
      </c>
      <c r="O385" s="6" t="str">
        <f t="shared" si="34"/>
        <v>n/a</v>
      </c>
      <c r="P385" s="6">
        <f t="shared" si="35"/>
        <v>9.3850000000000003E-2</v>
      </c>
    </row>
    <row r="386" spans="1:16" x14ac:dyDescent="0.25">
      <c r="A386" s="6" t="s">
        <v>566</v>
      </c>
      <c r="B386" s="7" t="s">
        <v>890</v>
      </c>
      <c r="C386" s="116">
        <v>352.27</v>
      </c>
      <c r="D386" s="117">
        <v>65.75</v>
      </c>
      <c r="E386" s="118">
        <f t="shared" si="30"/>
        <v>23161.752499999999</v>
      </c>
      <c r="F386" s="119">
        <f t="shared" si="33"/>
        <v>1.333274054388341E-3</v>
      </c>
      <c r="G386" s="120">
        <v>1.8251E-2</v>
      </c>
      <c r="H386" s="120">
        <v>0.13266999999999998</v>
      </c>
      <c r="I386" s="121">
        <f t="shared" si="31"/>
        <v>2.4333584766641612E-5</v>
      </c>
      <c r="J386" s="121">
        <f t="shared" si="32"/>
        <v>1.7688546879570118E-4</v>
      </c>
      <c r="M386" s="6">
        <v>1.8250999999999999</v>
      </c>
      <c r="N386" s="6">
        <v>13.266999999999999</v>
      </c>
      <c r="O386" s="6">
        <f t="shared" si="34"/>
        <v>1.8251E-2</v>
      </c>
      <c r="P386" s="6">
        <f t="shared" si="35"/>
        <v>0.13266999999999998</v>
      </c>
    </row>
    <row r="387" spans="1:16" x14ac:dyDescent="0.25">
      <c r="A387" s="6" t="s">
        <v>470</v>
      </c>
      <c r="B387" s="7" t="s">
        <v>809</v>
      </c>
      <c r="C387" s="116">
        <v>529.55999999999995</v>
      </c>
      <c r="D387" s="117">
        <v>54.41</v>
      </c>
      <c r="E387" s="118">
        <f t="shared" si="30"/>
        <v>28813.359599999996</v>
      </c>
      <c r="F387" s="119">
        <f t="shared" si="33"/>
        <v>1.6586009532068536E-3</v>
      </c>
      <c r="G387" s="120">
        <v>3.2347000000000001E-2</v>
      </c>
      <c r="H387" s="120">
        <v>5.0930000000000003E-2</v>
      </c>
      <c r="I387" s="121">
        <f t="shared" si="31"/>
        <v>5.3650765033382093E-5</v>
      </c>
      <c r="J387" s="121">
        <f t="shared" si="32"/>
        <v>8.4472546546825064E-5</v>
      </c>
      <c r="M387" s="6">
        <v>3.2347000000000001</v>
      </c>
      <c r="N387" s="6">
        <v>5.093</v>
      </c>
      <c r="O387" s="6">
        <f t="shared" si="34"/>
        <v>3.2347000000000001E-2</v>
      </c>
      <c r="P387" s="6">
        <f t="shared" si="35"/>
        <v>5.0930000000000003E-2</v>
      </c>
    </row>
    <row r="388" spans="1:16" x14ac:dyDescent="0.25">
      <c r="A388" s="6" t="s">
        <v>326</v>
      </c>
      <c r="B388" s="7" t="s">
        <v>685</v>
      </c>
      <c r="C388" s="116">
        <v>443.74</v>
      </c>
      <c r="D388" s="117">
        <v>29.94</v>
      </c>
      <c r="E388" s="118">
        <f t="shared" si="30"/>
        <v>13285.5756</v>
      </c>
      <c r="F388" s="119">
        <f t="shared" si="33"/>
        <v>0</v>
      </c>
      <c r="G388" s="120">
        <v>4.8096E-2</v>
      </c>
      <c r="H388" s="120">
        <v>-3.0000000000000001E-3</v>
      </c>
      <c r="I388" s="121">
        <f t="shared" si="31"/>
        <v>0</v>
      </c>
      <c r="J388" s="121">
        <f t="shared" si="32"/>
        <v>0</v>
      </c>
      <c r="M388" s="6">
        <v>4.8095999999999997</v>
      </c>
      <c r="N388" s="6">
        <v>-0.3</v>
      </c>
      <c r="O388" s="6">
        <f t="shared" si="34"/>
        <v>4.8096E-2</v>
      </c>
      <c r="P388" s="6">
        <f t="shared" si="35"/>
        <v>-3.0000000000000001E-3</v>
      </c>
    </row>
    <row r="389" spans="1:16" x14ac:dyDescent="0.25">
      <c r="A389" s="6" t="s">
        <v>539</v>
      </c>
      <c r="B389" s="7" t="s">
        <v>976</v>
      </c>
      <c r="C389" s="116">
        <v>101.476</v>
      </c>
      <c r="D389" s="117">
        <v>88.92</v>
      </c>
      <c r="E389" s="118">
        <f t="shared" si="30"/>
        <v>9023.2459199999994</v>
      </c>
      <c r="F389" s="119">
        <f t="shared" si="33"/>
        <v>0</v>
      </c>
      <c r="G389" s="120" t="s">
        <v>996</v>
      </c>
      <c r="H389" s="120">
        <v>9.3000000000000013E-2</v>
      </c>
      <c r="I389" s="121" t="str">
        <f t="shared" si="31"/>
        <v>n/a</v>
      </c>
      <c r="J389" s="121">
        <f t="shared" si="32"/>
        <v>0</v>
      </c>
      <c r="M389" s="6" t="s">
        <v>996</v>
      </c>
      <c r="N389" s="6">
        <v>9.3000000000000007</v>
      </c>
      <c r="O389" s="6" t="str">
        <f t="shared" si="34"/>
        <v>n/a</v>
      </c>
      <c r="P389" s="6">
        <f t="shared" si="35"/>
        <v>9.3000000000000013E-2</v>
      </c>
    </row>
    <row r="390" spans="1:16" x14ac:dyDescent="0.25">
      <c r="A390" s="6" t="s">
        <v>477</v>
      </c>
      <c r="B390" s="7" t="s">
        <v>815</v>
      </c>
      <c r="C390" s="116">
        <v>148.56299999999999</v>
      </c>
      <c r="D390" s="117">
        <v>35.44</v>
      </c>
      <c r="E390" s="118">
        <f t="shared" si="30"/>
        <v>5265.0727199999992</v>
      </c>
      <c r="F390" s="119">
        <f t="shared" si="33"/>
        <v>0</v>
      </c>
      <c r="G390" s="120" t="s">
        <v>996</v>
      </c>
      <c r="H390" s="120">
        <v>0.16800000000000001</v>
      </c>
      <c r="I390" s="121" t="str">
        <f t="shared" si="31"/>
        <v>n/a</v>
      </c>
      <c r="J390" s="121">
        <f t="shared" si="32"/>
        <v>0</v>
      </c>
      <c r="M390" s="6" t="s">
        <v>996</v>
      </c>
      <c r="N390" s="6">
        <v>16.8</v>
      </c>
      <c r="O390" s="6" t="str">
        <f t="shared" si="34"/>
        <v>n/a</v>
      </c>
      <c r="P390" s="6">
        <f t="shared" si="35"/>
        <v>0.16800000000000001</v>
      </c>
    </row>
    <row r="391" spans="1:16" x14ac:dyDescent="0.25">
      <c r="A391" s="6" t="s">
        <v>1026</v>
      </c>
      <c r="B391" s="7" t="s">
        <v>1027</v>
      </c>
      <c r="C391" s="116">
        <v>79.724000000000004</v>
      </c>
      <c r="D391" s="117">
        <v>173.8</v>
      </c>
      <c r="E391" s="118">
        <f t="shared" si="30"/>
        <v>13856.031200000001</v>
      </c>
      <c r="F391" s="119">
        <f t="shared" si="33"/>
        <v>0</v>
      </c>
      <c r="G391" s="120" t="s">
        <v>996</v>
      </c>
      <c r="H391" s="120">
        <v>0.10091</v>
      </c>
      <c r="I391" s="121" t="str">
        <f t="shared" si="31"/>
        <v>n/a</v>
      </c>
      <c r="J391" s="121">
        <f t="shared" si="32"/>
        <v>0</v>
      </c>
      <c r="M391" s="6" t="s">
        <v>996</v>
      </c>
      <c r="N391" s="6">
        <v>10.090999999999999</v>
      </c>
      <c r="O391" s="6" t="str">
        <f t="shared" si="34"/>
        <v>n/a</v>
      </c>
      <c r="P391" s="6">
        <f t="shared" si="35"/>
        <v>0.10091</v>
      </c>
    </row>
    <row r="392" spans="1:16" x14ac:dyDescent="0.25">
      <c r="A392" s="6" t="s">
        <v>194</v>
      </c>
      <c r="B392" s="7" t="s">
        <v>580</v>
      </c>
      <c r="C392" s="116">
        <v>242.63499999999999</v>
      </c>
      <c r="D392" s="117">
        <v>54.69</v>
      </c>
      <c r="E392" s="118">
        <f t="shared" si="30"/>
        <v>13269.708149999999</v>
      </c>
      <c r="F392" s="119">
        <f t="shared" si="33"/>
        <v>7.6385228560319483E-4</v>
      </c>
      <c r="G392" s="120">
        <v>3.2181000000000001E-2</v>
      </c>
      <c r="H392" s="120">
        <v>0.06</v>
      </c>
      <c r="I392" s="121">
        <f t="shared" si="31"/>
        <v>2.4581530402996413E-5</v>
      </c>
      <c r="J392" s="121">
        <f t="shared" si="32"/>
        <v>4.5831137136191687E-5</v>
      </c>
      <c r="M392" s="6">
        <v>3.2181000000000002</v>
      </c>
      <c r="N392" s="6">
        <v>6</v>
      </c>
      <c r="O392" s="6">
        <f t="shared" si="34"/>
        <v>3.2181000000000001E-2</v>
      </c>
      <c r="P392" s="6">
        <f t="shared" si="35"/>
        <v>0.06</v>
      </c>
    </row>
    <row r="393" spans="1:16" x14ac:dyDescent="0.25">
      <c r="A393" s="6" t="s">
        <v>494</v>
      </c>
      <c r="B393" s="7" t="s">
        <v>832</v>
      </c>
      <c r="C393" s="116">
        <v>95.858000000000004</v>
      </c>
      <c r="D393" s="117">
        <v>74.72</v>
      </c>
      <c r="E393" s="118">
        <f t="shared" si="30"/>
        <v>7162.5097599999999</v>
      </c>
      <c r="F393" s="119">
        <f t="shared" si="33"/>
        <v>4.1229990810545377E-4</v>
      </c>
      <c r="G393" s="120">
        <v>1.6059999999999998E-2</v>
      </c>
      <c r="H393" s="120">
        <v>7.5600000000000001E-2</v>
      </c>
      <c r="I393" s="121">
        <f t="shared" si="31"/>
        <v>6.6215365241735867E-6</v>
      </c>
      <c r="J393" s="121">
        <f t="shared" si="32"/>
        <v>3.1169873052772308E-5</v>
      </c>
      <c r="M393" s="6">
        <v>1.6059999999999999</v>
      </c>
      <c r="N393" s="6">
        <v>7.5600000000000005</v>
      </c>
      <c r="O393" s="6">
        <f t="shared" si="34"/>
        <v>1.6059999999999998E-2</v>
      </c>
      <c r="P393" s="6">
        <f t="shared" si="35"/>
        <v>7.5600000000000001E-2</v>
      </c>
    </row>
    <row r="394" spans="1:16" x14ac:dyDescent="0.25">
      <c r="A394" s="6" t="s">
        <v>442</v>
      </c>
      <c r="B394" s="7" t="s">
        <v>956</v>
      </c>
      <c r="C394" s="116">
        <v>594.53700000000003</v>
      </c>
      <c r="D394" s="117">
        <v>104.3</v>
      </c>
      <c r="E394" s="118">
        <f t="shared" si="30"/>
        <v>62010.2091</v>
      </c>
      <c r="F394" s="119">
        <f t="shared" si="33"/>
        <v>3.5695314031278852E-3</v>
      </c>
      <c r="G394" s="120">
        <v>5.3690000000000005E-3</v>
      </c>
      <c r="H394" s="120">
        <v>9.4E-2</v>
      </c>
      <c r="I394" s="121">
        <f t="shared" si="31"/>
        <v>1.9164814103393617E-5</v>
      </c>
      <c r="J394" s="121">
        <f t="shared" si="32"/>
        <v>3.3553595189402121E-4</v>
      </c>
      <c r="M394" s="6">
        <v>0.53690000000000004</v>
      </c>
      <c r="N394" s="6">
        <v>9.4</v>
      </c>
      <c r="O394" s="6">
        <f t="shared" si="34"/>
        <v>5.3690000000000005E-3</v>
      </c>
      <c r="P394" s="6">
        <f t="shared" si="35"/>
        <v>9.4E-2</v>
      </c>
    </row>
    <row r="395" spans="1:16" x14ac:dyDescent="0.25">
      <c r="A395" s="6" t="s">
        <v>496</v>
      </c>
      <c r="B395" s="7" t="s">
        <v>833</v>
      </c>
      <c r="C395" s="116">
        <v>195.32499999999999</v>
      </c>
      <c r="D395" s="117">
        <v>44.02</v>
      </c>
      <c r="E395" s="118">
        <f t="shared" si="30"/>
        <v>8598.2065000000002</v>
      </c>
      <c r="F395" s="119">
        <f t="shared" si="33"/>
        <v>4.949437932523969E-4</v>
      </c>
      <c r="G395" s="120">
        <v>1.4539E-2</v>
      </c>
      <c r="H395" s="120">
        <v>3.4669999999999999E-2</v>
      </c>
      <c r="I395" s="121">
        <f t="shared" si="31"/>
        <v>7.195987810096598E-6</v>
      </c>
      <c r="J395" s="121">
        <f t="shared" si="32"/>
        <v>1.7159701312060599E-5</v>
      </c>
      <c r="M395" s="6">
        <v>1.4539</v>
      </c>
      <c r="N395" s="6">
        <v>3.4670000000000001</v>
      </c>
      <c r="O395" s="6">
        <f t="shared" si="34"/>
        <v>1.4539E-2</v>
      </c>
      <c r="P395" s="6">
        <f t="shared" si="35"/>
        <v>3.4669999999999999E-2</v>
      </c>
    </row>
    <row r="396" spans="1:16" x14ac:dyDescent="0.25">
      <c r="A396" s="6" t="s">
        <v>267</v>
      </c>
      <c r="B396" s="7" t="s">
        <v>913</v>
      </c>
      <c r="C396" s="116">
        <v>588.995</v>
      </c>
      <c r="D396" s="117">
        <v>60.23</v>
      </c>
      <c r="E396" s="118">
        <f t="shared" si="30"/>
        <v>35475.168850000002</v>
      </c>
      <c r="F396" s="119">
        <f t="shared" si="33"/>
        <v>2.0420787331507182E-3</v>
      </c>
      <c r="G396" s="120">
        <v>9.9620000000000004E-3</v>
      </c>
      <c r="H396" s="120">
        <v>0.13775000000000001</v>
      </c>
      <c r="I396" s="121">
        <f t="shared" si="31"/>
        <v>2.0343188339647455E-5</v>
      </c>
      <c r="J396" s="121">
        <f t="shared" si="32"/>
        <v>2.8129634549151148E-4</v>
      </c>
      <c r="M396" s="6">
        <v>0.99619999999999997</v>
      </c>
      <c r="N396" s="6">
        <v>13.775</v>
      </c>
      <c r="O396" s="6">
        <f t="shared" si="34"/>
        <v>9.9620000000000004E-3</v>
      </c>
      <c r="P396" s="6">
        <f t="shared" si="35"/>
        <v>0.13775000000000001</v>
      </c>
    </row>
    <row r="397" spans="1:16" x14ac:dyDescent="0.25">
      <c r="A397" s="6" t="s">
        <v>369</v>
      </c>
      <c r="B397" s="7" t="s">
        <v>940</v>
      </c>
      <c r="C397" s="116">
        <v>36.841000000000001</v>
      </c>
      <c r="D397" s="117">
        <v>835.87</v>
      </c>
      <c r="E397" s="118">
        <f t="shared" si="30"/>
        <v>30794.286670000001</v>
      </c>
      <c r="F397" s="119">
        <f t="shared" si="33"/>
        <v>0</v>
      </c>
      <c r="G397" s="120" t="s">
        <v>996</v>
      </c>
      <c r="H397" s="120">
        <v>9.7279999999999991E-2</v>
      </c>
      <c r="I397" s="121" t="str">
        <f t="shared" si="31"/>
        <v>n/a</v>
      </c>
      <c r="J397" s="121">
        <f t="shared" si="32"/>
        <v>0</v>
      </c>
      <c r="M397" s="6" t="s">
        <v>996</v>
      </c>
      <c r="N397" s="6">
        <v>9.7279999999999998</v>
      </c>
      <c r="O397" s="6" t="str">
        <f t="shared" si="34"/>
        <v>n/a</v>
      </c>
      <c r="P397" s="6">
        <f t="shared" si="35"/>
        <v>9.7279999999999991E-2</v>
      </c>
    </row>
    <row r="398" spans="1:16" x14ac:dyDescent="0.25">
      <c r="A398" s="6" t="s">
        <v>987</v>
      </c>
      <c r="B398" s="7" t="s">
        <v>988</v>
      </c>
      <c r="C398" s="116">
        <v>56.584000000000003</v>
      </c>
      <c r="D398" s="117">
        <v>165.59</v>
      </c>
      <c r="E398" s="118">
        <f t="shared" ref="E398:E461" si="36">C398*D398</f>
        <v>9369.744560000001</v>
      </c>
      <c r="F398" s="119">
        <f t="shared" si="33"/>
        <v>5.3935630812453864E-4</v>
      </c>
      <c r="G398" s="120">
        <v>4.8309999999999994E-3</v>
      </c>
      <c r="H398" s="120">
        <v>0.14307</v>
      </c>
      <c r="I398" s="121">
        <f t="shared" ref="I398:I461" si="37">IF(G398="n/a","n/a",$F398*G398)</f>
        <v>2.605630324549646E-6</v>
      </c>
      <c r="J398" s="121">
        <f t="shared" ref="J398:J461" si="38">IF(H398="n/a","n/a",$F398*H398)</f>
        <v>7.7165707003377742E-5</v>
      </c>
      <c r="M398" s="6">
        <v>0.48309999999999997</v>
      </c>
      <c r="N398" s="6">
        <v>14.307</v>
      </c>
      <c r="O398" s="6">
        <f t="shared" si="34"/>
        <v>4.8309999999999994E-3</v>
      </c>
      <c r="P398" s="6">
        <f t="shared" si="35"/>
        <v>0.14307</v>
      </c>
    </row>
    <row r="399" spans="1:16" x14ac:dyDescent="0.25">
      <c r="A399" s="6" t="s">
        <v>183</v>
      </c>
      <c r="B399" s="7" t="s">
        <v>574</v>
      </c>
      <c r="C399" s="116">
        <v>331.72399999999999</v>
      </c>
      <c r="D399" s="117">
        <v>135.07</v>
      </c>
      <c r="E399" s="118">
        <f t="shared" si="36"/>
        <v>44805.960679999997</v>
      </c>
      <c r="F399" s="119">
        <f t="shared" ref="F399:F462" si="39">IF(OR(G399="n/a",H399="n/a",H399&lt;0%),0%,E399/SUMIFS(E$14:E$518,G$14:G$518,"&lt;&gt;n/a",$H$14:$H$518,"&lt;&gt;n/a",$H$14:$H$518,"&gt;=0"))</f>
        <v>2.5791927815733365E-3</v>
      </c>
      <c r="G399" s="120">
        <v>1.4807000000000001E-2</v>
      </c>
      <c r="H399" s="120">
        <v>0.11718000000000001</v>
      </c>
      <c r="I399" s="121">
        <f t="shared" si="37"/>
        <v>3.8190107516756395E-5</v>
      </c>
      <c r="J399" s="121">
        <f t="shared" si="38"/>
        <v>3.0222981014476361E-4</v>
      </c>
      <c r="M399" s="6">
        <v>1.4807000000000001</v>
      </c>
      <c r="N399" s="6">
        <v>11.718</v>
      </c>
      <c r="O399" s="6">
        <f t="shared" ref="O399:O462" si="40">IFERROR(M399/100, "n/a")</f>
        <v>1.4807000000000001E-2</v>
      </c>
      <c r="P399" s="6">
        <f t="shared" ref="P399:P462" si="41">IFERROR(N399/100, "n/a")</f>
        <v>0.11718000000000001</v>
      </c>
    </row>
    <row r="400" spans="1:16" x14ac:dyDescent="0.25">
      <c r="A400" s="6" t="s">
        <v>485</v>
      </c>
      <c r="B400" s="7" t="s">
        <v>822</v>
      </c>
      <c r="C400" s="116">
        <v>338.08199999999999</v>
      </c>
      <c r="D400" s="117">
        <v>62.99</v>
      </c>
      <c r="E400" s="118">
        <f t="shared" si="36"/>
        <v>21295.785179999999</v>
      </c>
      <c r="F400" s="119">
        <f t="shared" si="39"/>
        <v>1.2258622420009775E-3</v>
      </c>
      <c r="G400" s="120">
        <v>2.0320999999999999E-2</v>
      </c>
      <c r="H400" s="120">
        <v>9.4800000000000009E-2</v>
      </c>
      <c r="I400" s="121">
        <f t="shared" si="37"/>
        <v>2.4910746619701862E-5</v>
      </c>
      <c r="J400" s="121">
        <f t="shared" si="38"/>
        <v>1.1621174054169268E-4</v>
      </c>
      <c r="M400" s="6">
        <v>2.0320999999999998</v>
      </c>
      <c r="N400" s="6">
        <v>9.48</v>
      </c>
      <c r="O400" s="6">
        <f t="shared" si="40"/>
        <v>2.0320999999999999E-2</v>
      </c>
      <c r="P400" s="6">
        <f t="shared" si="41"/>
        <v>9.4800000000000009E-2</v>
      </c>
    </row>
    <row r="401" spans="1:16" x14ac:dyDescent="0.25">
      <c r="A401" s="6" t="s">
        <v>300</v>
      </c>
      <c r="B401" s="7" t="s">
        <v>920</v>
      </c>
      <c r="C401" s="116">
        <v>1082.338</v>
      </c>
      <c r="D401" s="117">
        <v>33.409999999999997</v>
      </c>
      <c r="E401" s="118">
        <f t="shared" si="36"/>
        <v>36160.912579999997</v>
      </c>
      <c r="F401" s="119">
        <f t="shared" si="39"/>
        <v>0</v>
      </c>
      <c r="G401" s="120" t="s">
        <v>996</v>
      </c>
      <c r="H401" s="120">
        <v>9.5229999999999995E-2</v>
      </c>
      <c r="I401" s="121" t="str">
        <f t="shared" si="37"/>
        <v>n/a</v>
      </c>
      <c r="J401" s="121">
        <f t="shared" si="38"/>
        <v>0</v>
      </c>
      <c r="M401" s="6" t="s">
        <v>996</v>
      </c>
      <c r="N401" s="6">
        <v>9.5229999999999997</v>
      </c>
      <c r="O401" s="6" t="str">
        <f t="shared" si="40"/>
        <v>n/a</v>
      </c>
      <c r="P401" s="6">
        <f t="shared" si="41"/>
        <v>9.5229999999999995E-2</v>
      </c>
    </row>
    <row r="402" spans="1:16" x14ac:dyDescent="0.25">
      <c r="A402" s="6" t="s">
        <v>342</v>
      </c>
      <c r="B402" s="7" t="s">
        <v>700</v>
      </c>
      <c r="C402" s="116">
        <v>397.79</v>
      </c>
      <c r="D402" s="117">
        <v>223.8</v>
      </c>
      <c r="E402" s="118">
        <f t="shared" si="36"/>
        <v>89025.402000000002</v>
      </c>
      <c r="F402" s="119">
        <f t="shared" si="39"/>
        <v>5.1246233922969311E-3</v>
      </c>
      <c r="G402" s="120">
        <v>1.3405E-2</v>
      </c>
      <c r="H402" s="120">
        <v>7.1599999999999997E-2</v>
      </c>
      <c r="I402" s="121">
        <f t="shared" si="37"/>
        <v>6.8695576573740363E-5</v>
      </c>
      <c r="J402" s="121">
        <f t="shared" si="38"/>
        <v>3.6692303488846024E-4</v>
      </c>
      <c r="M402" s="6">
        <v>1.3405</v>
      </c>
      <c r="N402" s="6">
        <v>7.16</v>
      </c>
      <c r="O402" s="6">
        <f t="shared" si="40"/>
        <v>1.3405E-2</v>
      </c>
      <c r="P402" s="6">
        <f t="shared" si="41"/>
        <v>7.1599999999999997E-2</v>
      </c>
    </row>
    <row r="403" spans="1:16" x14ac:dyDescent="0.25">
      <c r="A403" s="6" t="s">
        <v>62</v>
      </c>
      <c r="B403" s="7" t="s">
        <v>834</v>
      </c>
      <c r="C403" s="116">
        <v>250.60499999999999</v>
      </c>
      <c r="D403" s="117">
        <v>113.02</v>
      </c>
      <c r="E403" s="118">
        <f t="shared" si="36"/>
        <v>28323.377099999998</v>
      </c>
      <c r="F403" s="119">
        <f t="shared" si="39"/>
        <v>1.6303957923774072E-3</v>
      </c>
      <c r="G403" s="120">
        <v>2.911E-2</v>
      </c>
      <c r="H403" s="120">
        <v>7.3169999999999999E-2</v>
      </c>
      <c r="I403" s="121">
        <f t="shared" si="37"/>
        <v>4.7460821516106325E-5</v>
      </c>
      <c r="J403" s="121">
        <f t="shared" si="38"/>
        <v>1.1929606012825488E-4</v>
      </c>
      <c r="M403" s="6">
        <v>2.911</v>
      </c>
      <c r="N403" s="6">
        <v>7.3170000000000002</v>
      </c>
      <c r="O403" s="6">
        <f t="shared" si="40"/>
        <v>2.911E-2</v>
      </c>
      <c r="P403" s="6">
        <f t="shared" si="41"/>
        <v>7.3169999999999999E-2</v>
      </c>
    </row>
    <row r="404" spans="1:16" x14ac:dyDescent="0.25">
      <c r="A404" s="6" t="s">
        <v>420</v>
      </c>
      <c r="B404" s="7" t="s">
        <v>770</v>
      </c>
      <c r="C404" s="116">
        <v>191.02</v>
      </c>
      <c r="D404" s="117">
        <v>118.32</v>
      </c>
      <c r="E404" s="118">
        <f t="shared" si="36"/>
        <v>22601.486400000002</v>
      </c>
      <c r="F404" s="119">
        <f t="shared" si="39"/>
        <v>1.3010231159205658E-3</v>
      </c>
      <c r="G404" s="120">
        <v>1.2846999999999999E-2</v>
      </c>
      <c r="H404" s="120">
        <v>0.08</v>
      </c>
      <c r="I404" s="121">
        <f t="shared" si="37"/>
        <v>1.6714243970231509E-5</v>
      </c>
      <c r="J404" s="121">
        <f t="shared" si="38"/>
        <v>1.0408184927364526E-4</v>
      </c>
      <c r="M404" s="6">
        <v>1.2847</v>
      </c>
      <c r="N404" s="6">
        <v>8</v>
      </c>
      <c r="O404" s="6">
        <f t="shared" si="40"/>
        <v>1.2846999999999999E-2</v>
      </c>
      <c r="P404" s="6">
        <f t="shared" si="41"/>
        <v>0.08</v>
      </c>
    </row>
    <row r="405" spans="1:16" x14ac:dyDescent="0.25">
      <c r="A405" s="6" t="s">
        <v>466</v>
      </c>
      <c r="B405" s="7" t="s">
        <v>962</v>
      </c>
      <c r="C405" s="116">
        <v>49.152999999999999</v>
      </c>
      <c r="D405" s="117">
        <v>1846.82</v>
      </c>
      <c r="E405" s="118">
        <f t="shared" si="36"/>
        <v>90776.743459999998</v>
      </c>
      <c r="F405" s="119">
        <f t="shared" si="39"/>
        <v>0</v>
      </c>
      <c r="G405" s="120" t="s">
        <v>996</v>
      </c>
      <c r="H405" s="120">
        <v>0.16832999999999998</v>
      </c>
      <c r="I405" s="121" t="str">
        <f t="shared" si="37"/>
        <v>n/a</v>
      </c>
      <c r="J405" s="121">
        <f t="shared" si="38"/>
        <v>0</v>
      </c>
      <c r="M405" s="6" t="s">
        <v>996</v>
      </c>
      <c r="N405" s="6">
        <v>16.832999999999998</v>
      </c>
      <c r="O405" s="6" t="str">
        <f t="shared" si="40"/>
        <v>n/a</v>
      </c>
      <c r="P405" s="6">
        <f t="shared" si="41"/>
        <v>0.16832999999999998</v>
      </c>
    </row>
    <row r="406" spans="1:16" x14ac:dyDescent="0.25">
      <c r="A406" s="6" t="s">
        <v>320</v>
      </c>
      <c r="B406" s="7" t="s">
        <v>925</v>
      </c>
      <c r="C406" s="116">
        <v>64.787999999999997</v>
      </c>
      <c r="D406" s="117">
        <v>129.13</v>
      </c>
      <c r="E406" s="118">
        <f t="shared" si="36"/>
        <v>8366.0744399999985</v>
      </c>
      <c r="F406" s="119">
        <f t="shared" si="39"/>
        <v>0</v>
      </c>
      <c r="G406" s="120" t="s">
        <v>996</v>
      </c>
      <c r="H406" s="120">
        <v>0.12208000000000001</v>
      </c>
      <c r="I406" s="121" t="str">
        <f t="shared" si="37"/>
        <v>n/a</v>
      </c>
      <c r="J406" s="121">
        <f t="shared" si="38"/>
        <v>0</v>
      </c>
      <c r="M406" s="6" t="s">
        <v>996</v>
      </c>
      <c r="N406" s="6">
        <v>12.208</v>
      </c>
      <c r="O406" s="6" t="str">
        <f t="shared" si="40"/>
        <v>n/a</v>
      </c>
      <c r="P406" s="6">
        <f t="shared" si="41"/>
        <v>0.12208000000000001</v>
      </c>
    </row>
    <row r="407" spans="1:16" x14ac:dyDescent="0.25">
      <c r="A407" s="6" t="s">
        <v>187</v>
      </c>
      <c r="B407" s="7" t="s">
        <v>893</v>
      </c>
      <c r="C407" s="116">
        <v>172.91800000000001</v>
      </c>
      <c r="D407" s="117">
        <v>60.94</v>
      </c>
      <c r="E407" s="118">
        <f t="shared" si="36"/>
        <v>10537.62292</v>
      </c>
      <c r="F407" s="119">
        <f t="shared" si="39"/>
        <v>0</v>
      </c>
      <c r="G407" s="120" t="s">
        <v>996</v>
      </c>
      <c r="H407" s="120">
        <v>0.14180000000000001</v>
      </c>
      <c r="I407" s="121" t="str">
        <f t="shared" si="37"/>
        <v>n/a</v>
      </c>
      <c r="J407" s="121">
        <f t="shared" si="38"/>
        <v>0</v>
      </c>
      <c r="M407" s="6" t="s">
        <v>996</v>
      </c>
      <c r="N407" s="6">
        <v>14.18</v>
      </c>
      <c r="O407" s="6" t="str">
        <f t="shared" si="40"/>
        <v>n/a</v>
      </c>
      <c r="P407" s="6">
        <f t="shared" si="41"/>
        <v>0.14180000000000001</v>
      </c>
    </row>
    <row r="408" spans="1:16" x14ac:dyDescent="0.25">
      <c r="A408" s="6" t="s">
        <v>486</v>
      </c>
      <c r="B408" s="7" t="s">
        <v>823</v>
      </c>
      <c r="C408" s="116">
        <v>1425.934</v>
      </c>
      <c r="D408" s="117">
        <v>64.5</v>
      </c>
      <c r="E408" s="118">
        <f t="shared" si="36"/>
        <v>91972.743000000002</v>
      </c>
      <c r="F408" s="119">
        <f t="shared" si="39"/>
        <v>5.294282975902921E-3</v>
      </c>
      <c r="G408" s="120">
        <v>3.1627999999999996E-2</v>
      </c>
      <c r="H408" s="120">
        <v>8.0930000000000002E-2</v>
      </c>
      <c r="I408" s="121">
        <f t="shared" si="37"/>
        <v>1.6744758196185757E-4</v>
      </c>
      <c r="J408" s="121">
        <f t="shared" si="38"/>
        <v>4.2846632123982338E-4</v>
      </c>
      <c r="M408" s="6">
        <v>3.1627999999999998</v>
      </c>
      <c r="N408" s="6">
        <v>8.093</v>
      </c>
      <c r="O408" s="6">
        <f t="shared" si="40"/>
        <v>3.1627999999999996E-2</v>
      </c>
      <c r="P408" s="6">
        <f t="shared" si="41"/>
        <v>8.0930000000000002E-2</v>
      </c>
    </row>
    <row r="409" spans="1:16" x14ac:dyDescent="0.25">
      <c r="A409" s="6" t="s">
        <v>285</v>
      </c>
      <c r="B409" s="7" t="s">
        <v>657</v>
      </c>
      <c r="C409" s="116">
        <v>525.66399999999999</v>
      </c>
      <c r="D409" s="117">
        <v>39.49</v>
      </c>
      <c r="E409" s="118">
        <f t="shared" si="36"/>
        <v>20758.47136</v>
      </c>
      <c r="F409" s="119">
        <f t="shared" si="39"/>
        <v>1.1949325195945971E-3</v>
      </c>
      <c r="G409" s="120">
        <v>6.0769999999999999E-3</v>
      </c>
      <c r="H409" s="120">
        <v>0.18525</v>
      </c>
      <c r="I409" s="121">
        <f t="shared" si="37"/>
        <v>7.2616049215763666E-6</v>
      </c>
      <c r="J409" s="121">
        <f t="shared" si="38"/>
        <v>2.2136124925489911E-4</v>
      </c>
      <c r="M409" s="6">
        <v>0.60770000000000002</v>
      </c>
      <c r="N409" s="6">
        <v>18.524999999999999</v>
      </c>
      <c r="O409" s="6">
        <f t="shared" si="40"/>
        <v>6.0769999999999999E-3</v>
      </c>
      <c r="P409" s="6">
        <f t="shared" si="41"/>
        <v>0.18525</v>
      </c>
    </row>
    <row r="410" spans="1:16" x14ac:dyDescent="0.25">
      <c r="A410" s="6" t="s">
        <v>1092</v>
      </c>
      <c r="B410" s="7" t="s">
        <v>934</v>
      </c>
      <c r="C410" s="116">
        <v>297.61500000000001</v>
      </c>
      <c r="D410" s="117">
        <v>924.52</v>
      </c>
      <c r="E410" s="118">
        <f t="shared" si="36"/>
        <v>275151.01980000001</v>
      </c>
      <c r="F410" s="119">
        <f t="shared" si="39"/>
        <v>0</v>
      </c>
      <c r="G410" s="120" t="s">
        <v>996</v>
      </c>
      <c r="H410" s="120">
        <v>0.16258</v>
      </c>
      <c r="I410" s="121" t="str">
        <f t="shared" si="37"/>
        <v>n/a</v>
      </c>
      <c r="J410" s="121">
        <f t="shared" si="38"/>
        <v>0</v>
      </c>
      <c r="M410" s="6" t="s">
        <v>996</v>
      </c>
      <c r="N410" s="6">
        <v>16.257999999999999</v>
      </c>
      <c r="O410" s="6" t="str">
        <f t="shared" si="40"/>
        <v>n/a</v>
      </c>
      <c r="P410" s="6">
        <f t="shared" si="41"/>
        <v>0.16258</v>
      </c>
    </row>
    <row r="411" spans="1:16" x14ac:dyDescent="0.25">
      <c r="A411" s="6" t="s">
        <v>482</v>
      </c>
      <c r="B411" s="7" t="s">
        <v>820</v>
      </c>
      <c r="C411" s="116">
        <v>177.77699999999999</v>
      </c>
      <c r="D411" s="117">
        <v>88.08</v>
      </c>
      <c r="E411" s="118">
        <f t="shared" si="36"/>
        <v>15658.598159999998</v>
      </c>
      <c r="F411" s="119">
        <f t="shared" si="39"/>
        <v>0</v>
      </c>
      <c r="G411" s="120" t="s">
        <v>996</v>
      </c>
      <c r="H411" s="120">
        <v>0.14899999999999999</v>
      </c>
      <c r="I411" s="121" t="str">
        <f t="shared" si="37"/>
        <v>n/a</v>
      </c>
      <c r="J411" s="121">
        <f t="shared" si="38"/>
        <v>0</v>
      </c>
      <c r="M411" s="6" t="s">
        <v>996</v>
      </c>
      <c r="N411" s="6">
        <v>14.9</v>
      </c>
      <c r="O411" s="6" t="str">
        <f t="shared" si="40"/>
        <v>n/a</v>
      </c>
      <c r="P411" s="6">
        <f t="shared" si="41"/>
        <v>0.14899999999999999</v>
      </c>
    </row>
    <row r="412" spans="1:16" x14ac:dyDescent="0.25">
      <c r="A412" s="6" t="s">
        <v>189</v>
      </c>
      <c r="B412" s="7" t="s">
        <v>577</v>
      </c>
      <c r="C412" s="116">
        <v>95.287000000000006</v>
      </c>
      <c r="D412" s="117">
        <v>78.64</v>
      </c>
      <c r="E412" s="118">
        <f t="shared" si="36"/>
        <v>7493.3696800000007</v>
      </c>
      <c r="F412" s="119">
        <f t="shared" si="39"/>
        <v>4.3134539902730878E-4</v>
      </c>
      <c r="G412" s="120">
        <v>8.1379999999999994E-3</v>
      </c>
      <c r="H412" s="120">
        <v>0.13019999999999998</v>
      </c>
      <c r="I412" s="121">
        <f t="shared" si="37"/>
        <v>3.5102888572842386E-6</v>
      </c>
      <c r="J412" s="121">
        <f t="shared" si="38"/>
        <v>5.6161170953355597E-5</v>
      </c>
      <c r="M412" s="6">
        <v>0.81379999999999997</v>
      </c>
      <c r="N412" s="6">
        <v>13.02</v>
      </c>
      <c r="O412" s="6">
        <f t="shared" si="40"/>
        <v>8.1379999999999994E-3</v>
      </c>
      <c r="P412" s="6">
        <f t="shared" si="41"/>
        <v>0.13019999999999998</v>
      </c>
    </row>
    <row r="413" spans="1:16" x14ac:dyDescent="0.25">
      <c r="A413" s="6" t="s">
        <v>428</v>
      </c>
      <c r="B413" s="7" t="s">
        <v>953</v>
      </c>
      <c r="C413" s="116">
        <v>431.00400000000002</v>
      </c>
      <c r="D413" s="117">
        <v>152.19999999999999</v>
      </c>
      <c r="E413" s="118">
        <f t="shared" si="36"/>
        <v>65598.808799999999</v>
      </c>
      <c r="F413" s="119">
        <f t="shared" si="39"/>
        <v>0</v>
      </c>
      <c r="G413" s="120" t="s">
        <v>996</v>
      </c>
      <c r="H413" s="120">
        <v>0.36349999999999999</v>
      </c>
      <c r="I413" s="121" t="str">
        <f t="shared" si="37"/>
        <v>n/a</v>
      </c>
      <c r="J413" s="121">
        <f t="shared" si="38"/>
        <v>0</v>
      </c>
      <c r="M413" s="6" t="s">
        <v>996</v>
      </c>
      <c r="N413" s="6">
        <v>36.35</v>
      </c>
      <c r="O413" s="6" t="str">
        <f t="shared" si="40"/>
        <v>n/a</v>
      </c>
      <c r="P413" s="6">
        <f t="shared" si="41"/>
        <v>0.36349999999999999</v>
      </c>
    </row>
    <row r="414" spans="1:16" x14ac:dyDescent="0.25">
      <c r="A414" s="6" t="s">
        <v>185</v>
      </c>
      <c r="B414" s="7" t="s">
        <v>28</v>
      </c>
      <c r="C414" s="116">
        <v>322.30099999999999</v>
      </c>
      <c r="D414" s="117">
        <v>55.05</v>
      </c>
      <c r="E414" s="118">
        <f t="shared" si="36"/>
        <v>17742.670049999997</v>
      </c>
      <c r="F414" s="119">
        <f t="shared" si="39"/>
        <v>1.0213321135021233E-3</v>
      </c>
      <c r="G414" s="120">
        <v>9.5909999999999988E-3</v>
      </c>
      <c r="H414" s="120">
        <v>8.8749999999999996E-2</v>
      </c>
      <c r="I414" s="121">
        <f t="shared" si="37"/>
        <v>9.7955963005988629E-6</v>
      </c>
      <c r="J414" s="121">
        <f t="shared" si="38"/>
        <v>9.0643225073313441E-5</v>
      </c>
      <c r="M414" s="6">
        <v>0.95909999999999995</v>
      </c>
      <c r="N414" s="6">
        <v>8.875</v>
      </c>
      <c r="O414" s="6">
        <f t="shared" si="40"/>
        <v>9.5909999999999988E-3</v>
      </c>
      <c r="P414" s="6">
        <f t="shared" si="41"/>
        <v>8.8749999999999996E-2</v>
      </c>
    </row>
    <row r="415" spans="1:16" x14ac:dyDescent="0.25">
      <c r="A415" s="6" t="s">
        <v>1028</v>
      </c>
      <c r="B415" s="7" t="s">
        <v>1029</v>
      </c>
      <c r="C415" s="116">
        <v>264.98599999999999</v>
      </c>
      <c r="D415" s="117">
        <v>177.89</v>
      </c>
      <c r="E415" s="118">
        <f t="shared" si="36"/>
        <v>47138.359539999998</v>
      </c>
      <c r="F415" s="119">
        <f t="shared" si="39"/>
        <v>2.7134540765475813E-3</v>
      </c>
      <c r="G415" s="120">
        <v>1.4616000000000001E-2</v>
      </c>
      <c r="H415" s="120">
        <v>8.2899999999999988E-2</v>
      </c>
      <c r="I415" s="121">
        <f t="shared" si="37"/>
        <v>3.965984478281945E-5</v>
      </c>
      <c r="J415" s="121">
        <f t="shared" si="38"/>
        <v>2.2494534294579445E-4</v>
      </c>
      <c r="M415" s="6">
        <v>1.4616</v>
      </c>
      <c r="N415" s="6">
        <v>8.2899999999999991</v>
      </c>
      <c r="O415" s="6">
        <f t="shared" si="40"/>
        <v>1.4616000000000001E-2</v>
      </c>
      <c r="P415" s="6">
        <f t="shared" si="41"/>
        <v>8.2899999999999988E-2</v>
      </c>
    </row>
    <row r="416" spans="1:16" x14ac:dyDescent="0.25">
      <c r="A416" s="6" t="s">
        <v>1175</v>
      </c>
      <c r="B416" s="7" t="s">
        <v>912</v>
      </c>
      <c r="C416" s="116">
        <v>339.79199999999997</v>
      </c>
      <c r="D416" s="117">
        <v>116.19</v>
      </c>
      <c r="E416" s="118">
        <f t="shared" si="36"/>
        <v>39480.432479999996</v>
      </c>
      <c r="F416" s="119">
        <f t="shared" si="39"/>
        <v>2.2726361609128991E-3</v>
      </c>
      <c r="G416" s="120">
        <v>2.2721000000000002E-2</v>
      </c>
      <c r="H416" s="120">
        <v>9.8369999999999999E-2</v>
      </c>
      <c r="I416" s="121">
        <f t="shared" si="37"/>
        <v>5.1636566212101983E-5</v>
      </c>
      <c r="J416" s="121">
        <f t="shared" si="38"/>
        <v>2.2355921914900189E-4</v>
      </c>
      <c r="M416" s="6">
        <v>2.2721</v>
      </c>
      <c r="N416" s="6">
        <v>9.8369999999999997</v>
      </c>
      <c r="O416" s="6">
        <f t="shared" si="40"/>
        <v>2.2721000000000002E-2</v>
      </c>
      <c r="P416" s="6">
        <f t="shared" si="41"/>
        <v>9.8369999999999999E-2</v>
      </c>
    </row>
    <row r="417" spans="1:16" x14ac:dyDescent="0.25">
      <c r="A417" s="6" t="s">
        <v>376</v>
      </c>
      <c r="B417" s="7" t="s">
        <v>731</v>
      </c>
      <c r="C417" s="116">
        <v>382.46699999999998</v>
      </c>
      <c r="D417" s="117">
        <v>30.07</v>
      </c>
      <c r="E417" s="118">
        <f t="shared" si="36"/>
        <v>11500.78269</v>
      </c>
      <c r="F417" s="119">
        <f t="shared" si="39"/>
        <v>6.620265528584485E-4</v>
      </c>
      <c r="G417" s="120">
        <v>1.3302000000000001E-2</v>
      </c>
      <c r="H417" s="120">
        <v>9.3179999999999999E-2</v>
      </c>
      <c r="I417" s="121">
        <f t="shared" si="37"/>
        <v>8.8062772061230836E-6</v>
      </c>
      <c r="J417" s="121">
        <f t="shared" si="38"/>
        <v>6.1687634195350228E-5</v>
      </c>
      <c r="M417" s="6">
        <v>1.3302</v>
      </c>
      <c r="N417" s="6">
        <v>9.3179999999999996</v>
      </c>
      <c r="O417" s="6">
        <f t="shared" si="40"/>
        <v>1.3302000000000001E-2</v>
      </c>
      <c r="P417" s="6">
        <f t="shared" si="41"/>
        <v>9.3179999999999999E-2</v>
      </c>
    </row>
    <row r="418" spans="1:16" x14ac:dyDescent="0.25">
      <c r="A418" s="6" t="s">
        <v>230</v>
      </c>
      <c r="B418" s="7" t="s">
        <v>609</v>
      </c>
      <c r="C418" s="116">
        <v>161.79900000000001</v>
      </c>
      <c r="D418" s="117">
        <v>384.57</v>
      </c>
      <c r="E418" s="118">
        <f t="shared" si="36"/>
        <v>62223.041430000005</v>
      </c>
      <c r="F418" s="119">
        <f t="shared" si="39"/>
        <v>3.5817828000601348E-3</v>
      </c>
      <c r="G418" s="120">
        <v>2.6002999999999998E-2</v>
      </c>
      <c r="H418" s="120">
        <v>0.13872999999999999</v>
      </c>
      <c r="I418" s="121">
        <f t="shared" si="37"/>
        <v>9.3137098149963674E-5</v>
      </c>
      <c r="J418" s="121">
        <f t="shared" si="38"/>
        <v>4.9690072785234251E-4</v>
      </c>
      <c r="M418" s="6">
        <v>2.6002999999999998</v>
      </c>
      <c r="N418" s="6">
        <v>13.872999999999999</v>
      </c>
      <c r="O418" s="6">
        <f t="shared" si="40"/>
        <v>2.6002999999999998E-2</v>
      </c>
      <c r="P418" s="6">
        <f t="shared" si="41"/>
        <v>0.13872999999999999</v>
      </c>
    </row>
    <row r="419" spans="1:16" x14ac:dyDescent="0.25">
      <c r="A419" s="6" t="s">
        <v>295</v>
      </c>
      <c r="B419" s="7" t="s">
        <v>664</v>
      </c>
      <c r="C419" s="116">
        <v>179.38800000000001</v>
      </c>
      <c r="D419" s="117">
        <v>104.59</v>
      </c>
      <c r="E419" s="118">
        <f t="shared" si="36"/>
        <v>18762.190920000001</v>
      </c>
      <c r="F419" s="119">
        <f t="shared" si="39"/>
        <v>1.0800194137778011E-3</v>
      </c>
      <c r="G419" s="120">
        <v>3.1551999999999997E-2</v>
      </c>
      <c r="H419" s="120">
        <v>5.5E-2</v>
      </c>
      <c r="I419" s="121">
        <f t="shared" si="37"/>
        <v>3.4076772543517178E-5</v>
      </c>
      <c r="J419" s="121">
        <f t="shared" si="38"/>
        <v>5.9401067757779059E-5</v>
      </c>
      <c r="M419" s="6">
        <v>3.1551999999999998</v>
      </c>
      <c r="N419" s="6">
        <v>5.5</v>
      </c>
      <c r="O419" s="6">
        <f t="shared" si="40"/>
        <v>3.1551999999999997E-2</v>
      </c>
      <c r="P419" s="6">
        <f t="shared" si="41"/>
        <v>5.5E-2</v>
      </c>
    </row>
    <row r="420" spans="1:16" x14ac:dyDescent="0.25">
      <c r="A420" s="6" t="s">
        <v>1093</v>
      </c>
      <c r="B420" s="7" t="s">
        <v>950</v>
      </c>
      <c r="C420" s="116">
        <v>166.14400000000001</v>
      </c>
      <c r="D420" s="117">
        <v>68.87</v>
      </c>
      <c r="E420" s="118">
        <f t="shared" si="36"/>
        <v>11442.337280000002</v>
      </c>
      <c r="F420" s="119">
        <f t="shared" si="39"/>
        <v>6.5866222415529498E-4</v>
      </c>
      <c r="G420" s="120">
        <v>2.2071E-2</v>
      </c>
      <c r="H420" s="120">
        <v>8.3469999999999989E-2</v>
      </c>
      <c r="I420" s="121">
        <f t="shared" si="37"/>
        <v>1.4537333949331516E-5</v>
      </c>
      <c r="J420" s="121">
        <f t="shared" si="38"/>
        <v>5.4978535850242461E-5</v>
      </c>
      <c r="M420" s="6">
        <v>2.2071000000000001</v>
      </c>
      <c r="N420" s="6">
        <v>8.3469999999999995</v>
      </c>
      <c r="O420" s="6">
        <f t="shared" si="40"/>
        <v>2.2071E-2</v>
      </c>
      <c r="P420" s="6">
        <f t="shared" si="41"/>
        <v>8.3469999999999989E-2</v>
      </c>
    </row>
    <row r="421" spans="1:16" x14ac:dyDescent="0.25">
      <c r="A421" s="6" t="s">
        <v>458</v>
      </c>
      <c r="B421" s="7" t="s">
        <v>798</v>
      </c>
      <c r="C421" s="116">
        <v>1553.143</v>
      </c>
      <c r="D421" s="117">
        <v>110.84</v>
      </c>
      <c r="E421" s="118">
        <f t="shared" si="36"/>
        <v>172150.37012000001</v>
      </c>
      <c r="F421" s="119">
        <f t="shared" si="39"/>
        <v>9.9095965184131003E-3</v>
      </c>
      <c r="G421" s="120">
        <v>3.7532000000000003E-2</v>
      </c>
      <c r="H421" s="120">
        <v>9.468E-2</v>
      </c>
      <c r="I421" s="121">
        <f t="shared" si="37"/>
        <v>3.7192697652908049E-4</v>
      </c>
      <c r="J421" s="121">
        <f t="shared" si="38"/>
        <v>9.3824059836335237E-4</v>
      </c>
      <c r="M421" s="6">
        <v>3.7532000000000001</v>
      </c>
      <c r="N421" s="6">
        <v>9.468</v>
      </c>
      <c r="O421" s="6">
        <f t="shared" si="40"/>
        <v>3.7532000000000003E-2</v>
      </c>
      <c r="P421" s="6">
        <f t="shared" si="41"/>
        <v>9.468E-2</v>
      </c>
    </row>
    <row r="422" spans="1:16" x14ac:dyDescent="0.25">
      <c r="A422" s="6" t="s">
        <v>1176</v>
      </c>
      <c r="B422" s="7" t="s">
        <v>829</v>
      </c>
      <c r="C422" s="116">
        <v>711.33799999999997</v>
      </c>
      <c r="D422" s="117">
        <v>86.12</v>
      </c>
      <c r="E422" s="118">
        <f t="shared" si="36"/>
        <v>61260.42856</v>
      </c>
      <c r="F422" s="119">
        <f t="shared" si="39"/>
        <v>0</v>
      </c>
      <c r="G422" s="120" t="s">
        <v>996</v>
      </c>
      <c r="H422" s="120">
        <v>0.25524999999999998</v>
      </c>
      <c r="I422" s="121" t="str">
        <f t="shared" si="37"/>
        <v>n/a</v>
      </c>
      <c r="J422" s="121">
        <f t="shared" si="38"/>
        <v>0</v>
      </c>
      <c r="M422" s="6" t="s">
        <v>996</v>
      </c>
      <c r="N422" s="6">
        <v>25.524999999999999</v>
      </c>
      <c r="O422" s="6" t="str">
        <f t="shared" si="40"/>
        <v>n/a</v>
      </c>
      <c r="P422" s="6">
        <f t="shared" si="41"/>
        <v>0.25524999999999998</v>
      </c>
    </row>
    <row r="423" spans="1:16" x14ac:dyDescent="0.25">
      <c r="A423" s="6" t="s">
        <v>410</v>
      </c>
      <c r="B423" s="7" t="s">
        <v>765</v>
      </c>
      <c r="C423" s="116">
        <v>1080.4480000000001</v>
      </c>
      <c r="D423" s="117">
        <v>51.81</v>
      </c>
      <c r="E423" s="118">
        <f t="shared" si="36"/>
        <v>55978.010880000009</v>
      </c>
      <c r="F423" s="119">
        <f t="shared" si="39"/>
        <v>3.2222963060576817E-3</v>
      </c>
      <c r="G423" s="120">
        <v>3.0882E-2</v>
      </c>
      <c r="H423" s="120">
        <v>7.0400000000000004E-2</v>
      </c>
      <c r="I423" s="121">
        <f t="shared" si="37"/>
        <v>9.9510954523673333E-5</v>
      </c>
      <c r="J423" s="121">
        <f t="shared" si="38"/>
        <v>2.2684965994646081E-4</v>
      </c>
      <c r="M423" s="6">
        <v>3.0882000000000001</v>
      </c>
      <c r="N423" s="6">
        <v>7.04</v>
      </c>
      <c r="O423" s="6">
        <f t="shared" si="40"/>
        <v>3.0882E-2</v>
      </c>
      <c r="P423" s="6">
        <f t="shared" si="41"/>
        <v>7.0400000000000004E-2</v>
      </c>
    </row>
    <row r="424" spans="1:16" x14ac:dyDescent="0.25">
      <c r="A424" s="6" t="s">
        <v>530</v>
      </c>
      <c r="B424" s="7" t="s">
        <v>859</v>
      </c>
      <c r="C424" s="116">
        <v>220.24299999999999</v>
      </c>
      <c r="D424" s="117">
        <v>19.41</v>
      </c>
      <c r="E424" s="118">
        <f t="shared" si="36"/>
        <v>4274.9166299999997</v>
      </c>
      <c r="F424" s="119">
        <f t="shared" si="39"/>
        <v>0</v>
      </c>
      <c r="G424" s="120" t="s">
        <v>996</v>
      </c>
      <c r="H424" s="120">
        <v>0.11277</v>
      </c>
      <c r="I424" s="121" t="str">
        <f t="shared" si="37"/>
        <v>n/a</v>
      </c>
      <c r="J424" s="121">
        <f t="shared" si="38"/>
        <v>0</v>
      </c>
      <c r="M424" s="6" t="s">
        <v>996</v>
      </c>
      <c r="N424" s="6">
        <v>11.276999999999999</v>
      </c>
      <c r="O424" s="6" t="str">
        <f t="shared" si="40"/>
        <v>n/a</v>
      </c>
      <c r="P424" s="6">
        <f t="shared" si="41"/>
        <v>0.11277</v>
      </c>
    </row>
    <row r="425" spans="1:16" x14ac:dyDescent="0.25">
      <c r="A425" s="6" t="s">
        <v>418</v>
      </c>
      <c r="B425" s="7" t="s">
        <v>769</v>
      </c>
      <c r="C425" s="116">
        <v>438.80799999999999</v>
      </c>
      <c r="D425" s="117">
        <v>116.61</v>
      </c>
      <c r="E425" s="118">
        <f t="shared" si="36"/>
        <v>51169.400880000001</v>
      </c>
      <c r="F425" s="119">
        <f t="shared" si="39"/>
        <v>2.9454953623176809E-3</v>
      </c>
      <c r="G425" s="120">
        <v>1.8523000000000001E-2</v>
      </c>
      <c r="H425" s="120">
        <v>0.10099999999999999</v>
      </c>
      <c r="I425" s="121">
        <f t="shared" si="37"/>
        <v>5.4559410596210404E-5</v>
      </c>
      <c r="J425" s="121">
        <f t="shared" si="38"/>
        <v>2.9749503159408574E-4</v>
      </c>
      <c r="M425" s="6">
        <v>1.8523000000000001</v>
      </c>
      <c r="N425" s="6">
        <v>10.1</v>
      </c>
      <c r="O425" s="6">
        <f t="shared" si="40"/>
        <v>1.8523000000000001E-2</v>
      </c>
      <c r="P425" s="6">
        <f t="shared" si="41"/>
        <v>0.10099999999999999</v>
      </c>
    </row>
    <row r="426" spans="1:16" x14ac:dyDescent="0.25">
      <c r="A426" s="6" t="s">
        <v>265</v>
      </c>
      <c r="B426" s="7" t="s">
        <v>637</v>
      </c>
      <c r="C426" s="116">
        <v>280.61599999999999</v>
      </c>
      <c r="D426" s="117">
        <v>39.39</v>
      </c>
      <c r="E426" s="118">
        <f t="shared" si="36"/>
        <v>11053.464239999999</v>
      </c>
      <c r="F426" s="119">
        <f t="shared" si="39"/>
        <v>6.3627728870262917E-4</v>
      </c>
      <c r="G426" s="120">
        <v>3.4272999999999998E-2</v>
      </c>
      <c r="H426" s="120">
        <v>0.11</v>
      </c>
      <c r="I426" s="121">
        <f t="shared" si="37"/>
        <v>2.1807131515705207E-5</v>
      </c>
      <c r="J426" s="121">
        <f t="shared" si="38"/>
        <v>6.9990501757289213E-5</v>
      </c>
      <c r="M426" s="6">
        <v>3.4272999999999998</v>
      </c>
      <c r="N426" s="6">
        <v>11</v>
      </c>
      <c r="O426" s="6">
        <f t="shared" si="40"/>
        <v>3.4272999999999998E-2</v>
      </c>
      <c r="P426" s="6">
        <f t="shared" si="41"/>
        <v>0.11</v>
      </c>
    </row>
    <row r="427" spans="1:16" x14ac:dyDescent="0.25">
      <c r="A427" s="6" t="s">
        <v>330</v>
      </c>
      <c r="B427" s="7" t="s">
        <v>687</v>
      </c>
      <c r="C427" s="116">
        <v>139.73699999999999</v>
      </c>
      <c r="D427" s="117">
        <v>51.32</v>
      </c>
      <c r="E427" s="118">
        <f t="shared" si="36"/>
        <v>7171.3028399999994</v>
      </c>
      <c r="F427" s="119">
        <f t="shared" si="39"/>
        <v>4.1280606952057809E-4</v>
      </c>
      <c r="G427" s="120">
        <v>1.6368000000000001E-2</v>
      </c>
      <c r="H427" s="120">
        <v>0.16850000000000001</v>
      </c>
      <c r="I427" s="121">
        <f t="shared" si="37"/>
        <v>6.7568097459128223E-6</v>
      </c>
      <c r="J427" s="121">
        <f t="shared" si="38"/>
        <v>6.9557822714217416E-5</v>
      </c>
      <c r="M427" s="6">
        <v>1.6368</v>
      </c>
      <c r="N427" s="6">
        <v>16.850000000000001</v>
      </c>
      <c r="O427" s="6">
        <f t="shared" si="40"/>
        <v>1.6368000000000001E-2</v>
      </c>
      <c r="P427" s="6">
        <f t="shared" si="41"/>
        <v>0.16850000000000001</v>
      </c>
    </row>
    <row r="428" spans="1:16" x14ac:dyDescent="0.25">
      <c r="A428" s="6" t="s">
        <v>278</v>
      </c>
      <c r="B428" s="7" t="s">
        <v>648</v>
      </c>
      <c r="C428" s="116">
        <v>922.62099999999998</v>
      </c>
      <c r="D428" s="117">
        <v>50.84</v>
      </c>
      <c r="E428" s="118">
        <f t="shared" si="36"/>
        <v>46906.051640000005</v>
      </c>
      <c r="F428" s="119">
        <f t="shared" si="39"/>
        <v>2.7000815955274412E-3</v>
      </c>
      <c r="G428" s="120">
        <v>1.5736E-2</v>
      </c>
      <c r="H428" s="120">
        <v>9.9000000000000005E-2</v>
      </c>
      <c r="I428" s="121">
        <f t="shared" si="37"/>
        <v>4.2488483987219812E-5</v>
      </c>
      <c r="J428" s="121">
        <f t="shared" si="38"/>
        <v>2.673080779572167E-4</v>
      </c>
      <c r="M428" s="6">
        <v>1.5735999999999999</v>
      </c>
      <c r="N428" s="6">
        <v>9.9</v>
      </c>
      <c r="O428" s="6">
        <f t="shared" si="40"/>
        <v>1.5736E-2</v>
      </c>
      <c r="P428" s="6">
        <f t="shared" si="41"/>
        <v>9.9000000000000005E-2</v>
      </c>
    </row>
    <row r="429" spans="1:16" x14ac:dyDescent="0.25">
      <c r="A429" s="6" t="s">
        <v>303</v>
      </c>
      <c r="B429" s="7" t="s">
        <v>670</v>
      </c>
      <c r="C429" s="116">
        <v>209.803</v>
      </c>
      <c r="D429" s="117">
        <v>109.67</v>
      </c>
      <c r="E429" s="118">
        <f t="shared" si="36"/>
        <v>23009.095010000001</v>
      </c>
      <c r="F429" s="119">
        <f t="shared" si="39"/>
        <v>0</v>
      </c>
      <c r="G429" s="120" t="s">
        <v>996</v>
      </c>
      <c r="H429" s="120">
        <v>0.1668</v>
      </c>
      <c r="I429" s="121" t="str">
        <f t="shared" si="37"/>
        <v>n/a</v>
      </c>
      <c r="J429" s="121">
        <f t="shared" si="38"/>
        <v>0</v>
      </c>
      <c r="M429" s="6" t="s">
        <v>996</v>
      </c>
      <c r="N429" s="6">
        <v>16.68</v>
      </c>
      <c r="O429" s="6" t="str">
        <f t="shared" si="40"/>
        <v>n/a</v>
      </c>
      <c r="P429" s="6">
        <f t="shared" si="41"/>
        <v>0.1668</v>
      </c>
    </row>
    <row r="430" spans="1:16" x14ac:dyDescent="0.25">
      <c r="A430" s="6" t="s">
        <v>199</v>
      </c>
      <c r="B430" s="7" t="s">
        <v>585</v>
      </c>
      <c r="C430" s="116">
        <v>153.864</v>
      </c>
      <c r="D430" s="117">
        <v>127.85</v>
      </c>
      <c r="E430" s="118">
        <f t="shared" si="36"/>
        <v>19671.5124</v>
      </c>
      <c r="F430" s="119">
        <f t="shared" si="39"/>
        <v>1.1323632395043735E-3</v>
      </c>
      <c r="G430" s="120">
        <v>2.5968000000000001E-2</v>
      </c>
      <c r="H430" s="120">
        <v>0.10400000000000001</v>
      </c>
      <c r="I430" s="121">
        <f t="shared" si="37"/>
        <v>2.9405208603449575E-5</v>
      </c>
      <c r="J430" s="121">
        <f t="shared" si="38"/>
        <v>1.1776577690845485E-4</v>
      </c>
      <c r="M430" s="6">
        <v>2.5968</v>
      </c>
      <c r="N430" s="6">
        <v>10.4</v>
      </c>
      <c r="O430" s="6">
        <f t="shared" si="40"/>
        <v>2.5968000000000001E-2</v>
      </c>
      <c r="P430" s="6">
        <f t="shared" si="41"/>
        <v>0.10400000000000001</v>
      </c>
    </row>
    <row r="431" spans="1:16" x14ac:dyDescent="0.25">
      <c r="A431" s="6" t="s">
        <v>561</v>
      </c>
      <c r="B431" s="7" t="s">
        <v>886</v>
      </c>
      <c r="C431" s="116">
        <v>507.76299999999998</v>
      </c>
      <c r="D431" s="117">
        <v>45.05</v>
      </c>
      <c r="E431" s="118">
        <f t="shared" si="36"/>
        <v>22874.723149999998</v>
      </c>
      <c r="F431" s="119">
        <f t="shared" si="39"/>
        <v>1.3167516092407662E-3</v>
      </c>
      <c r="G431" s="120">
        <v>3.1963999999999999E-2</v>
      </c>
      <c r="H431" s="120">
        <v>6.0999999999999999E-2</v>
      </c>
      <c r="I431" s="121">
        <f t="shared" si="37"/>
        <v>4.2088648437771849E-5</v>
      </c>
      <c r="J431" s="121">
        <f t="shared" si="38"/>
        <v>8.0321848163686737E-5</v>
      </c>
      <c r="M431" s="6">
        <v>3.1964000000000001</v>
      </c>
      <c r="N431" s="6">
        <v>6.1</v>
      </c>
      <c r="O431" s="6">
        <f t="shared" si="40"/>
        <v>3.1963999999999999E-2</v>
      </c>
      <c r="P431" s="6">
        <f t="shared" si="41"/>
        <v>6.0999999999999999E-2</v>
      </c>
    </row>
    <row r="432" spans="1:16" x14ac:dyDescent="0.25">
      <c r="A432" s="6" t="s">
        <v>489</v>
      </c>
      <c r="B432" s="7" t="s">
        <v>826</v>
      </c>
      <c r="C432" s="116">
        <v>162.38300000000001</v>
      </c>
      <c r="D432" s="117">
        <v>104.09</v>
      </c>
      <c r="E432" s="118">
        <f t="shared" si="36"/>
        <v>16902.446470000003</v>
      </c>
      <c r="F432" s="119">
        <f t="shared" si="39"/>
        <v>9.7296581224321464E-4</v>
      </c>
      <c r="G432" s="120">
        <v>1.2681E-2</v>
      </c>
      <c r="H432" s="120">
        <v>9.5670000000000005E-2</v>
      </c>
      <c r="I432" s="121">
        <f t="shared" si="37"/>
        <v>1.2338179465056205E-5</v>
      </c>
      <c r="J432" s="121">
        <f t="shared" si="38"/>
        <v>9.3083639257308346E-5</v>
      </c>
      <c r="M432" s="6">
        <v>1.2681</v>
      </c>
      <c r="N432" s="6">
        <v>9.5670000000000002</v>
      </c>
      <c r="O432" s="6">
        <f t="shared" si="40"/>
        <v>1.2681E-2</v>
      </c>
      <c r="P432" s="6">
        <f t="shared" si="41"/>
        <v>9.5670000000000005E-2</v>
      </c>
    </row>
    <row r="433" spans="1:16" x14ac:dyDescent="0.25">
      <c r="A433" s="6" t="s">
        <v>1177</v>
      </c>
      <c r="B433" s="7" t="s">
        <v>689</v>
      </c>
      <c r="C433" s="116">
        <v>466.59199999999998</v>
      </c>
      <c r="D433" s="117">
        <v>30.13</v>
      </c>
      <c r="E433" s="118">
        <f t="shared" si="36"/>
        <v>14058.416959999999</v>
      </c>
      <c r="F433" s="119">
        <f t="shared" si="39"/>
        <v>0</v>
      </c>
      <c r="G433" s="120" t="s">
        <v>996</v>
      </c>
      <c r="H433" s="120">
        <v>-6.8499999999999991E-2</v>
      </c>
      <c r="I433" s="121" t="str">
        <f t="shared" si="37"/>
        <v>n/a</v>
      </c>
      <c r="J433" s="121">
        <f t="shared" si="38"/>
        <v>0</v>
      </c>
      <c r="M433" s="6" t="s">
        <v>996</v>
      </c>
      <c r="N433" s="6">
        <v>-6.85</v>
      </c>
      <c r="O433" s="6" t="str">
        <f t="shared" si="40"/>
        <v>n/a</v>
      </c>
      <c r="P433" s="6">
        <f t="shared" si="41"/>
        <v>-6.8499999999999991E-2</v>
      </c>
    </row>
    <row r="434" spans="1:16" x14ac:dyDescent="0.25">
      <c r="A434" s="23" t="s">
        <v>1066</v>
      </c>
      <c r="B434" s="7" t="s">
        <v>1067</v>
      </c>
      <c r="C434" s="116">
        <v>201.22300000000001</v>
      </c>
      <c r="D434" s="117">
        <v>119.65</v>
      </c>
      <c r="E434" s="118">
        <f t="shared" si="36"/>
        <v>24076.331950000003</v>
      </c>
      <c r="F434" s="119">
        <f t="shared" si="39"/>
        <v>1.3859205478417946E-3</v>
      </c>
      <c r="G434" s="120">
        <v>8.0230000000000006E-3</v>
      </c>
      <c r="H434" s="120">
        <v>8.3789999999999989E-2</v>
      </c>
      <c r="I434" s="121">
        <f t="shared" si="37"/>
        <v>1.1119240555334719E-5</v>
      </c>
      <c r="J434" s="121">
        <f t="shared" si="38"/>
        <v>1.1612628270366395E-4</v>
      </c>
      <c r="M434" s="6">
        <v>0.80230000000000001</v>
      </c>
      <c r="N434" s="6">
        <v>8.3789999999999996</v>
      </c>
      <c r="O434" s="6">
        <f t="shared" si="40"/>
        <v>8.0230000000000006E-3</v>
      </c>
      <c r="P434" s="6">
        <f t="shared" si="41"/>
        <v>8.3789999999999989E-2</v>
      </c>
    </row>
    <row r="435" spans="1:16" x14ac:dyDescent="0.25">
      <c r="A435" s="6" t="s">
        <v>245</v>
      </c>
      <c r="B435" s="7" t="s">
        <v>623</v>
      </c>
      <c r="C435" s="116">
        <v>337.875</v>
      </c>
      <c r="D435" s="117">
        <v>35.81</v>
      </c>
      <c r="E435" s="118">
        <f t="shared" si="36"/>
        <v>12099.303750000001</v>
      </c>
      <c r="F435" s="119">
        <f t="shared" si="39"/>
        <v>0</v>
      </c>
      <c r="G435" s="120" t="s">
        <v>996</v>
      </c>
      <c r="H435" s="120">
        <v>0.10233</v>
      </c>
      <c r="I435" s="121" t="str">
        <f t="shared" si="37"/>
        <v>n/a</v>
      </c>
      <c r="J435" s="121">
        <f t="shared" si="38"/>
        <v>0</v>
      </c>
      <c r="M435" s="6" t="s">
        <v>996</v>
      </c>
      <c r="N435" s="6">
        <v>10.233000000000001</v>
      </c>
      <c r="O435" s="6" t="str">
        <f t="shared" si="40"/>
        <v>n/a</v>
      </c>
      <c r="P435" s="6">
        <f t="shared" si="41"/>
        <v>0.10233</v>
      </c>
    </row>
    <row r="436" spans="1:16" x14ac:dyDescent="0.25">
      <c r="A436" s="6" t="s">
        <v>1178</v>
      </c>
      <c r="B436" s="7" t="s">
        <v>758</v>
      </c>
      <c r="C436" s="116">
        <v>1053.922</v>
      </c>
      <c r="D436" s="117">
        <v>116.32</v>
      </c>
      <c r="E436" s="118">
        <f t="shared" si="36"/>
        <v>122592.20703999999</v>
      </c>
      <c r="F436" s="119">
        <f t="shared" si="39"/>
        <v>7.0568498181057633E-3</v>
      </c>
      <c r="G436" s="120">
        <v>7.5649999999999997E-3</v>
      </c>
      <c r="H436" s="120">
        <v>0.15867000000000001</v>
      </c>
      <c r="I436" s="121">
        <f t="shared" si="37"/>
        <v>5.3385068873970097E-5</v>
      </c>
      <c r="J436" s="121">
        <f t="shared" si="38"/>
        <v>1.1197103606388416E-3</v>
      </c>
      <c r="M436" s="6">
        <v>0.75649999999999995</v>
      </c>
      <c r="N436" s="6">
        <v>15.867000000000001</v>
      </c>
      <c r="O436" s="6">
        <f t="shared" si="40"/>
        <v>7.5649999999999997E-3</v>
      </c>
      <c r="P436" s="6">
        <f t="shared" si="41"/>
        <v>0.15867000000000001</v>
      </c>
    </row>
    <row r="437" spans="1:16" x14ac:dyDescent="0.25">
      <c r="A437" s="6" t="s">
        <v>1068</v>
      </c>
      <c r="B437" s="7" t="s">
        <v>1069</v>
      </c>
      <c r="C437" s="116">
        <v>68.3</v>
      </c>
      <c r="D437" s="117">
        <v>65.84</v>
      </c>
      <c r="E437" s="118">
        <f t="shared" si="36"/>
        <v>4496.8720000000003</v>
      </c>
      <c r="F437" s="119">
        <f t="shared" si="39"/>
        <v>2.58856179535871E-4</v>
      </c>
      <c r="G437" s="120">
        <v>1.8834E-2</v>
      </c>
      <c r="H437" s="120">
        <v>5.6329999999999998E-2</v>
      </c>
      <c r="I437" s="121">
        <f t="shared" si="37"/>
        <v>4.875297285378594E-6</v>
      </c>
      <c r="J437" s="121">
        <f t="shared" si="38"/>
        <v>1.4581368593255613E-5</v>
      </c>
      <c r="M437" s="6">
        <v>1.8834</v>
      </c>
      <c r="N437" s="6">
        <v>5.633</v>
      </c>
      <c r="O437" s="6">
        <f t="shared" si="40"/>
        <v>1.8834E-2</v>
      </c>
      <c r="P437" s="6">
        <f t="shared" si="41"/>
        <v>5.6329999999999998E-2</v>
      </c>
    </row>
    <row r="438" spans="1:16" x14ac:dyDescent="0.25">
      <c r="A438" s="6" t="s">
        <v>242</v>
      </c>
      <c r="B438" s="7" t="s">
        <v>620</v>
      </c>
      <c r="C438" s="116">
        <v>185.702</v>
      </c>
      <c r="D438" s="117">
        <v>58.5</v>
      </c>
      <c r="E438" s="118">
        <f t="shared" si="36"/>
        <v>10863.566999999999</v>
      </c>
      <c r="F438" s="119">
        <f t="shared" si="39"/>
        <v>0</v>
      </c>
      <c r="G438" s="120" t="s">
        <v>996</v>
      </c>
      <c r="H438" s="120">
        <v>0.12315</v>
      </c>
      <c r="I438" s="121" t="str">
        <f t="shared" si="37"/>
        <v>n/a</v>
      </c>
      <c r="J438" s="121">
        <f t="shared" si="38"/>
        <v>0</v>
      </c>
      <c r="M438" s="6" t="s">
        <v>996</v>
      </c>
      <c r="N438" s="6">
        <v>12.315</v>
      </c>
      <c r="O438" s="6" t="str">
        <f t="shared" si="40"/>
        <v>n/a</v>
      </c>
      <c r="P438" s="6">
        <f t="shared" si="41"/>
        <v>0.12315</v>
      </c>
    </row>
    <row r="439" spans="1:16" x14ac:dyDescent="0.25">
      <c r="A439" s="6" t="s">
        <v>363</v>
      </c>
      <c r="B439" s="7" t="s">
        <v>719</v>
      </c>
      <c r="C439" s="116">
        <v>593.45399999999995</v>
      </c>
      <c r="D439" s="117">
        <v>60.2</v>
      </c>
      <c r="E439" s="118">
        <f t="shared" si="36"/>
        <v>35725.930800000002</v>
      </c>
      <c r="F439" s="119">
        <f t="shared" si="39"/>
        <v>2.0565134958813376E-3</v>
      </c>
      <c r="G439" s="120">
        <v>1.3289E-2</v>
      </c>
      <c r="H439" s="120">
        <v>0.113</v>
      </c>
      <c r="I439" s="121">
        <f t="shared" si="37"/>
        <v>2.7329007846767095E-5</v>
      </c>
      <c r="J439" s="121">
        <f t="shared" si="38"/>
        <v>2.3238602503459116E-4</v>
      </c>
      <c r="M439" s="6">
        <v>1.3289</v>
      </c>
      <c r="N439" s="6">
        <v>11.3</v>
      </c>
      <c r="O439" s="6">
        <f t="shared" si="40"/>
        <v>1.3289E-2</v>
      </c>
      <c r="P439" s="6">
        <f t="shared" si="41"/>
        <v>0.113</v>
      </c>
    </row>
    <row r="440" spans="1:16" x14ac:dyDescent="0.25">
      <c r="A440" s="6" t="s">
        <v>324</v>
      </c>
      <c r="B440" s="7" t="s">
        <v>684</v>
      </c>
      <c r="C440" s="116">
        <v>329.71499999999997</v>
      </c>
      <c r="D440" s="117">
        <v>84.19</v>
      </c>
      <c r="E440" s="118">
        <f t="shared" si="36"/>
        <v>27758.705849999998</v>
      </c>
      <c r="F440" s="119">
        <f t="shared" si="39"/>
        <v>1.5978912775793999E-3</v>
      </c>
      <c r="G440" s="120">
        <v>1.3778000000000002E-2</v>
      </c>
      <c r="H440" s="120">
        <v>0.111</v>
      </c>
      <c r="I440" s="121">
        <f t="shared" si="37"/>
        <v>2.2015746022488975E-5</v>
      </c>
      <c r="J440" s="121">
        <f t="shared" si="38"/>
        <v>1.7736593181131341E-4</v>
      </c>
      <c r="M440" s="6">
        <v>1.3778000000000001</v>
      </c>
      <c r="N440" s="6">
        <v>11.1</v>
      </c>
      <c r="O440" s="6">
        <f t="shared" si="40"/>
        <v>1.3778000000000002E-2</v>
      </c>
      <c r="P440" s="6">
        <f t="shared" si="41"/>
        <v>0.111</v>
      </c>
    </row>
    <row r="441" spans="1:16" x14ac:dyDescent="0.25">
      <c r="A441" s="6" t="s">
        <v>256</v>
      </c>
      <c r="B441" s="7" t="s">
        <v>631</v>
      </c>
      <c r="C441" s="116">
        <v>28.663</v>
      </c>
      <c r="D441" s="117">
        <v>474.47</v>
      </c>
      <c r="E441" s="118">
        <f t="shared" si="36"/>
        <v>13599.733610000001</v>
      </c>
      <c r="F441" s="119">
        <f t="shared" si="39"/>
        <v>0</v>
      </c>
      <c r="G441" s="120" t="s">
        <v>996</v>
      </c>
      <c r="H441" s="120">
        <v>0.2</v>
      </c>
      <c r="I441" s="121" t="str">
        <f t="shared" si="37"/>
        <v>n/a</v>
      </c>
      <c r="J441" s="121">
        <f t="shared" si="38"/>
        <v>0</v>
      </c>
      <c r="M441" s="6" t="s">
        <v>996</v>
      </c>
      <c r="N441" s="6">
        <v>20</v>
      </c>
      <c r="O441" s="6" t="str">
        <f t="shared" si="40"/>
        <v>n/a</v>
      </c>
      <c r="P441" s="6">
        <f t="shared" si="41"/>
        <v>0.2</v>
      </c>
    </row>
    <row r="442" spans="1:16" x14ac:dyDescent="0.25">
      <c r="A442" s="6" t="s">
        <v>560</v>
      </c>
      <c r="B442" s="7" t="s">
        <v>981</v>
      </c>
      <c r="C442" s="116">
        <v>101.91800000000001</v>
      </c>
      <c r="D442" s="117">
        <v>123.01</v>
      </c>
      <c r="E442" s="118">
        <f t="shared" si="36"/>
        <v>12536.933180000002</v>
      </c>
      <c r="F442" s="119">
        <f t="shared" si="39"/>
        <v>7.2167111407024664E-4</v>
      </c>
      <c r="G442" s="120">
        <v>1.6259000000000003E-2</v>
      </c>
      <c r="H442" s="120">
        <v>0.17199999999999999</v>
      </c>
      <c r="I442" s="121">
        <f t="shared" si="37"/>
        <v>1.1733650643668142E-5</v>
      </c>
      <c r="J442" s="121">
        <f t="shared" si="38"/>
        <v>1.2412743162008242E-4</v>
      </c>
      <c r="M442" s="6">
        <v>1.6259000000000001</v>
      </c>
      <c r="N442" s="6">
        <v>17.2</v>
      </c>
      <c r="O442" s="6">
        <f t="shared" si="40"/>
        <v>1.6259000000000003E-2</v>
      </c>
      <c r="P442" s="6">
        <f t="shared" si="41"/>
        <v>0.17199999999999999</v>
      </c>
    </row>
    <row r="443" spans="1:16" x14ac:dyDescent="0.25">
      <c r="A443" s="6" t="s">
        <v>212</v>
      </c>
      <c r="B443" s="7" t="s">
        <v>594</v>
      </c>
      <c r="C443" s="116">
        <v>55.374000000000002</v>
      </c>
      <c r="D443" s="117">
        <v>96.24</v>
      </c>
      <c r="E443" s="118">
        <f t="shared" si="36"/>
        <v>5329.1937600000001</v>
      </c>
      <c r="F443" s="119">
        <f t="shared" si="39"/>
        <v>3.0676762352141739E-4</v>
      </c>
      <c r="G443" s="120">
        <v>2.2027999999999999E-2</v>
      </c>
      <c r="H443" s="120">
        <v>0.21410000000000001</v>
      </c>
      <c r="I443" s="121">
        <f t="shared" si="37"/>
        <v>6.7574772109297815E-6</v>
      </c>
      <c r="J443" s="121">
        <f t="shared" si="38"/>
        <v>6.5678948195935468E-5</v>
      </c>
      <c r="M443" s="6">
        <v>2.2027999999999999</v>
      </c>
      <c r="N443" s="6">
        <v>21.41</v>
      </c>
      <c r="O443" s="6">
        <f t="shared" si="40"/>
        <v>2.2027999999999999E-2</v>
      </c>
      <c r="P443" s="6">
        <f t="shared" si="41"/>
        <v>0.21410000000000001</v>
      </c>
    </row>
    <row r="444" spans="1:16" x14ac:dyDescent="0.25">
      <c r="A444" s="6" t="s">
        <v>440</v>
      </c>
      <c r="B444" s="7" t="s">
        <v>785</v>
      </c>
      <c r="C444" s="116">
        <v>316.08100000000002</v>
      </c>
      <c r="D444" s="117">
        <v>16.899999999999999</v>
      </c>
      <c r="E444" s="118">
        <f t="shared" si="36"/>
        <v>5341.7689</v>
      </c>
      <c r="F444" s="119">
        <f t="shared" si="39"/>
        <v>0</v>
      </c>
      <c r="G444" s="120">
        <v>7.1009999999999997E-3</v>
      </c>
      <c r="H444" s="120" t="s">
        <v>996</v>
      </c>
      <c r="I444" s="121">
        <f t="shared" si="37"/>
        <v>0</v>
      </c>
      <c r="J444" s="121" t="str">
        <f t="shared" si="38"/>
        <v>n/a</v>
      </c>
      <c r="M444" s="6">
        <v>0.71009999999999995</v>
      </c>
      <c r="N444" s="6" t="s">
        <v>996</v>
      </c>
      <c r="O444" s="6">
        <f t="shared" si="40"/>
        <v>7.1009999999999997E-3</v>
      </c>
      <c r="P444" s="6" t="str">
        <f t="shared" si="41"/>
        <v>n/a</v>
      </c>
    </row>
    <row r="445" spans="1:16" x14ac:dyDescent="0.25">
      <c r="A445" s="6" t="s">
        <v>484</v>
      </c>
      <c r="B445" s="7" t="s">
        <v>821</v>
      </c>
      <c r="C445" s="116">
        <v>1205.259</v>
      </c>
      <c r="D445" s="117">
        <v>13.75</v>
      </c>
      <c r="E445" s="118">
        <f t="shared" si="36"/>
        <v>16572.311249999999</v>
      </c>
      <c r="F445" s="119">
        <f t="shared" si="39"/>
        <v>9.5396203766848014E-4</v>
      </c>
      <c r="G445" s="120">
        <v>2.0364E-2</v>
      </c>
      <c r="H445" s="120">
        <v>8.9499999999999996E-2</v>
      </c>
      <c r="I445" s="121">
        <f t="shared" si="37"/>
        <v>1.942648293508093E-5</v>
      </c>
      <c r="J445" s="121">
        <f t="shared" si="38"/>
        <v>8.5379602371328975E-5</v>
      </c>
      <c r="M445" s="6">
        <v>2.0364</v>
      </c>
      <c r="N445" s="6">
        <v>8.9499999999999993</v>
      </c>
      <c r="O445" s="6">
        <f t="shared" si="40"/>
        <v>2.0364E-2</v>
      </c>
      <c r="P445" s="6">
        <f t="shared" si="41"/>
        <v>8.9499999999999996E-2</v>
      </c>
    </row>
    <row r="446" spans="1:16" x14ac:dyDescent="0.25">
      <c r="A446" s="6" t="s">
        <v>419</v>
      </c>
      <c r="B446" s="7" t="s">
        <v>948</v>
      </c>
      <c r="C446" s="116">
        <v>567.81200000000001</v>
      </c>
      <c r="D446" s="117">
        <v>45.38</v>
      </c>
      <c r="E446" s="118">
        <f t="shared" si="36"/>
        <v>25767.308560000001</v>
      </c>
      <c r="F446" s="119">
        <f t="shared" si="39"/>
        <v>0</v>
      </c>
      <c r="G446" s="120" t="s">
        <v>996</v>
      </c>
      <c r="H446" s="120">
        <v>0.19297</v>
      </c>
      <c r="I446" s="121" t="str">
        <f t="shared" si="37"/>
        <v>n/a</v>
      </c>
      <c r="J446" s="121">
        <f t="shared" si="38"/>
        <v>0</v>
      </c>
      <c r="M446" s="6" t="s">
        <v>996</v>
      </c>
      <c r="N446" s="6">
        <v>19.297000000000001</v>
      </c>
      <c r="O446" s="6" t="str">
        <f t="shared" si="40"/>
        <v>n/a</v>
      </c>
      <c r="P446" s="6">
        <f t="shared" si="41"/>
        <v>0.19297</v>
      </c>
    </row>
    <row r="447" spans="1:16" x14ac:dyDescent="0.25">
      <c r="A447" s="6" t="s">
        <v>514</v>
      </c>
      <c r="B447" s="7" t="s">
        <v>847</v>
      </c>
      <c r="C447" s="116">
        <v>130.88800000000001</v>
      </c>
      <c r="D447" s="117">
        <v>29.18</v>
      </c>
      <c r="E447" s="118">
        <f t="shared" si="36"/>
        <v>3819.3118400000003</v>
      </c>
      <c r="F447" s="119">
        <f t="shared" si="39"/>
        <v>0</v>
      </c>
      <c r="G447" s="120" t="s">
        <v>996</v>
      </c>
      <c r="H447" s="120">
        <v>4.7579999999999997E-2</v>
      </c>
      <c r="I447" s="121" t="str">
        <f t="shared" si="37"/>
        <v>n/a</v>
      </c>
      <c r="J447" s="121">
        <f t="shared" si="38"/>
        <v>0</v>
      </c>
      <c r="M447" s="6" t="s">
        <v>996</v>
      </c>
      <c r="N447" s="6">
        <v>4.758</v>
      </c>
      <c r="O447" s="6" t="str">
        <f t="shared" si="40"/>
        <v>n/a</v>
      </c>
      <c r="P447" s="6">
        <f t="shared" si="41"/>
        <v>4.7579999999999997E-2</v>
      </c>
    </row>
    <row r="448" spans="1:16" x14ac:dyDescent="0.25">
      <c r="A448" s="23" t="s">
        <v>422</v>
      </c>
      <c r="B448" s="60" t="s">
        <v>771</v>
      </c>
      <c r="C448" s="116">
        <v>351.00599999999997</v>
      </c>
      <c r="D448" s="117">
        <v>26.93</v>
      </c>
      <c r="E448" s="118">
        <f t="shared" si="36"/>
        <v>9452.5915799999984</v>
      </c>
      <c r="F448" s="119">
        <f t="shared" si="39"/>
        <v>5.4412528155387604E-4</v>
      </c>
      <c r="G448" s="120">
        <v>4.0846999999999994E-2</v>
      </c>
      <c r="H448" s="120">
        <v>0.17499999999999999</v>
      </c>
      <c r="I448" s="121">
        <f t="shared" si="37"/>
        <v>2.2225885375631173E-5</v>
      </c>
      <c r="J448" s="121">
        <f t="shared" si="38"/>
        <v>9.5221924271928296E-5</v>
      </c>
      <c r="M448" s="6">
        <v>4.0846999999999998</v>
      </c>
      <c r="N448" s="6">
        <v>17.5</v>
      </c>
      <c r="O448" s="6">
        <f t="shared" si="40"/>
        <v>4.0846999999999994E-2</v>
      </c>
      <c r="P448" s="6">
        <f t="shared" si="41"/>
        <v>0.17499999999999999</v>
      </c>
    </row>
    <row r="449" spans="1:16" x14ac:dyDescent="0.25">
      <c r="A449" s="6" t="s">
        <v>316</v>
      </c>
      <c r="B449" s="7" t="s">
        <v>922</v>
      </c>
      <c r="C449" s="116">
        <v>138.14599999999999</v>
      </c>
      <c r="D449" s="117">
        <v>133.72</v>
      </c>
      <c r="E449" s="118">
        <f t="shared" si="36"/>
        <v>18472.883119999999</v>
      </c>
      <c r="F449" s="119">
        <f t="shared" si="39"/>
        <v>1.0633658128263112E-3</v>
      </c>
      <c r="G449" s="120">
        <v>8.3759999999999998E-3</v>
      </c>
      <c r="H449" s="120">
        <v>0.1918</v>
      </c>
      <c r="I449" s="121">
        <f t="shared" si="37"/>
        <v>8.9067520482331828E-6</v>
      </c>
      <c r="J449" s="121">
        <f t="shared" si="38"/>
        <v>2.0395356290008648E-4</v>
      </c>
      <c r="M449" s="6">
        <v>0.83760000000000001</v>
      </c>
      <c r="N449" s="6">
        <v>19.18</v>
      </c>
      <c r="O449" s="6">
        <f t="shared" si="40"/>
        <v>8.3759999999999998E-3</v>
      </c>
      <c r="P449" s="6">
        <f t="shared" si="41"/>
        <v>0.1918</v>
      </c>
    </row>
    <row r="450" spans="1:16" x14ac:dyDescent="0.25">
      <c r="A450" s="6" t="s">
        <v>287</v>
      </c>
      <c r="B450" s="7" t="s">
        <v>917</v>
      </c>
      <c r="C450" s="116">
        <v>153.494</v>
      </c>
      <c r="D450" s="117">
        <v>28.78</v>
      </c>
      <c r="E450" s="118">
        <f t="shared" si="36"/>
        <v>4417.5573199999999</v>
      </c>
      <c r="F450" s="119">
        <f t="shared" si="39"/>
        <v>0</v>
      </c>
      <c r="G450" s="120" t="s">
        <v>996</v>
      </c>
      <c r="H450" s="120">
        <v>0.14066999999999999</v>
      </c>
      <c r="I450" s="121" t="str">
        <f t="shared" si="37"/>
        <v>n/a</v>
      </c>
      <c r="J450" s="121">
        <f t="shared" si="38"/>
        <v>0</v>
      </c>
      <c r="M450" s="6" t="s">
        <v>996</v>
      </c>
      <c r="N450" s="6">
        <v>14.067</v>
      </c>
      <c r="O450" s="6" t="str">
        <f t="shared" si="40"/>
        <v>n/a</v>
      </c>
      <c r="P450" s="6">
        <f t="shared" si="41"/>
        <v>0.14066999999999999</v>
      </c>
    </row>
    <row r="451" spans="1:16" x14ac:dyDescent="0.25">
      <c r="A451" s="6" t="s">
        <v>251</v>
      </c>
      <c r="B451" s="7" t="s">
        <v>627</v>
      </c>
      <c r="C451" s="116">
        <v>233.185</v>
      </c>
      <c r="D451" s="117">
        <v>26.74</v>
      </c>
      <c r="E451" s="118">
        <f t="shared" si="36"/>
        <v>6235.3669</v>
      </c>
      <c r="F451" s="119">
        <f t="shared" si="39"/>
        <v>0</v>
      </c>
      <c r="G451" s="120">
        <v>4.4877E-2</v>
      </c>
      <c r="H451" s="120">
        <v>-5.0000000000000001E-4</v>
      </c>
      <c r="I451" s="121">
        <f t="shared" si="37"/>
        <v>0</v>
      </c>
      <c r="J451" s="121">
        <f t="shared" si="38"/>
        <v>0</v>
      </c>
      <c r="M451" s="6">
        <v>4.4877000000000002</v>
      </c>
      <c r="N451" s="6">
        <v>-0.05</v>
      </c>
      <c r="O451" s="6">
        <f t="shared" si="40"/>
        <v>4.4877E-2</v>
      </c>
      <c r="P451" s="6">
        <f t="shared" si="41"/>
        <v>-5.0000000000000001E-4</v>
      </c>
    </row>
    <row r="452" spans="1:16" x14ac:dyDescent="0.25">
      <c r="A452" s="6" t="s">
        <v>543</v>
      </c>
      <c r="B452" s="7" t="s">
        <v>978</v>
      </c>
      <c r="C452" s="116">
        <v>347.46499999999997</v>
      </c>
      <c r="D452" s="117">
        <v>42.56</v>
      </c>
      <c r="E452" s="118">
        <f t="shared" si="36"/>
        <v>14788.1104</v>
      </c>
      <c r="F452" s="119">
        <f t="shared" si="39"/>
        <v>8.5125699835322875E-4</v>
      </c>
      <c r="G452" s="120">
        <v>1.8797000000000001E-2</v>
      </c>
      <c r="H452" s="120">
        <v>1.593E-2</v>
      </c>
      <c r="I452" s="121">
        <f t="shared" si="37"/>
        <v>1.6001077798045643E-5</v>
      </c>
      <c r="J452" s="121">
        <f t="shared" si="38"/>
        <v>1.3560523983766934E-5</v>
      </c>
      <c r="M452" s="6">
        <v>1.8797000000000001</v>
      </c>
      <c r="N452" s="6">
        <v>1.593</v>
      </c>
      <c r="O452" s="6">
        <f t="shared" si="40"/>
        <v>1.8797000000000001E-2</v>
      </c>
      <c r="P452" s="6">
        <f t="shared" si="41"/>
        <v>1.593E-2</v>
      </c>
    </row>
    <row r="453" spans="1:16" x14ac:dyDescent="0.25">
      <c r="A453" s="6" t="s">
        <v>559</v>
      </c>
      <c r="B453" s="7" t="s">
        <v>885</v>
      </c>
      <c r="C453" s="116">
        <v>104.354</v>
      </c>
      <c r="D453" s="117">
        <v>95.31</v>
      </c>
      <c r="E453" s="118">
        <f t="shared" si="36"/>
        <v>9945.9797400000007</v>
      </c>
      <c r="F453" s="119">
        <f t="shared" si="39"/>
        <v>5.7252648446243866E-4</v>
      </c>
      <c r="G453" s="120">
        <v>2.4342000000000003E-2</v>
      </c>
      <c r="H453" s="120">
        <v>0.129</v>
      </c>
      <c r="I453" s="121">
        <f t="shared" si="37"/>
        <v>1.3936439684784683E-5</v>
      </c>
      <c r="J453" s="121">
        <f t="shared" si="38"/>
        <v>7.3855916495654586E-5</v>
      </c>
      <c r="M453" s="6">
        <v>2.4342000000000001</v>
      </c>
      <c r="N453" s="6">
        <v>12.9</v>
      </c>
      <c r="O453" s="6">
        <f t="shared" si="40"/>
        <v>2.4342000000000003E-2</v>
      </c>
      <c r="P453" s="6">
        <f t="shared" si="41"/>
        <v>0.129</v>
      </c>
    </row>
    <row r="454" spans="1:16" x14ac:dyDescent="0.25">
      <c r="A454" s="6" t="s">
        <v>1092</v>
      </c>
      <c r="B454" s="7" t="s">
        <v>935</v>
      </c>
      <c r="C454" s="116">
        <v>346.96499999999997</v>
      </c>
      <c r="D454" s="117">
        <v>905.96</v>
      </c>
      <c r="E454" s="118">
        <f t="shared" si="36"/>
        <v>314336.41139999998</v>
      </c>
      <c r="F454" s="119">
        <f t="shared" si="39"/>
        <v>0</v>
      </c>
      <c r="G454" s="120" t="s">
        <v>996</v>
      </c>
      <c r="H454" s="120">
        <v>0.16258</v>
      </c>
      <c r="I454" s="121" t="str">
        <f t="shared" si="37"/>
        <v>n/a</v>
      </c>
      <c r="J454" s="121">
        <f t="shared" si="38"/>
        <v>0</v>
      </c>
      <c r="M454" s="6" t="s">
        <v>996</v>
      </c>
      <c r="N454" s="6">
        <v>16.257999999999999</v>
      </c>
      <c r="O454" s="6" t="str">
        <f t="shared" si="40"/>
        <v>n/a</v>
      </c>
      <c r="P454" s="6">
        <f t="shared" si="41"/>
        <v>0.16258</v>
      </c>
    </row>
    <row r="455" spans="1:16" x14ac:dyDescent="0.25">
      <c r="A455" s="6" t="s">
        <v>408</v>
      </c>
      <c r="B455" s="7" t="s">
        <v>762</v>
      </c>
      <c r="C455" s="116">
        <v>183.64</v>
      </c>
      <c r="D455" s="117">
        <v>88.72</v>
      </c>
      <c r="E455" s="118">
        <f t="shared" si="36"/>
        <v>16292.540799999999</v>
      </c>
      <c r="F455" s="119">
        <f t="shared" si="39"/>
        <v>9.3785744099905493E-4</v>
      </c>
      <c r="G455" s="120">
        <v>1.8598E-2</v>
      </c>
      <c r="H455" s="120">
        <v>4.9329999999999999E-2</v>
      </c>
      <c r="I455" s="121">
        <f t="shared" si="37"/>
        <v>1.7442272687700423E-5</v>
      </c>
      <c r="J455" s="121">
        <f t="shared" si="38"/>
        <v>4.6264507564483379E-5</v>
      </c>
      <c r="M455" s="6">
        <v>1.8597999999999999</v>
      </c>
      <c r="N455" s="6">
        <v>4.9329999999999998</v>
      </c>
      <c r="O455" s="6">
        <f t="shared" si="40"/>
        <v>1.8598E-2</v>
      </c>
      <c r="P455" s="6">
        <f t="shared" si="41"/>
        <v>4.9329999999999999E-2</v>
      </c>
    </row>
    <row r="456" spans="1:16" x14ac:dyDescent="0.25">
      <c r="A456" s="6" t="s">
        <v>1179</v>
      </c>
      <c r="B456" s="7" t="s">
        <v>1180</v>
      </c>
      <c r="C456" s="116">
        <v>48.936</v>
      </c>
      <c r="D456" s="117">
        <v>200.33</v>
      </c>
      <c r="E456" s="118">
        <f t="shared" si="36"/>
        <v>9803.3488800000014</v>
      </c>
      <c r="F456" s="119">
        <f t="shared" si="39"/>
        <v>5.6431613746934757E-4</v>
      </c>
      <c r="G456" s="120">
        <v>2.9999999999999997E-4</v>
      </c>
      <c r="H456" s="120">
        <v>0.1164</v>
      </c>
      <c r="I456" s="121">
        <f t="shared" si="37"/>
        <v>1.6929484124080425E-7</v>
      </c>
      <c r="J456" s="121">
        <f t="shared" si="38"/>
        <v>6.5686398401432064E-5</v>
      </c>
      <c r="M456" s="6">
        <v>0.03</v>
      </c>
      <c r="N456" s="6">
        <v>11.64</v>
      </c>
      <c r="O456" s="6">
        <f t="shared" si="40"/>
        <v>2.9999999999999997E-4</v>
      </c>
      <c r="P456" s="6">
        <f t="shared" si="41"/>
        <v>0.1164</v>
      </c>
    </row>
    <row r="457" spans="1:16" x14ac:dyDescent="0.25">
      <c r="A457" s="6" t="s">
        <v>513</v>
      </c>
      <c r="B457" s="7" t="s">
        <v>846</v>
      </c>
      <c r="C457" s="116">
        <v>355.02699999999999</v>
      </c>
      <c r="D457" s="117">
        <v>77.37</v>
      </c>
      <c r="E457" s="118">
        <f t="shared" si="36"/>
        <v>27468.438990000002</v>
      </c>
      <c r="F457" s="119">
        <f t="shared" si="39"/>
        <v>1.5811824696734882E-3</v>
      </c>
      <c r="G457" s="120">
        <v>1.9129E-2</v>
      </c>
      <c r="H457" s="120">
        <v>6.7500000000000004E-2</v>
      </c>
      <c r="I457" s="121">
        <f t="shared" si="37"/>
        <v>3.0246439462384158E-5</v>
      </c>
      <c r="J457" s="121">
        <f t="shared" si="38"/>
        <v>1.0672981670296047E-4</v>
      </c>
      <c r="M457" s="6">
        <v>1.9129</v>
      </c>
      <c r="N457" s="6">
        <v>6.75</v>
      </c>
      <c r="O457" s="6">
        <f t="shared" si="40"/>
        <v>1.9129E-2</v>
      </c>
      <c r="P457" s="6">
        <f t="shared" si="41"/>
        <v>6.7500000000000004E-2</v>
      </c>
    </row>
    <row r="458" spans="1:16" x14ac:dyDescent="0.25">
      <c r="A458" s="6" t="s">
        <v>286</v>
      </c>
      <c r="B458" s="7" t="s">
        <v>658</v>
      </c>
      <c r="C458" s="116">
        <v>383.9</v>
      </c>
      <c r="D458" s="117">
        <v>62.59</v>
      </c>
      <c r="E458" s="118">
        <f t="shared" si="36"/>
        <v>24028.300999999999</v>
      </c>
      <c r="F458" s="119">
        <f t="shared" si="39"/>
        <v>1.3831557130374063E-3</v>
      </c>
      <c r="G458" s="120">
        <v>1.9172000000000002E-2</v>
      </c>
      <c r="H458" s="120">
        <v>6.9099999999999995E-2</v>
      </c>
      <c r="I458" s="121">
        <f t="shared" si="37"/>
        <v>2.6517861330353155E-5</v>
      </c>
      <c r="J458" s="121">
        <f t="shared" si="38"/>
        <v>9.5576059770884769E-5</v>
      </c>
      <c r="M458" s="6">
        <v>1.9172</v>
      </c>
      <c r="N458" s="6">
        <v>6.91</v>
      </c>
      <c r="O458" s="6">
        <f t="shared" si="40"/>
        <v>1.9172000000000002E-2</v>
      </c>
      <c r="P458" s="6">
        <f t="shared" si="41"/>
        <v>6.9099999999999995E-2</v>
      </c>
    </row>
    <row r="459" spans="1:16" x14ac:dyDescent="0.25">
      <c r="A459" s="6" t="s">
        <v>527</v>
      </c>
      <c r="B459" s="7" t="s">
        <v>974</v>
      </c>
      <c r="C459" s="116">
        <v>128.411</v>
      </c>
      <c r="D459" s="117">
        <v>45.01</v>
      </c>
      <c r="E459" s="118">
        <f t="shared" si="36"/>
        <v>5779.7791099999995</v>
      </c>
      <c r="F459" s="119">
        <f t="shared" si="39"/>
        <v>0</v>
      </c>
      <c r="G459" s="120" t="s">
        <v>996</v>
      </c>
      <c r="H459" s="120">
        <v>0.15531</v>
      </c>
      <c r="I459" s="121" t="str">
        <f t="shared" si="37"/>
        <v>n/a</v>
      </c>
      <c r="J459" s="121">
        <f t="shared" si="38"/>
        <v>0</v>
      </c>
      <c r="M459" s="6" t="s">
        <v>996</v>
      </c>
      <c r="N459" s="6">
        <v>15.531000000000001</v>
      </c>
      <c r="O459" s="6" t="str">
        <f t="shared" si="40"/>
        <v>n/a</v>
      </c>
      <c r="P459" s="6">
        <f t="shared" si="41"/>
        <v>0.15531</v>
      </c>
    </row>
    <row r="460" spans="1:16" x14ac:dyDescent="0.25">
      <c r="A460" s="6" t="s">
        <v>294</v>
      </c>
      <c r="B460" s="7" t="s">
        <v>12</v>
      </c>
      <c r="C460" s="116">
        <v>183.815</v>
      </c>
      <c r="D460" s="117">
        <v>91.65</v>
      </c>
      <c r="E460" s="118">
        <f t="shared" si="36"/>
        <v>16846.644749999999</v>
      </c>
      <c r="F460" s="119">
        <f t="shared" si="39"/>
        <v>9.6975366387636508E-4</v>
      </c>
      <c r="G460" s="120">
        <v>2.5314E-2</v>
      </c>
      <c r="H460" s="120">
        <v>8.5830000000000004E-2</v>
      </c>
      <c r="I460" s="121">
        <f t="shared" si="37"/>
        <v>2.4548344247366306E-5</v>
      </c>
      <c r="J460" s="121">
        <f t="shared" si="38"/>
        <v>8.3233956970508419E-5</v>
      </c>
      <c r="M460" s="6">
        <v>2.5314000000000001</v>
      </c>
      <c r="N460" s="6">
        <v>8.5830000000000002</v>
      </c>
      <c r="O460" s="6">
        <f t="shared" si="40"/>
        <v>2.5314E-2</v>
      </c>
      <c r="P460" s="6">
        <f t="shared" si="41"/>
        <v>8.5830000000000004E-2</v>
      </c>
    </row>
    <row r="461" spans="1:16" x14ac:dyDescent="0.25">
      <c r="A461" s="6" t="s">
        <v>544</v>
      </c>
      <c r="B461" s="7" t="s">
        <v>871</v>
      </c>
      <c r="C461" s="116">
        <v>1846.25</v>
      </c>
      <c r="D461" s="117">
        <v>91.22</v>
      </c>
      <c r="E461" s="118">
        <f t="shared" si="36"/>
        <v>168414.92499999999</v>
      </c>
      <c r="F461" s="119">
        <f t="shared" si="39"/>
        <v>9.6945708177418079E-3</v>
      </c>
      <c r="G461" s="120">
        <v>7.2350000000000001E-3</v>
      </c>
      <c r="H461" s="120">
        <v>0.17430000000000001</v>
      </c>
      <c r="I461" s="121">
        <f t="shared" si="37"/>
        <v>7.0140219866361977E-5</v>
      </c>
      <c r="J461" s="121">
        <f t="shared" si="38"/>
        <v>1.6897636935323973E-3</v>
      </c>
      <c r="M461" s="6">
        <v>0.72350000000000003</v>
      </c>
      <c r="N461" s="6">
        <v>17.43</v>
      </c>
      <c r="O461" s="6">
        <f t="shared" si="40"/>
        <v>7.2350000000000001E-3</v>
      </c>
      <c r="P461" s="6">
        <f t="shared" si="41"/>
        <v>0.17430000000000001</v>
      </c>
    </row>
    <row r="462" spans="1:16" x14ac:dyDescent="0.25">
      <c r="A462" s="6" t="s">
        <v>1181</v>
      </c>
      <c r="B462" s="7" t="s">
        <v>1182</v>
      </c>
      <c r="C462" s="116">
        <v>113.57599999999999</v>
      </c>
      <c r="D462" s="117">
        <v>99.21</v>
      </c>
      <c r="E462" s="118">
        <f t="shared" ref="E462:E515" si="42">C462*D462</f>
        <v>11267.874959999999</v>
      </c>
      <c r="F462" s="119">
        <f t="shared" si="39"/>
        <v>0</v>
      </c>
      <c r="G462" s="120">
        <v>3.5076999999999997E-2</v>
      </c>
      <c r="H462" s="120" t="s">
        <v>996</v>
      </c>
      <c r="I462" s="121">
        <f t="shared" ref="I462:I515" si="43">IF(G462="n/a","n/a",$F462*G462)</f>
        <v>0</v>
      </c>
      <c r="J462" s="121" t="str">
        <f t="shared" ref="J462:J515" si="44">IF(H462="n/a","n/a",$F462*H462)</f>
        <v>n/a</v>
      </c>
      <c r="M462" s="6">
        <v>3.5076999999999998</v>
      </c>
      <c r="N462" s="6" t="s">
        <v>996</v>
      </c>
      <c r="O462" s="6">
        <f t="shared" si="40"/>
        <v>3.5076999999999997E-2</v>
      </c>
      <c r="P462" s="6" t="str">
        <f t="shared" si="41"/>
        <v>n/a</v>
      </c>
    </row>
    <row r="463" spans="1:16" x14ac:dyDescent="0.25">
      <c r="A463" s="6" t="s">
        <v>564</v>
      </c>
      <c r="B463" s="7" t="s">
        <v>889</v>
      </c>
      <c r="C463" s="116">
        <v>179.68799999999999</v>
      </c>
      <c r="D463" s="117">
        <v>51.41</v>
      </c>
      <c r="E463" s="118">
        <f t="shared" si="42"/>
        <v>9237.7600799999982</v>
      </c>
      <c r="F463" s="119">
        <f t="shared" ref="F463:F518" si="45">IF(OR(G463="n/a",H463="n/a",H463&lt;0%),0%,E463/SUMIFS(E$14:E$518,G$14:G$518,"&lt;&gt;n/a",$H$14:$H$518,"&lt;&gt;n/a",$H$14:$H$518,"&gt;=0"))</f>
        <v>5.3175880518230919E-4</v>
      </c>
      <c r="G463" s="120">
        <v>1.4005E-2</v>
      </c>
      <c r="H463" s="120">
        <v>0.15</v>
      </c>
      <c r="I463" s="121">
        <f t="shared" si="43"/>
        <v>7.4472820665782404E-6</v>
      </c>
      <c r="J463" s="121">
        <f t="shared" si="44"/>
        <v>7.9763820777346373E-5</v>
      </c>
      <c r="M463" s="6">
        <v>1.4005000000000001</v>
      </c>
      <c r="N463" s="6">
        <v>15</v>
      </c>
      <c r="O463" s="6">
        <f t="shared" ref="O463:O518" si="46">IFERROR(M463/100, "n/a")</f>
        <v>1.4005E-2</v>
      </c>
      <c r="P463" s="6">
        <f t="shared" ref="P463:P518" si="47">IFERROR(N463/100, "n/a")</f>
        <v>0.15</v>
      </c>
    </row>
    <row r="464" spans="1:16" x14ac:dyDescent="0.25">
      <c r="A464" s="6" t="s">
        <v>401</v>
      </c>
      <c r="B464" s="7" t="s">
        <v>755</v>
      </c>
      <c r="C464" s="116">
        <v>527.875</v>
      </c>
      <c r="D464" s="117">
        <v>50.94</v>
      </c>
      <c r="E464" s="118">
        <f t="shared" si="42"/>
        <v>26889.952499999999</v>
      </c>
      <c r="F464" s="119">
        <f t="shared" si="45"/>
        <v>1.5478826998080093E-3</v>
      </c>
      <c r="G464" s="120">
        <v>2.8269000000000002E-2</v>
      </c>
      <c r="H464" s="120">
        <v>0.16550000000000001</v>
      </c>
      <c r="I464" s="121">
        <f t="shared" si="43"/>
        <v>4.3757096040872617E-5</v>
      </c>
      <c r="J464" s="121">
        <f t="shared" si="44"/>
        <v>2.5617458681822554E-4</v>
      </c>
      <c r="M464" s="6">
        <v>2.8269000000000002</v>
      </c>
      <c r="N464" s="6">
        <v>16.55</v>
      </c>
      <c r="O464" s="6">
        <f t="shared" si="46"/>
        <v>2.8269000000000002E-2</v>
      </c>
      <c r="P464" s="6">
        <f t="shared" si="47"/>
        <v>0.16550000000000001</v>
      </c>
    </row>
    <row r="465" spans="1:16" x14ac:dyDescent="0.25">
      <c r="A465" s="6" t="s">
        <v>999</v>
      </c>
      <c r="B465" s="7" t="s">
        <v>1002</v>
      </c>
      <c r="C465" s="116">
        <v>361.34500000000003</v>
      </c>
      <c r="D465" s="117">
        <v>60.76</v>
      </c>
      <c r="E465" s="118">
        <f t="shared" si="42"/>
        <v>21955.322200000002</v>
      </c>
      <c r="F465" s="119">
        <f t="shared" si="45"/>
        <v>0</v>
      </c>
      <c r="G465" s="120" t="s">
        <v>996</v>
      </c>
      <c r="H465" s="120">
        <v>0.05</v>
      </c>
      <c r="I465" s="121" t="str">
        <f t="shared" si="43"/>
        <v>n/a</v>
      </c>
      <c r="J465" s="121">
        <f t="shared" si="44"/>
        <v>0</v>
      </c>
      <c r="M465" s="6" t="s">
        <v>996</v>
      </c>
      <c r="N465" s="6">
        <v>5</v>
      </c>
      <c r="O465" s="6" t="str">
        <f t="shared" si="46"/>
        <v>n/a</v>
      </c>
      <c r="P465" s="6">
        <f t="shared" si="47"/>
        <v>0.05</v>
      </c>
    </row>
    <row r="466" spans="1:16" x14ac:dyDescent="0.25">
      <c r="A466" s="6" t="s">
        <v>524</v>
      </c>
      <c r="B466" s="7" t="s">
        <v>973</v>
      </c>
      <c r="C466" s="116">
        <v>129.911</v>
      </c>
      <c r="D466" s="117">
        <v>61.91</v>
      </c>
      <c r="E466" s="118">
        <f t="shared" si="42"/>
        <v>8042.7900099999997</v>
      </c>
      <c r="F466" s="119">
        <f t="shared" si="45"/>
        <v>4.6297201583631227E-4</v>
      </c>
      <c r="G466" s="120">
        <v>1.5505999999999999E-2</v>
      </c>
      <c r="H466" s="120">
        <v>0.13800000000000001</v>
      </c>
      <c r="I466" s="121">
        <f t="shared" si="43"/>
        <v>7.1788440775578579E-6</v>
      </c>
      <c r="J466" s="121">
        <f t="shared" si="44"/>
        <v>6.3890138185411098E-5</v>
      </c>
      <c r="M466" s="6">
        <v>1.5506</v>
      </c>
      <c r="N466" s="6">
        <v>13.8</v>
      </c>
      <c r="O466" s="6">
        <f t="shared" si="46"/>
        <v>1.5505999999999999E-2</v>
      </c>
      <c r="P466" s="6">
        <f t="shared" si="47"/>
        <v>0.13800000000000001</v>
      </c>
    </row>
    <row r="467" spans="1:16" x14ac:dyDescent="0.25">
      <c r="A467" s="6" t="s">
        <v>1183</v>
      </c>
      <c r="B467" s="7" t="s">
        <v>1184</v>
      </c>
      <c r="C467" s="116">
        <v>25.905999999999999</v>
      </c>
      <c r="D467" s="117">
        <v>513.41999999999996</v>
      </c>
      <c r="E467" s="118">
        <f t="shared" si="42"/>
        <v>13300.658519999999</v>
      </c>
      <c r="F467" s="119">
        <f t="shared" si="45"/>
        <v>0</v>
      </c>
      <c r="G467" s="120" t="s">
        <v>996</v>
      </c>
      <c r="H467" s="120">
        <v>0.11782999999999999</v>
      </c>
      <c r="I467" s="121" t="str">
        <f t="shared" si="43"/>
        <v>n/a</v>
      </c>
      <c r="J467" s="121">
        <f t="shared" si="44"/>
        <v>0</v>
      </c>
      <c r="M467" s="6" t="s">
        <v>996</v>
      </c>
      <c r="N467" s="6">
        <v>11.782999999999999</v>
      </c>
      <c r="O467" s="6" t="str">
        <f t="shared" si="46"/>
        <v>n/a</v>
      </c>
      <c r="P467" s="6">
        <f t="shared" si="47"/>
        <v>0.11782999999999999</v>
      </c>
    </row>
    <row r="468" spans="1:16" x14ac:dyDescent="0.25">
      <c r="A468" s="6" t="s">
        <v>1185</v>
      </c>
      <c r="B468" s="7" t="s">
        <v>1186</v>
      </c>
      <c r="C468" s="116">
        <v>110.751</v>
      </c>
      <c r="D468" s="117">
        <v>108.91</v>
      </c>
      <c r="E468" s="118">
        <f t="shared" si="42"/>
        <v>12061.89141</v>
      </c>
      <c r="F468" s="119">
        <f t="shared" si="45"/>
        <v>6.9432599557406566E-4</v>
      </c>
      <c r="G468" s="120">
        <v>1.1753E-2</v>
      </c>
      <c r="H468" s="120">
        <v>0.11599999999999999</v>
      </c>
      <c r="I468" s="121">
        <f t="shared" si="43"/>
        <v>8.160413425981993E-6</v>
      </c>
      <c r="J468" s="121">
        <f t="shared" si="44"/>
        <v>8.0541815486591612E-5</v>
      </c>
      <c r="M468" s="6">
        <v>1.1753</v>
      </c>
      <c r="N468" s="6">
        <v>11.6</v>
      </c>
      <c r="O468" s="6">
        <f t="shared" si="46"/>
        <v>1.1753E-2</v>
      </c>
      <c r="P468" s="6">
        <f t="shared" si="47"/>
        <v>0.11599999999999999</v>
      </c>
    </row>
    <row r="469" spans="1:16" x14ac:dyDescent="0.25">
      <c r="A469" s="6" t="s">
        <v>525</v>
      </c>
      <c r="B469" s="7" t="s">
        <v>856</v>
      </c>
      <c r="C469" s="116">
        <v>390.92099999999999</v>
      </c>
      <c r="D469" s="117">
        <v>11.03</v>
      </c>
      <c r="E469" s="118">
        <f t="shared" si="42"/>
        <v>4311.8586299999997</v>
      </c>
      <c r="F469" s="119">
        <f t="shared" si="45"/>
        <v>0</v>
      </c>
      <c r="G469" s="120" t="s">
        <v>996</v>
      </c>
      <c r="H469" s="120">
        <v>-0.28999999999999998</v>
      </c>
      <c r="I469" s="121" t="str">
        <f t="shared" si="43"/>
        <v>n/a</v>
      </c>
      <c r="J469" s="121">
        <f t="shared" si="44"/>
        <v>0</v>
      </c>
      <c r="M469" s="6" t="s">
        <v>996</v>
      </c>
      <c r="N469" s="6">
        <v>-29</v>
      </c>
      <c r="O469" s="6" t="str">
        <f t="shared" si="46"/>
        <v>n/a</v>
      </c>
      <c r="P469" s="6">
        <f t="shared" si="47"/>
        <v>-0.28999999999999998</v>
      </c>
    </row>
    <row r="470" spans="1:16" x14ac:dyDescent="0.25">
      <c r="A470" s="6" t="s">
        <v>313</v>
      </c>
      <c r="B470" s="7" t="s">
        <v>679</v>
      </c>
      <c r="C470" s="116">
        <v>65.558000000000007</v>
      </c>
      <c r="D470" s="117">
        <v>244.47</v>
      </c>
      <c r="E470" s="118">
        <f t="shared" si="42"/>
        <v>16026.964260000002</v>
      </c>
      <c r="F470" s="119">
        <f t="shared" si="45"/>
        <v>9.2256989700875355E-4</v>
      </c>
      <c r="G470" s="120">
        <v>2.8632999999999999E-2</v>
      </c>
      <c r="H470" s="120">
        <v>6.9500000000000006E-2</v>
      </c>
      <c r="I470" s="121">
        <f t="shared" si="43"/>
        <v>2.6415943861051641E-5</v>
      </c>
      <c r="J470" s="121">
        <f t="shared" si="44"/>
        <v>6.4118607842108378E-5</v>
      </c>
      <c r="M470" s="6">
        <v>2.8632999999999997</v>
      </c>
      <c r="N470" s="6">
        <v>6.95</v>
      </c>
      <c r="O470" s="6">
        <f t="shared" si="46"/>
        <v>2.8632999999999999E-2</v>
      </c>
      <c r="P470" s="6">
        <f t="shared" si="47"/>
        <v>6.9500000000000006E-2</v>
      </c>
    </row>
    <row r="471" spans="1:16" x14ac:dyDescent="0.25">
      <c r="A471" s="6" t="s">
        <v>1187</v>
      </c>
      <c r="B471" s="7" t="s">
        <v>696</v>
      </c>
      <c r="C471" s="116">
        <v>883.44799999999998</v>
      </c>
      <c r="D471" s="117">
        <v>21.61</v>
      </c>
      <c r="E471" s="118">
        <f t="shared" si="42"/>
        <v>19091.311279999998</v>
      </c>
      <c r="F471" s="119">
        <f t="shared" si="45"/>
        <v>1.0989647693487557E-3</v>
      </c>
      <c r="G471" s="120">
        <v>4.0721999999999994E-2</v>
      </c>
      <c r="H471" s="120">
        <v>5.9030000000000006E-2</v>
      </c>
      <c r="I471" s="121">
        <f t="shared" si="43"/>
        <v>4.4752043337420025E-5</v>
      </c>
      <c r="J471" s="121">
        <f t="shared" si="44"/>
        <v>6.4871890334657057E-5</v>
      </c>
      <c r="M471" s="6">
        <v>4.0721999999999996</v>
      </c>
      <c r="N471" s="6">
        <v>5.9030000000000005</v>
      </c>
      <c r="O471" s="6">
        <f t="shared" si="46"/>
        <v>4.0721999999999994E-2</v>
      </c>
      <c r="P471" s="6">
        <f t="shared" si="47"/>
        <v>5.9030000000000006E-2</v>
      </c>
    </row>
    <row r="472" spans="1:16" x14ac:dyDescent="0.25">
      <c r="A472" s="6" t="s">
        <v>1030</v>
      </c>
      <c r="B472" s="7" t="s">
        <v>1031</v>
      </c>
      <c r="C472" s="116">
        <v>273.05900000000003</v>
      </c>
      <c r="D472" s="117">
        <v>58.35</v>
      </c>
      <c r="E472" s="118">
        <f t="shared" si="42"/>
        <v>15932.992650000002</v>
      </c>
      <c r="F472" s="119">
        <f t="shared" si="45"/>
        <v>9.1716055203530655E-4</v>
      </c>
      <c r="G472" s="120">
        <v>4.3392999999999994E-2</v>
      </c>
      <c r="H472" s="120">
        <v>5.0650000000000001E-2</v>
      </c>
      <c r="I472" s="121">
        <f t="shared" si="43"/>
        <v>3.979834783446805E-5</v>
      </c>
      <c r="J472" s="121">
        <f t="shared" si="44"/>
        <v>4.6454181960588279E-5</v>
      </c>
      <c r="M472" s="6">
        <v>4.3392999999999997</v>
      </c>
      <c r="N472" s="6">
        <v>5.0650000000000004</v>
      </c>
      <c r="O472" s="6">
        <f t="shared" si="46"/>
        <v>4.3392999999999994E-2</v>
      </c>
      <c r="P472" s="6">
        <f t="shared" si="47"/>
        <v>5.0650000000000001E-2</v>
      </c>
    </row>
    <row r="473" spans="1:16" x14ac:dyDescent="0.25">
      <c r="A473" s="6" t="s">
        <v>495</v>
      </c>
      <c r="B473" s="7" t="s">
        <v>966</v>
      </c>
      <c r="C473" s="116">
        <v>296.62700000000001</v>
      </c>
      <c r="D473" s="117">
        <v>42.13</v>
      </c>
      <c r="E473" s="118">
        <f t="shared" si="42"/>
        <v>12496.89551</v>
      </c>
      <c r="F473" s="119">
        <f t="shared" si="45"/>
        <v>7.1936640130685942E-4</v>
      </c>
      <c r="G473" s="120">
        <v>5.9815000000000007E-2</v>
      </c>
      <c r="H473" s="120">
        <v>0.1245</v>
      </c>
      <c r="I473" s="121">
        <f t="shared" si="43"/>
        <v>4.3028901294169799E-5</v>
      </c>
      <c r="J473" s="121">
        <f t="shared" si="44"/>
        <v>8.9561116962703999E-5</v>
      </c>
      <c r="M473" s="6">
        <v>5.9815000000000005</v>
      </c>
      <c r="N473" s="6">
        <v>12.45</v>
      </c>
      <c r="O473" s="6">
        <f t="shared" si="46"/>
        <v>5.9815000000000007E-2</v>
      </c>
      <c r="P473" s="6">
        <f t="shared" si="47"/>
        <v>0.1245</v>
      </c>
    </row>
    <row r="474" spans="1:16" x14ac:dyDescent="0.25">
      <c r="A474" s="6" t="s">
        <v>1070</v>
      </c>
      <c r="B474" s="7" t="s">
        <v>1071</v>
      </c>
      <c r="C474" s="116">
        <v>250.40299999999999</v>
      </c>
      <c r="D474" s="117">
        <v>53.56</v>
      </c>
      <c r="E474" s="118">
        <f t="shared" si="42"/>
        <v>13411.58468</v>
      </c>
      <c r="F474" s="119">
        <f t="shared" si="45"/>
        <v>7.720192106394437E-4</v>
      </c>
      <c r="G474" s="120">
        <v>2.9872999999999997E-2</v>
      </c>
      <c r="H474" s="120">
        <v>7.306E-2</v>
      </c>
      <c r="I474" s="121">
        <f t="shared" si="43"/>
        <v>2.3062529879432101E-5</v>
      </c>
      <c r="J474" s="121">
        <f t="shared" si="44"/>
        <v>5.640372352931776E-5</v>
      </c>
      <c r="M474" s="6">
        <v>2.9872999999999998</v>
      </c>
      <c r="N474" s="6">
        <v>7.306</v>
      </c>
      <c r="O474" s="6">
        <f t="shared" si="46"/>
        <v>2.9872999999999997E-2</v>
      </c>
      <c r="P474" s="6">
        <f t="shared" si="47"/>
        <v>7.306E-2</v>
      </c>
    </row>
    <row r="475" spans="1:16" x14ac:dyDescent="0.25">
      <c r="A475" s="6" t="s">
        <v>552</v>
      </c>
      <c r="B475" s="7" t="s">
        <v>979</v>
      </c>
      <c r="C475" s="116">
        <v>288.07</v>
      </c>
      <c r="D475" s="117">
        <v>89.07</v>
      </c>
      <c r="E475" s="118">
        <f t="shared" si="42"/>
        <v>25658.394899999996</v>
      </c>
      <c r="F475" s="119">
        <f t="shared" si="45"/>
        <v>1.4769898002070494E-3</v>
      </c>
      <c r="G475" s="120">
        <v>2.2454000000000002E-2</v>
      </c>
      <c r="H475" s="120">
        <v>0.13692000000000001</v>
      </c>
      <c r="I475" s="121">
        <f t="shared" si="43"/>
        <v>3.3164328973849094E-5</v>
      </c>
      <c r="J475" s="121">
        <f t="shared" si="44"/>
        <v>2.0222944344434922E-4</v>
      </c>
      <c r="M475" s="6">
        <v>2.2454000000000001</v>
      </c>
      <c r="N475" s="6">
        <v>13.692</v>
      </c>
      <c r="O475" s="6">
        <f t="shared" si="46"/>
        <v>2.2454000000000002E-2</v>
      </c>
      <c r="P475" s="6">
        <f t="shared" si="47"/>
        <v>0.13692000000000001</v>
      </c>
    </row>
    <row r="476" spans="1:16" x14ac:dyDescent="0.25">
      <c r="A476" s="6" t="s">
        <v>1188</v>
      </c>
      <c r="B476" s="7" t="s">
        <v>1189</v>
      </c>
      <c r="C476" s="116">
        <v>254.036</v>
      </c>
      <c r="D476" s="117">
        <v>49.53</v>
      </c>
      <c r="E476" s="118">
        <f t="shared" si="42"/>
        <v>12582.40308</v>
      </c>
      <c r="F476" s="119">
        <f t="shared" si="45"/>
        <v>7.242885255949415E-4</v>
      </c>
      <c r="G476" s="120">
        <v>1.5344E-2</v>
      </c>
      <c r="H476" s="120">
        <v>9.0239999999999987E-2</v>
      </c>
      <c r="I476" s="121">
        <f t="shared" si="43"/>
        <v>1.1113483136728783E-5</v>
      </c>
      <c r="J476" s="121">
        <f t="shared" si="44"/>
        <v>6.5359796549687506E-5</v>
      </c>
      <c r="M476" s="6">
        <v>1.5344</v>
      </c>
      <c r="N476" s="6">
        <v>9.0239999999999991</v>
      </c>
      <c r="O476" s="6">
        <f t="shared" si="46"/>
        <v>1.5344E-2</v>
      </c>
      <c r="P476" s="6">
        <f t="shared" si="47"/>
        <v>9.0239999999999987E-2</v>
      </c>
    </row>
    <row r="477" spans="1:16" x14ac:dyDescent="0.25">
      <c r="A477" s="6" t="s">
        <v>1190</v>
      </c>
      <c r="B477" s="7" t="s">
        <v>1191</v>
      </c>
      <c r="C477" s="116">
        <v>72.173000000000002</v>
      </c>
      <c r="D477" s="117">
        <v>130.88999999999999</v>
      </c>
      <c r="E477" s="118">
        <f t="shared" si="42"/>
        <v>9446.7239699999991</v>
      </c>
      <c r="F477" s="119">
        <f t="shared" si="45"/>
        <v>5.4378752074867498E-4</v>
      </c>
      <c r="G477" s="120">
        <v>2.9949E-2</v>
      </c>
      <c r="H477" s="120">
        <v>6.2640000000000001E-2</v>
      </c>
      <c r="I477" s="121">
        <f t="shared" si="43"/>
        <v>1.6285892458902065E-5</v>
      </c>
      <c r="J477" s="121">
        <f t="shared" si="44"/>
        <v>3.4062850299697E-5</v>
      </c>
      <c r="M477" s="6">
        <v>2.9948999999999999</v>
      </c>
      <c r="N477" s="6">
        <v>6.2640000000000002</v>
      </c>
      <c r="O477" s="6">
        <f t="shared" si="46"/>
        <v>2.9949E-2</v>
      </c>
      <c r="P477" s="6">
        <f t="shared" si="47"/>
        <v>6.2640000000000001E-2</v>
      </c>
    </row>
    <row r="478" spans="1:16" x14ac:dyDescent="0.25">
      <c r="A478" s="6" t="s">
        <v>528</v>
      </c>
      <c r="B478" s="7" t="s">
        <v>1094</v>
      </c>
      <c r="C478" s="116">
        <v>798.52099999999996</v>
      </c>
      <c r="D478" s="117">
        <v>29.86</v>
      </c>
      <c r="E478" s="118">
        <f t="shared" si="42"/>
        <v>23843.837059999998</v>
      </c>
      <c r="F478" s="119">
        <f t="shared" si="45"/>
        <v>1.3725373030024899E-3</v>
      </c>
      <c r="G478" s="120">
        <v>1.2056000000000001E-2</v>
      </c>
      <c r="H478" s="120">
        <v>9.8369999999999999E-2</v>
      </c>
      <c r="I478" s="121">
        <f t="shared" si="43"/>
        <v>1.6547309724998018E-5</v>
      </c>
      <c r="J478" s="121">
        <f t="shared" si="44"/>
        <v>1.3501649449635492E-4</v>
      </c>
      <c r="M478" s="6">
        <v>1.2056</v>
      </c>
      <c r="N478" s="6">
        <v>9.8369999999999997</v>
      </c>
      <c r="O478" s="6">
        <f t="shared" si="46"/>
        <v>1.2056000000000001E-2</v>
      </c>
      <c r="P478" s="6">
        <f t="shared" si="47"/>
        <v>9.8369999999999999E-2</v>
      </c>
    </row>
    <row r="479" spans="1:16" x14ac:dyDescent="0.25">
      <c r="A479" s="6" t="s">
        <v>1192</v>
      </c>
      <c r="B479" s="7" t="s">
        <v>1193</v>
      </c>
      <c r="C479" s="116">
        <v>227.82300000000001</v>
      </c>
      <c r="D479" s="117">
        <v>39.32</v>
      </c>
      <c r="E479" s="118">
        <f t="shared" si="42"/>
        <v>8958.00036</v>
      </c>
      <c r="F479" s="119">
        <f t="shared" si="45"/>
        <v>5.1565482617040395E-4</v>
      </c>
      <c r="G479" s="120">
        <v>3.2044999999999997E-2</v>
      </c>
      <c r="H479" s="120">
        <v>6.4000000000000001E-2</v>
      </c>
      <c r="I479" s="121">
        <f t="shared" si="43"/>
        <v>1.6524158904630593E-5</v>
      </c>
      <c r="J479" s="121">
        <f t="shared" si="44"/>
        <v>3.3001908874905856E-5</v>
      </c>
      <c r="M479" s="6">
        <v>3.2044999999999999</v>
      </c>
      <c r="N479" s="6">
        <v>6.4</v>
      </c>
      <c r="O479" s="6">
        <f t="shared" si="46"/>
        <v>3.2044999999999997E-2</v>
      </c>
      <c r="P479" s="6">
        <f t="shared" si="47"/>
        <v>6.4000000000000001E-2</v>
      </c>
    </row>
    <row r="480" spans="1:16" x14ac:dyDescent="0.25">
      <c r="A480" s="6" t="s">
        <v>1072</v>
      </c>
      <c r="B480" s="7" t="s">
        <v>1073</v>
      </c>
      <c r="C480" s="116">
        <v>109.983</v>
      </c>
      <c r="D480" s="117">
        <v>89.66</v>
      </c>
      <c r="E480" s="118">
        <f t="shared" si="42"/>
        <v>9861.0757799999992</v>
      </c>
      <c r="F480" s="119">
        <f t="shared" si="45"/>
        <v>5.6763910614411714E-4</v>
      </c>
      <c r="G480" s="120">
        <v>1.0260999999999999E-2</v>
      </c>
      <c r="H480" s="120">
        <v>0.13425000000000001</v>
      </c>
      <c r="I480" s="121">
        <f t="shared" si="43"/>
        <v>5.8245448681447855E-6</v>
      </c>
      <c r="J480" s="121">
        <f t="shared" si="44"/>
        <v>7.6205549999847728E-5</v>
      </c>
      <c r="M480" s="6">
        <v>1.0261</v>
      </c>
      <c r="N480" s="6">
        <v>13.425000000000001</v>
      </c>
      <c r="O480" s="6">
        <f t="shared" si="46"/>
        <v>1.0260999999999999E-2</v>
      </c>
      <c r="P480" s="6">
        <f t="shared" si="47"/>
        <v>0.13425000000000001</v>
      </c>
    </row>
    <row r="481" spans="1:16" x14ac:dyDescent="0.25">
      <c r="A481" s="6" t="s">
        <v>388</v>
      </c>
      <c r="B481" s="7" t="s">
        <v>942</v>
      </c>
      <c r="C481" s="116">
        <v>161.31200000000001</v>
      </c>
      <c r="D481" s="117">
        <v>144.85</v>
      </c>
      <c r="E481" s="118">
        <f t="shared" si="42"/>
        <v>23366.0432</v>
      </c>
      <c r="F481" s="119">
        <f t="shared" si="45"/>
        <v>1.3450337642748375E-3</v>
      </c>
      <c r="G481" s="120">
        <v>1.2426999999999999E-2</v>
      </c>
      <c r="H481" s="120">
        <v>0.1174</v>
      </c>
      <c r="I481" s="121">
        <f t="shared" si="43"/>
        <v>1.6714734588643403E-5</v>
      </c>
      <c r="J481" s="121">
        <f t="shared" si="44"/>
        <v>1.5790696392586591E-4</v>
      </c>
      <c r="M481" s="6">
        <v>1.2426999999999999</v>
      </c>
      <c r="N481" s="6">
        <v>11.74</v>
      </c>
      <c r="O481" s="6">
        <f t="shared" si="46"/>
        <v>1.2426999999999999E-2</v>
      </c>
      <c r="P481" s="6">
        <f t="shared" si="47"/>
        <v>0.1174</v>
      </c>
    </row>
    <row r="482" spans="1:16" x14ac:dyDescent="0.25">
      <c r="A482" s="6" t="s">
        <v>415</v>
      </c>
      <c r="B482" s="7" t="s">
        <v>767</v>
      </c>
      <c r="C482" s="116">
        <v>74.302000000000007</v>
      </c>
      <c r="D482" s="117">
        <v>234.79</v>
      </c>
      <c r="E482" s="118">
        <f t="shared" si="42"/>
        <v>17445.366580000002</v>
      </c>
      <c r="F482" s="119">
        <f t="shared" si="45"/>
        <v>0</v>
      </c>
      <c r="G482" s="120" t="s">
        <v>996</v>
      </c>
      <c r="H482" s="120">
        <v>7.0050000000000001E-2</v>
      </c>
      <c r="I482" s="121" t="str">
        <f t="shared" si="43"/>
        <v>n/a</v>
      </c>
      <c r="J482" s="121">
        <f t="shared" si="44"/>
        <v>0</v>
      </c>
      <c r="M482" s="6" t="s">
        <v>996</v>
      </c>
      <c r="N482" s="6">
        <v>7.0049999999999999</v>
      </c>
      <c r="O482" s="6" t="str">
        <f t="shared" si="46"/>
        <v>n/a</v>
      </c>
      <c r="P482" s="6">
        <f t="shared" si="47"/>
        <v>7.0050000000000001E-2</v>
      </c>
    </row>
    <row r="483" spans="1:16" x14ac:dyDescent="0.25">
      <c r="A483" s="6" t="s">
        <v>451</v>
      </c>
      <c r="B483" s="7" t="s">
        <v>792</v>
      </c>
      <c r="C483" s="116">
        <v>182.245</v>
      </c>
      <c r="D483" s="117">
        <v>64.510000000000005</v>
      </c>
      <c r="E483" s="118">
        <f t="shared" si="42"/>
        <v>11756.624950000001</v>
      </c>
      <c r="F483" s="119">
        <f t="shared" si="45"/>
        <v>6.7675375656525249E-4</v>
      </c>
      <c r="G483" s="120">
        <v>2.1391999999999998E-2</v>
      </c>
      <c r="H483" s="120">
        <v>5.9549999999999999E-2</v>
      </c>
      <c r="I483" s="121">
        <f t="shared" si="43"/>
        <v>1.4477116360443879E-5</v>
      </c>
      <c r="J483" s="121">
        <f t="shared" si="44"/>
        <v>4.0300686203460784E-5</v>
      </c>
      <c r="M483" s="6">
        <v>2.1391999999999998</v>
      </c>
      <c r="N483" s="6">
        <v>5.9550000000000001</v>
      </c>
      <c r="O483" s="6">
        <f t="shared" si="46"/>
        <v>2.1391999999999998E-2</v>
      </c>
      <c r="P483" s="6">
        <f t="shared" si="47"/>
        <v>5.9549999999999999E-2</v>
      </c>
    </row>
    <row r="484" spans="1:16" x14ac:dyDescent="0.25">
      <c r="A484" s="6" t="s">
        <v>541</v>
      </c>
      <c r="B484" s="7" t="s">
        <v>977</v>
      </c>
      <c r="C484" s="116">
        <v>249.04300000000001</v>
      </c>
      <c r="D484" s="117">
        <v>118.3</v>
      </c>
      <c r="E484" s="118">
        <f t="shared" si="42"/>
        <v>29461.786899999999</v>
      </c>
      <c r="F484" s="119">
        <f t="shared" si="45"/>
        <v>0</v>
      </c>
      <c r="G484" s="120" t="s">
        <v>996</v>
      </c>
      <c r="H484" s="120">
        <v>0.74907999999999997</v>
      </c>
      <c r="I484" s="121" t="str">
        <f t="shared" si="43"/>
        <v>n/a</v>
      </c>
      <c r="J484" s="121">
        <f t="shared" si="44"/>
        <v>0</v>
      </c>
      <c r="M484" s="6" t="s">
        <v>996</v>
      </c>
      <c r="N484" s="6">
        <v>74.908000000000001</v>
      </c>
      <c r="O484" s="6" t="str">
        <f t="shared" si="46"/>
        <v>n/a</v>
      </c>
      <c r="P484" s="6">
        <f t="shared" si="47"/>
        <v>0.74907999999999997</v>
      </c>
    </row>
    <row r="485" spans="1:16" x14ac:dyDescent="0.25">
      <c r="A485" s="6" t="s">
        <v>321</v>
      </c>
      <c r="B485" s="7" t="s">
        <v>926</v>
      </c>
      <c r="C485" s="116">
        <v>2363.7370000000001</v>
      </c>
      <c r="D485" s="117">
        <v>150.25</v>
      </c>
      <c r="E485" s="118">
        <f t="shared" si="42"/>
        <v>355151.48425000004</v>
      </c>
      <c r="F485" s="119">
        <f t="shared" si="45"/>
        <v>0</v>
      </c>
      <c r="G485" s="120" t="s">
        <v>996</v>
      </c>
      <c r="H485" s="120">
        <v>0.25041000000000002</v>
      </c>
      <c r="I485" s="121" t="str">
        <f t="shared" si="43"/>
        <v>n/a</v>
      </c>
      <c r="J485" s="121">
        <f t="shared" si="44"/>
        <v>0</v>
      </c>
      <c r="M485" s="6" t="s">
        <v>996</v>
      </c>
      <c r="N485" s="6">
        <v>25.041</v>
      </c>
      <c r="O485" s="6" t="str">
        <f t="shared" si="46"/>
        <v>n/a</v>
      </c>
      <c r="P485" s="6">
        <f t="shared" si="47"/>
        <v>0.25041000000000002</v>
      </c>
    </row>
    <row r="486" spans="1:16" x14ac:dyDescent="0.25">
      <c r="A486" s="6" t="s">
        <v>1000</v>
      </c>
      <c r="B486" s="7" t="s">
        <v>1003</v>
      </c>
      <c r="C486" s="116">
        <v>84.513000000000005</v>
      </c>
      <c r="D486" s="117">
        <v>109.66</v>
      </c>
      <c r="E486" s="118">
        <f t="shared" si="42"/>
        <v>9267.6955799999996</v>
      </c>
      <c r="F486" s="119">
        <f t="shared" si="45"/>
        <v>0</v>
      </c>
      <c r="G486" s="120" t="s">
        <v>996</v>
      </c>
      <c r="H486" s="120">
        <v>0.15173</v>
      </c>
      <c r="I486" s="121" t="str">
        <f t="shared" si="43"/>
        <v>n/a</v>
      </c>
      <c r="J486" s="121">
        <f t="shared" si="44"/>
        <v>0</v>
      </c>
      <c r="M486" s="6" t="s">
        <v>996</v>
      </c>
      <c r="N486" s="6">
        <v>15.173</v>
      </c>
      <c r="O486" s="6" t="str">
        <f t="shared" si="46"/>
        <v>n/a</v>
      </c>
      <c r="P486" s="6">
        <f t="shared" si="47"/>
        <v>0.15173</v>
      </c>
    </row>
    <row r="487" spans="1:16" x14ac:dyDescent="0.25">
      <c r="A487" s="6" t="s">
        <v>1356</v>
      </c>
      <c r="B487" s="7" t="s">
        <v>1357</v>
      </c>
      <c r="C487" s="116">
        <v>91.072999999999993</v>
      </c>
      <c r="D487" s="117">
        <v>112.51</v>
      </c>
      <c r="E487" s="118">
        <f t="shared" si="42"/>
        <v>10246.623229999999</v>
      </c>
      <c r="F487" s="119">
        <f t="shared" si="45"/>
        <v>5.8983260863580418E-4</v>
      </c>
      <c r="G487" s="120">
        <v>2.9508E-2</v>
      </c>
      <c r="H487" s="120">
        <v>6.9699999999999998E-2</v>
      </c>
      <c r="I487" s="121">
        <f t="shared" si="43"/>
        <v>1.740478061562531E-5</v>
      </c>
      <c r="J487" s="121">
        <f t="shared" si="44"/>
        <v>4.1111332821915549E-5</v>
      </c>
      <c r="M487" s="6">
        <v>2.9508000000000001</v>
      </c>
      <c r="N487" s="6">
        <v>6.97</v>
      </c>
      <c r="O487" s="6">
        <f t="shared" si="46"/>
        <v>2.9508E-2</v>
      </c>
      <c r="P487" s="6">
        <f t="shared" si="47"/>
        <v>6.9699999999999998E-2</v>
      </c>
    </row>
    <row r="488" spans="1:16" x14ac:dyDescent="0.25">
      <c r="A488" s="6" t="s">
        <v>1095</v>
      </c>
      <c r="B488" s="7" t="s">
        <v>1096</v>
      </c>
      <c r="C488" s="116">
        <v>314.51900000000001</v>
      </c>
      <c r="D488" s="117">
        <v>70.209999999999994</v>
      </c>
      <c r="E488" s="118">
        <f t="shared" si="42"/>
        <v>22082.378989999997</v>
      </c>
      <c r="F488" s="119">
        <f t="shared" si="45"/>
        <v>0</v>
      </c>
      <c r="G488" s="120" t="s">
        <v>996</v>
      </c>
      <c r="H488" s="120">
        <v>1.9E-2</v>
      </c>
      <c r="I488" s="121" t="str">
        <f t="shared" si="43"/>
        <v>n/a</v>
      </c>
      <c r="J488" s="121">
        <f t="shared" si="44"/>
        <v>0</v>
      </c>
      <c r="M488" s="6" t="s">
        <v>996</v>
      </c>
      <c r="N488" s="6">
        <v>1.9</v>
      </c>
      <c r="O488" s="6" t="str">
        <f t="shared" si="46"/>
        <v>n/a</v>
      </c>
      <c r="P488" s="6">
        <f t="shared" si="47"/>
        <v>1.9E-2</v>
      </c>
    </row>
    <row r="489" spans="1:16" x14ac:dyDescent="0.25">
      <c r="A489" s="6" t="s">
        <v>284</v>
      </c>
      <c r="B489" s="7" t="s">
        <v>656</v>
      </c>
      <c r="C489" s="116">
        <v>735.53</v>
      </c>
      <c r="D489" s="117">
        <v>45.44</v>
      </c>
      <c r="E489" s="118">
        <f t="shared" si="42"/>
        <v>33422.483199999995</v>
      </c>
      <c r="F489" s="119">
        <f t="shared" si="45"/>
        <v>1.923918739904945E-3</v>
      </c>
      <c r="G489" s="120">
        <v>1.7825999999999998E-2</v>
      </c>
      <c r="H489" s="120">
        <v>0.11442999999999999</v>
      </c>
      <c r="I489" s="121">
        <f t="shared" si="43"/>
        <v>3.4295775457545544E-5</v>
      </c>
      <c r="J489" s="121">
        <f t="shared" si="44"/>
        <v>2.2015402140732285E-4</v>
      </c>
      <c r="M489" s="6">
        <v>1.7826</v>
      </c>
      <c r="N489" s="6">
        <v>11.443</v>
      </c>
      <c r="O489" s="6">
        <f t="shared" si="46"/>
        <v>1.7825999999999998E-2</v>
      </c>
      <c r="P489" s="6">
        <f t="shared" si="47"/>
        <v>0.11442999999999999</v>
      </c>
    </row>
    <row r="490" spans="1:16" x14ac:dyDescent="0.25">
      <c r="A490" s="6" t="s">
        <v>426</v>
      </c>
      <c r="B490" s="7" t="s">
        <v>951</v>
      </c>
      <c r="C490" s="116">
        <v>284.94099999999997</v>
      </c>
      <c r="D490" s="117">
        <v>15.2</v>
      </c>
      <c r="E490" s="118">
        <f t="shared" si="42"/>
        <v>4331.1031999999996</v>
      </c>
      <c r="F490" s="119">
        <f t="shared" si="45"/>
        <v>2.4931392922182023E-4</v>
      </c>
      <c r="G490" s="120">
        <v>4.2104999999999997E-2</v>
      </c>
      <c r="H490" s="120">
        <v>0.08</v>
      </c>
      <c r="I490" s="121">
        <f t="shared" si="43"/>
        <v>1.049736298988474E-5</v>
      </c>
      <c r="J490" s="121">
        <f t="shared" si="44"/>
        <v>1.9945114337745621E-5</v>
      </c>
      <c r="M490" s="6">
        <v>4.2104999999999997</v>
      </c>
      <c r="N490" s="6">
        <v>8</v>
      </c>
      <c r="O490" s="6">
        <f t="shared" si="46"/>
        <v>4.2104999999999997E-2</v>
      </c>
      <c r="P490" s="6">
        <f t="shared" si="47"/>
        <v>0.08</v>
      </c>
    </row>
    <row r="491" spans="1:16" x14ac:dyDescent="0.25">
      <c r="A491" s="6" t="s">
        <v>991</v>
      </c>
      <c r="B491" s="7" t="s">
        <v>992</v>
      </c>
      <c r="C491" s="116">
        <v>104.69499999999999</v>
      </c>
      <c r="D491" s="117">
        <v>46.92</v>
      </c>
      <c r="E491" s="118">
        <f t="shared" si="42"/>
        <v>4912.2893999999997</v>
      </c>
      <c r="F491" s="119">
        <f t="shared" si="45"/>
        <v>0</v>
      </c>
      <c r="G491" s="120" t="s">
        <v>996</v>
      </c>
      <c r="H491" s="120">
        <v>6.3329999999999997E-2</v>
      </c>
      <c r="I491" s="121" t="str">
        <f t="shared" si="43"/>
        <v>n/a</v>
      </c>
      <c r="J491" s="121">
        <f t="shared" si="44"/>
        <v>0</v>
      </c>
      <c r="M491" s="6" t="s">
        <v>996</v>
      </c>
      <c r="N491" s="6">
        <v>6.3330000000000002</v>
      </c>
      <c r="O491" s="6" t="str">
        <f t="shared" si="46"/>
        <v>n/a</v>
      </c>
      <c r="P491" s="6">
        <f t="shared" si="47"/>
        <v>6.3329999999999997E-2</v>
      </c>
    </row>
    <row r="492" spans="1:16" x14ac:dyDescent="0.25">
      <c r="A492" s="6" t="s">
        <v>431</v>
      </c>
      <c r="B492" s="7" t="s">
        <v>1097</v>
      </c>
      <c r="C492" s="116">
        <v>199.63</v>
      </c>
      <c r="D492" s="117">
        <v>13</v>
      </c>
      <c r="E492" s="118">
        <f t="shared" si="42"/>
        <v>2595.19</v>
      </c>
      <c r="F492" s="119">
        <f t="shared" si="45"/>
        <v>1.493885012892733E-4</v>
      </c>
      <c r="G492" s="120">
        <v>1.5384999999999999E-2</v>
      </c>
      <c r="H492" s="120">
        <v>0.10733000000000001</v>
      </c>
      <c r="I492" s="121">
        <f t="shared" si="43"/>
        <v>2.2983420923354698E-6</v>
      </c>
      <c r="J492" s="121">
        <f t="shared" si="44"/>
        <v>1.6033867843377704E-5</v>
      </c>
      <c r="M492" s="6">
        <v>1.5385</v>
      </c>
      <c r="N492" s="6">
        <v>10.733000000000001</v>
      </c>
      <c r="O492" s="6">
        <f t="shared" si="46"/>
        <v>1.5384999999999999E-2</v>
      </c>
      <c r="P492" s="6">
        <f t="shared" si="47"/>
        <v>0.10733000000000001</v>
      </c>
    </row>
    <row r="493" spans="1:16" x14ac:dyDescent="0.25">
      <c r="A493" s="6" t="s">
        <v>1194</v>
      </c>
      <c r="B493" s="7" t="s">
        <v>1195</v>
      </c>
      <c r="C493" s="116">
        <v>172.27799999999999</v>
      </c>
      <c r="D493" s="117">
        <v>74.400000000000006</v>
      </c>
      <c r="E493" s="118">
        <f t="shared" si="42"/>
        <v>12817.483200000001</v>
      </c>
      <c r="F493" s="119">
        <f t="shared" si="45"/>
        <v>0</v>
      </c>
      <c r="G493" s="120" t="s">
        <v>996</v>
      </c>
      <c r="H493" s="120">
        <v>0.13222</v>
      </c>
      <c r="I493" s="121" t="str">
        <f t="shared" si="43"/>
        <v>n/a</v>
      </c>
      <c r="J493" s="121">
        <f t="shared" si="44"/>
        <v>0</v>
      </c>
      <c r="M493" s="6" t="s">
        <v>996</v>
      </c>
      <c r="N493" s="6">
        <v>13.222</v>
      </c>
      <c r="O493" s="6" t="str">
        <f t="shared" si="46"/>
        <v>n/a</v>
      </c>
      <c r="P493" s="6">
        <f t="shared" si="47"/>
        <v>0.13222</v>
      </c>
    </row>
    <row r="494" spans="1:16" x14ac:dyDescent="0.25">
      <c r="A494" s="6" t="s">
        <v>1358</v>
      </c>
      <c r="B494" s="7" t="s">
        <v>1359</v>
      </c>
      <c r="C494" s="116">
        <v>169.83799999999999</v>
      </c>
      <c r="D494" s="117">
        <v>63.18</v>
      </c>
      <c r="E494" s="118">
        <f t="shared" si="42"/>
        <v>10730.36484</v>
      </c>
      <c r="F494" s="119">
        <f t="shared" si="45"/>
        <v>6.1767852131624763E-4</v>
      </c>
      <c r="G494" s="120">
        <v>3.2288999999999998E-2</v>
      </c>
      <c r="H494" s="120">
        <v>8.5699999999999998E-2</v>
      </c>
      <c r="I494" s="121">
        <f t="shared" si="43"/>
        <v>1.9944221774780317E-5</v>
      </c>
      <c r="J494" s="121">
        <f t="shared" si="44"/>
        <v>5.293504927680242E-5</v>
      </c>
      <c r="M494" s="6">
        <v>3.2288999999999999</v>
      </c>
      <c r="N494" s="6">
        <v>8.57</v>
      </c>
      <c r="O494" s="6">
        <f t="shared" si="46"/>
        <v>3.2288999999999998E-2</v>
      </c>
      <c r="P494" s="6">
        <f t="shared" si="47"/>
        <v>8.5699999999999998E-2</v>
      </c>
    </row>
    <row r="495" spans="1:16" x14ac:dyDescent="0.25">
      <c r="A495" s="6" t="s">
        <v>398</v>
      </c>
      <c r="B495" s="7" t="s">
        <v>752</v>
      </c>
      <c r="C495" s="116">
        <v>142.38200000000001</v>
      </c>
      <c r="D495" s="117">
        <v>62.43</v>
      </c>
      <c r="E495" s="118">
        <f t="shared" si="42"/>
        <v>8888.9082600000002</v>
      </c>
      <c r="F495" s="119">
        <f t="shared" si="45"/>
        <v>5.1167763557166993E-4</v>
      </c>
      <c r="G495" s="120">
        <v>4.5491000000000004E-2</v>
      </c>
      <c r="H495" s="120">
        <v>8.5079999999999989E-2</v>
      </c>
      <c r="I495" s="121">
        <f t="shared" si="43"/>
        <v>2.3276727319790839E-5</v>
      </c>
      <c r="J495" s="121">
        <f t="shared" si="44"/>
        <v>4.3533533234437676E-5</v>
      </c>
      <c r="M495" s="6">
        <v>4.5491000000000001</v>
      </c>
      <c r="N495" s="6">
        <v>8.5079999999999991</v>
      </c>
      <c r="O495" s="6">
        <f t="shared" si="46"/>
        <v>4.5491000000000004E-2</v>
      </c>
      <c r="P495" s="6">
        <f t="shared" si="47"/>
        <v>8.5079999999999989E-2</v>
      </c>
    </row>
    <row r="496" spans="1:16" x14ac:dyDescent="0.25">
      <c r="A496" s="6" t="s">
        <v>993</v>
      </c>
      <c r="B496" s="7" t="s">
        <v>994</v>
      </c>
      <c r="C496" s="116">
        <v>62.631</v>
      </c>
      <c r="D496" s="117">
        <v>220.19</v>
      </c>
      <c r="E496" s="118">
        <f t="shared" si="42"/>
        <v>13790.71989</v>
      </c>
      <c r="F496" s="119">
        <f t="shared" si="45"/>
        <v>7.9384360145780145E-4</v>
      </c>
      <c r="G496" s="120">
        <v>7.6300000000000005E-3</v>
      </c>
      <c r="H496" s="122">
        <v>0.22905999999999999</v>
      </c>
      <c r="I496" s="121">
        <f t="shared" si="43"/>
        <v>6.0570266791230253E-6</v>
      </c>
      <c r="J496" s="121">
        <f t="shared" si="44"/>
        <v>1.8183781534992398E-4</v>
      </c>
      <c r="M496" s="6">
        <v>0.76300000000000001</v>
      </c>
      <c r="N496" s="6">
        <v>22.905999999999999</v>
      </c>
      <c r="O496" s="6">
        <f t="shared" si="46"/>
        <v>7.6300000000000005E-3</v>
      </c>
      <c r="P496" s="6">
        <f t="shared" si="47"/>
        <v>0.22905999999999999</v>
      </c>
    </row>
    <row r="497" spans="1:16" x14ac:dyDescent="0.25">
      <c r="A497" s="6" t="s">
        <v>1196</v>
      </c>
      <c r="B497" s="7" t="s">
        <v>1197</v>
      </c>
      <c r="C497" s="116">
        <v>117.52200000000001</v>
      </c>
      <c r="D497" s="117">
        <v>56.03</v>
      </c>
      <c r="E497" s="118">
        <f t="shared" si="42"/>
        <v>6584.7576600000002</v>
      </c>
      <c r="F497" s="119">
        <f t="shared" si="45"/>
        <v>0</v>
      </c>
      <c r="G497" s="120" t="s">
        <v>996</v>
      </c>
      <c r="H497" s="120">
        <v>9.9900000000000003E-2</v>
      </c>
      <c r="I497" s="121" t="str">
        <f t="shared" si="43"/>
        <v>n/a</v>
      </c>
      <c r="J497" s="121">
        <f t="shared" si="44"/>
        <v>0</v>
      </c>
      <c r="M497" s="6" t="s">
        <v>996</v>
      </c>
      <c r="N497" s="6">
        <v>9.99</v>
      </c>
      <c r="O497" s="6" t="str">
        <f t="shared" si="46"/>
        <v>n/a</v>
      </c>
      <c r="P497" s="6">
        <f t="shared" si="47"/>
        <v>9.9900000000000003E-2</v>
      </c>
    </row>
    <row r="498" spans="1:16" x14ac:dyDescent="0.25">
      <c r="A498" s="6" t="s">
        <v>1074</v>
      </c>
      <c r="B498" s="7" t="s">
        <v>1075</v>
      </c>
      <c r="C498" s="116">
        <v>1201.258</v>
      </c>
      <c r="D498" s="117">
        <v>47.72</v>
      </c>
      <c r="E498" s="118">
        <f t="shared" si="42"/>
        <v>57324.031759999998</v>
      </c>
      <c r="F498" s="119">
        <f t="shared" si="45"/>
        <v>0</v>
      </c>
      <c r="G498" s="120" t="s">
        <v>996</v>
      </c>
      <c r="H498" s="120">
        <v>0.17582999999999999</v>
      </c>
      <c r="I498" s="121" t="str">
        <f t="shared" si="43"/>
        <v>n/a</v>
      </c>
      <c r="J498" s="121">
        <f t="shared" si="44"/>
        <v>0</v>
      </c>
      <c r="M498" s="6" t="s">
        <v>996</v>
      </c>
      <c r="N498" s="6">
        <v>17.582999999999998</v>
      </c>
      <c r="O498" s="6" t="str">
        <f t="shared" si="46"/>
        <v>n/a</v>
      </c>
      <c r="P498" s="6">
        <f t="shared" si="47"/>
        <v>0.17582999999999999</v>
      </c>
    </row>
    <row r="499" spans="1:16" x14ac:dyDescent="0.25">
      <c r="A499" s="6" t="s">
        <v>1198</v>
      </c>
      <c r="B499" s="7" t="s">
        <v>1199</v>
      </c>
      <c r="C499" s="116">
        <v>747.11800000000005</v>
      </c>
      <c r="D499" s="117">
        <v>17.850000000000001</v>
      </c>
      <c r="E499" s="118">
        <f t="shared" si="42"/>
        <v>13336.056300000002</v>
      </c>
      <c r="F499" s="119">
        <f t="shared" si="45"/>
        <v>7.6767152453823093E-4</v>
      </c>
      <c r="G499" s="120">
        <v>2.8010999999999998E-2</v>
      </c>
      <c r="H499" s="120">
        <v>1.89E-2</v>
      </c>
      <c r="I499" s="121">
        <f t="shared" si="43"/>
        <v>2.1503247073840385E-5</v>
      </c>
      <c r="J499" s="121">
        <f t="shared" si="44"/>
        <v>1.4508991813772565E-5</v>
      </c>
      <c r="M499" s="6">
        <v>2.8010999999999999</v>
      </c>
      <c r="N499" s="6">
        <v>1.8900000000000001</v>
      </c>
      <c r="O499" s="6">
        <f t="shared" si="46"/>
        <v>2.8010999999999998E-2</v>
      </c>
      <c r="P499" s="6">
        <f t="shared" si="47"/>
        <v>1.89E-2</v>
      </c>
    </row>
    <row r="500" spans="1:16" x14ac:dyDescent="0.25">
      <c r="A500" s="6" t="s">
        <v>1360</v>
      </c>
      <c r="B500" s="7" t="s">
        <v>1361</v>
      </c>
      <c r="C500" s="116">
        <v>226.95</v>
      </c>
      <c r="D500" s="117">
        <v>64.44</v>
      </c>
      <c r="E500" s="118">
        <f t="shared" si="42"/>
        <v>14624.657999999999</v>
      </c>
      <c r="F500" s="119">
        <f t="shared" si="45"/>
        <v>0</v>
      </c>
      <c r="G500" s="120" t="s">
        <v>996</v>
      </c>
      <c r="H500" s="120">
        <v>2.9870000000000001E-2</v>
      </c>
      <c r="I500" s="121" t="str">
        <f t="shared" si="43"/>
        <v>n/a</v>
      </c>
      <c r="J500" s="121">
        <f t="shared" si="44"/>
        <v>0</v>
      </c>
      <c r="M500" s="6" t="s">
        <v>996</v>
      </c>
      <c r="N500" s="6">
        <v>2.9870000000000001</v>
      </c>
      <c r="O500" s="6" t="str">
        <f t="shared" si="46"/>
        <v>n/a</v>
      </c>
      <c r="P500" s="6">
        <f t="shared" si="47"/>
        <v>2.9870000000000001E-2</v>
      </c>
    </row>
    <row r="501" spans="1:16" x14ac:dyDescent="0.25">
      <c r="A501" s="6" t="s">
        <v>188</v>
      </c>
      <c r="B501" s="7" t="s">
        <v>894</v>
      </c>
      <c r="C501" s="116">
        <v>224.55699999999999</v>
      </c>
      <c r="D501" s="117">
        <v>127.78</v>
      </c>
      <c r="E501" s="118">
        <f t="shared" si="42"/>
        <v>28693.893459999999</v>
      </c>
      <c r="F501" s="119">
        <f t="shared" si="45"/>
        <v>0</v>
      </c>
      <c r="G501" s="120" t="s">
        <v>996</v>
      </c>
      <c r="H501" s="120">
        <v>0.21765999999999999</v>
      </c>
      <c r="I501" s="121" t="str">
        <f t="shared" si="43"/>
        <v>n/a</v>
      </c>
      <c r="J501" s="121">
        <f t="shared" si="44"/>
        <v>0</v>
      </c>
      <c r="M501" s="6" t="s">
        <v>996</v>
      </c>
      <c r="N501" s="6">
        <v>21.765999999999998</v>
      </c>
      <c r="O501" s="6" t="str">
        <f t="shared" si="46"/>
        <v>n/a</v>
      </c>
      <c r="P501" s="6">
        <f t="shared" si="47"/>
        <v>0.21765999999999999</v>
      </c>
    </row>
    <row r="502" spans="1:16" x14ac:dyDescent="0.25">
      <c r="A502" s="6" t="s">
        <v>431</v>
      </c>
      <c r="B502" s="7" t="s">
        <v>954</v>
      </c>
      <c r="C502" s="116">
        <v>381.86099999999999</v>
      </c>
      <c r="D502" s="117">
        <v>12.72</v>
      </c>
      <c r="E502" s="118">
        <f t="shared" si="42"/>
        <v>4857.2719200000001</v>
      </c>
      <c r="F502" s="119">
        <f t="shared" si="45"/>
        <v>2.7960209945447964E-4</v>
      </c>
      <c r="G502" s="120">
        <v>1.5723000000000001E-2</v>
      </c>
      <c r="H502" s="120">
        <v>0.10733000000000001</v>
      </c>
      <c r="I502" s="121">
        <f t="shared" si="43"/>
        <v>4.3961838097227838E-6</v>
      </c>
      <c r="J502" s="121">
        <f t="shared" si="44"/>
        <v>3.0009693334449302E-5</v>
      </c>
      <c r="M502" s="6">
        <v>1.5723</v>
      </c>
      <c r="N502" s="6">
        <v>10.733000000000001</v>
      </c>
      <c r="O502" s="6">
        <f t="shared" si="46"/>
        <v>1.5723000000000001E-2</v>
      </c>
      <c r="P502" s="6">
        <f t="shared" si="47"/>
        <v>0.10733000000000001</v>
      </c>
    </row>
    <row r="503" spans="1:16" x14ac:dyDescent="0.25">
      <c r="A503" s="6" t="s">
        <v>1200</v>
      </c>
      <c r="B503" s="7" t="s">
        <v>1201</v>
      </c>
      <c r="C503" s="116">
        <v>152.49199999999999</v>
      </c>
      <c r="D503" s="117">
        <v>81.760000000000005</v>
      </c>
      <c r="E503" s="118">
        <f t="shared" si="42"/>
        <v>12467.745919999999</v>
      </c>
      <c r="F503" s="119">
        <f t="shared" si="45"/>
        <v>7.1768844571852228E-4</v>
      </c>
      <c r="G503" s="120">
        <v>4.8899999999999996E-4</v>
      </c>
      <c r="H503" s="122">
        <v>0.12</v>
      </c>
      <c r="I503" s="121">
        <f t="shared" si="43"/>
        <v>3.5094964995635737E-7</v>
      </c>
      <c r="J503" s="121">
        <f t="shared" si="44"/>
        <v>8.6122613486222665E-5</v>
      </c>
      <c r="M503" s="6">
        <v>4.8899999999999999E-2</v>
      </c>
      <c r="N503" s="6">
        <v>12</v>
      </c>
      <c r="O503" s="6">
        <f t="shared" si="46"/>
        <v>4.8899999999999996E-4</v>
      </c>
      <c r="P503" s="6">
        <f t="shared" si="47"/>
        <v>0.12</v>
      </c>
    </row>
    <row r="504" spans="1:16" x14ac:dyDescent="0.25">
      <c r="A504" s="6" t="s">
        <v>277</v>
      </c>
      <c r="B504" s="7" t="s">
        <v>647</v>
      </c>
      <c r="C504" s="116">
        <v>366.10899999999998</v>
      </c>
      <c r="D504" s="117">
        <v>94.6</v>
      </c>
      <c r="E504" s="118">
        <f t="shared" si="42"/>
        <v>34633.911399999997</v>
      </c>
      <c r="F504" s="119">
        <f t="shared" si="45"/>
        <v>1.9936529186038313E-3</v>
      </c>
      <c r="G504" s="120">
        <v>4.0168999999999996E-2</v>
      </c>
      <c r="H504" s="120">
        <v>0.19966999999999999</v>
      </c>
      <c r="I504" s="121">
        <f t="shared" si="43"/>
        <v>8.0083044087397292E-5</v>
      </c>
      <c r="J504" s="121">
        <f t="shared" si="44"/>
        <v>3.9807267825762695E-4</v>
      </c>
      <c r="M504" s="6">
        <v>4.0168999999999997</v>
      </c>
      <c r="N504" s="6">
        <v>19.966999999999999</v>
      </c>
      <c r="O504" s="6">
        <f t="shared" si="46"/>
        <v>4.0168999999999996E-2</v>
      </c>
      <c r="P504" s="6">
        <f t="shared" si="47"/>
        <v>0.19966999999999999</v>
      </c>
    </row>
    <row r="505" spans="1:16" x14ac:dyDescent="0.25">
      <c r="A505" s="6" t="s">
        <v>283</v>
      </c>
      <c r="B505" s="7" t="s">
        <v>655</v>
      </c>
      <c r="C505" s="116">
        <v>269.28699999999998</v>
      </c>
      <c r="D505" s="117">
        <v>80.400000000000006</v>
      </c>
      <c r="E505" s="118">
        <f t="shared" si="42"/>
        <v>21650.674800000001</v>
      </c>
      <c r="F505" s="119">
        <f t="shared" si="45"/>
        <v>1.2462909691673583E-3</v>
      </c>
      <c r="G505" s="120">
        <v>1.4428000000000002E-2</v>
      </c>
      <c r="H505" s="120">
        <v>0.11755</v>
      </c>
      <c r="I505" s="121">
        <f t="shared" si="43"/>
        <v>1.7981486103146647E-5</v>
      </c>
      <c r="J505" s="121">
        <f t="shared" si="44"/>
        <v>1.4650150342562296E-4</v>
      </c>
      <c r="M505" s="6">
        <v>1.4428000000000001</v>
      </c>
      <c r="N505" s="6">
        <v>11.755000000000001</v>
      </c>
      <c r="O505" s="6">
        <f t="shared" si="46"/>
        <v>1.4428000000000002E-2</v>
      </c>
      <c r="P505" s="6">
        <f t="shared" si="47"/>
        <v>0.11755</v>
      </c>
    </row>
    <row r="506" spans="1:16" x14ac:dyDescent="0.25">
      <c r="A506" s="6" t="s">
        <v>1076</v>
      </c>
      <c r="B506" s="7" t="s">
        <v>1077</v>
      </c>
      <c r="C506" s="116">
        <v>73.819000000000003</v>
      </c>
      <c r="D506" s="117">
        <v>142.13999999999999</v>
      </c>
      <c r="E506" s="118">
        <f t="shared" si="42"/>
        <v>10492.632659999999</v>
      </c>
      <c r="F506" s="119">
        <f t="shared" si="45"/>
        <v>6.039937991654873E-4</v>
      </c>
      <c r="G506" s="120">
        <v>1.688E-3</v>
      </c>
      <c r="H506" s="120">
        <v>0.13555</v>
      </c>
      <c r="I506" s="121">
        <f t="shared" si="43"/>
        <v>1.0195415329913426E-6</v>
      </c>
      <c r="J506" s="121">
        <f t="shared" si="44"/>
        <v>8.1871359476881804E-5</v>
      </c>
      <c r="M506" s="6">
        <v>0.16880000000000001</v>
      </c>
      <c r="N506" s="6">
        <v>13.555</v>
      </c>
      <c r="O506" s="6">
        <f t="shared" si="46"/>
        <v>1.688E-3</v>
      </c>
      <c r="P506" s="6">
        <f t="shared" si="47"/>
        <v>0.13555</v>
      </c>
    </row>
    <row r="507" spans="1:16" x14ac:dyDescent="0.25">
      <c r="A507" s="6" t="s">
        <v>411</v>
      </c>
      <c r="B507" s="7" t="s">
        <v>766</v>
      </c>
      <c r="C507" s="116">
        <v>162.44499999999999</v>
      </c>
      <c r="D507" s="117">
        <v>37.33</v>
      </c>
      <c r="E507" s="118">
        <f t="shared" si="42"/>
        <v>6064.0718499999994</v>
      </c>
      <c r="F507" s="119">
        <f t="shared" si="45"/>
        <v>0</v>
      </c>
      <c r="G507" s="120" t="s">
        <v>996</v>
      </c>
      <c r="H507" s="120">
        <v>7.3499999999999998E-3</v>
      </c>
      <c r="I507" s="121" t="str">
        <f t="shared" si="43"/>
        <v>n/a</v>
      </c>
      <c r="J507" s="121">
        <f t="shared" si="44"/>
        <v>0</v>
      </c>
      <c r="M507" s="6" t="s">
        <v>996</v>
      </c>
      <c r="N507" s="6">
        <v>0.73499999999999999</v>
      </c>
      <c r="O507" s="6" t="str">
        <f t="shared" si="46"/>
        <v>n/a</v>
      </c>
      <c r="P507" s="6">
        <f t="shared" si="47"/>
        <v>7.3499999999999998E-3</v>
      </c>
    </row>
    <row r="508" spans="1:16" x14ac:dyDescent="0.25">
      <c r="A508" s="6" t="s">
        <v>1202</v>
      </c>
      <c r="B508" s="7" t="s">
        <v>1203</v>
      </c>
      <c r="C508" s="116">
        <v>146.00399999999999</v>
      </c>
      <c r="D508" s="117">
        <v>184.86</v>
      </c>
      <c r="E508" s="118">
        <f t="shared" si="42"/>
        <v>26990.299439999999</v>
      </c>
      <c r="F508" s="119">
        <f t="shared" si="45"/>
        <v>0</v>
      </c>
      <c r="G508" s="120" t="s">
        <v>996</v>
      </c>
      <c r="H508" s="120">
        <v>0.14608000000000002</v>
      </c>
      <c r="I508" s="121" t="str">
        <f t="shared" si="43"/>
        <v>n/a</v>
      </c>
      <c r="J508" s="121">
        <f t="shared" si="44"/>
        <v>0</v>
      </c>
      <c r="M508" s="6" t="s">
        <v>996</v>
      </c>
      <c r="N508" s="6">
        <v>14.608000000000001</v>
      </c>
      <c r="O508" s="6" t="str">
        <f t="shared" si="46"/>
        <v>n/a</v>
      </c>
      <c r="P508" s="6">
        <f t="shared" si="47"/>
        <v>0.14608000000000002</v>
      </c>
    </row>
    <row r="509" spans="1:16" x14ac:dyDescent="0.25">
      <c r="A509" s="6" t="s">
        <v>1204</v>
      </c>
      <c r="B509" s="7" t="s">
        <v>1205</v>
      </c>
      <c r="C509" s="116">
        <v>44.091999999999999</v>
      </c>
      <c r="D509" s="117">
        <v>176.1</v>
      </c>
      <c r="E509" s="118">
        <f t="shared" si="42"/>
        <v>7764.6011999999992</v>
      </c>
      <c r="F509" s="119">
        <f t="shared" si="45"/>
        <v>4.4695846407272405E-4</v>
      </c>
      <c r="G509" s="120">
        <v>2.9529999999999999E-3</v>
      </c>
      <c r="H509" s="120">
        <v>0.2</v>
      </c>
      <c r="I509" s="121">
        <f t="shared" si="43"/>
        <v>1.3198683444067541E-6</v>
      </c>
      <c r="J509" s="121">
        <f t="shared" si="44"/>
        <v>8.9391692814544814E-5</v>
      </c>
      <c r="M509" s="6">
        <v>0.29530000000000001</v>
      </c>
      <c r="N509" s="6">
        <v>20</v>
      </c>
      <c r="O509" s="6">
        <f t="shared" si="46"/>
        <v>2.9529999999999999E-3</v>
      </c>
      <c r="P509" s="6">
        <f t="shared" si="47"/>
        <v>0.2</v>
      </c>
    </row>
    <row r="510" spans="1:16" x14ac:dyDescent="0.25">
      <c r="A510" s="6" t="s">
        <v>190</v>
      </c>
      <c r="B510" s="7" t="s">
        <v>578</v>
      </c>
      <c r="C510" s="116">
        <v>55.877000000000002</v>
      </c>
      <c r="D510" s="117">
        <v>249.63</v>
      </c>
      <c r="E510" s="118">
        <f t="shared" si="42"/>
        <v>13948.575510000001</v>
      </c>
      <c r="F510" s="119">
        <f t="shared" si="45"/>
        <v>8.0293034057589657E-4</v>
      </c>
      <c r="G510" s="120">
        <v>8.3320000000000009E-3</v>
      </c>
      <c r="H510" s="120">
        <v>0.14499999999999999</v>
      </c>
      <c r="I510" s="121">
        <f t="shared" si="43"/>
        <v>6.6900155976783709E-6</v>
      </c>
      <c r="J510" s="121">
        <f t="shared" si="44"/>
        <v>1.1642489938350499E-4</v>
      </c>
      <c r="M510" s="6">
        <v>0.83320000000000005</v>
      </c>
      <c r="N510" s="6">
        <v>14.5</v>
      </c>
      <c r="O510" s="6">
        <f t="shared" si="46"/>
        <v>8.3320000000000009E-3</v>
      </c>
      <c r="P510" s="6">
        <f t="shared" si="47"/>
        <v>0.14499999999999999</v>
      </c>
    </row>
    <row r="511" spans="1:16" x14ac:dyDescent="0.25">
      <c r="A511" s="6" t="s">
        <v>1206</v>
      </c>
      <c r="B511" s="7" t="s">
        <v>1207</v>
      </c>
      <c r="C511" s="116">
        <v>308.21499999999997</v>
      </c>
      <c r="D511" s="117">
        <v>31.24</v>
      </c>
      <c r="E511" s="118">
        <f t="shared" si="42"/>
        <v>9628.636599999998</v>
      </c>
      <c r="F511" s="119">
        <f t="shared" si="45"/>
        <v>0</v>
      </c>
      <c r="G511" s="120" t="s">
        <v>996</v>
      </c>
      <c r="H511" s="120">
        <v>0.15</v>
      </c>
      <c r="I511" s="121" t="str">
        <f t="shared" si="43"/>
        <v>n/a</v>
      </c>
      <c r="J511" s="121">
        <f t="shared" si="44"/>
        <v>0</v>
      </c>
      <c r="M511" s="6" t="s">
        <v>996</v>
      </c>
      <c r="N511" s="6">
        <v>15</v>
      </c>
      <c r="O511" s="6" t="str">
        <f t="shared" si="46"/>
        <v>n/a</v>
      </c>
      <c r="P511" s="6">
        <f t="shared" si="47"/>
        <v>0.15</v>
      </c>
    </row>
    <row r="512" spans="1:16" x14ac:dyDescent="0.25">
      <c r="A512" s="6" t="s">
        <v>1085</v>
      </c>
      <c r="B512" s="7" t="s">
        <v>778</v>
      </c>
      <c r="C512" s="116">
        <v>357.30200000000002</v>
      </c>
      <c r="D512" s="117">
        <v>41.13</v>
      </c>
      <c r="E512" s="118">
        <f t="shared" si="42"/>
        <v>14695.831260000003</v>
      </c>
      <c r="F512" s="119">
        <f t="shared" si="45"/>
        <v>8.4594507806035513E-4</v>
      </c>
      <c r="G512" s="120">
        <v>3.3065999999999998E-2</v>
      </c>
      <c r="H512" s="120">
        <v>0.10667</v>
      </c>
      <c r="I512" s="121">
        <f t="shared" si="43"/>
        <v>2.7972019951143703E-5</v>
      </c>
      <c r="J512" s="121">
        <f t="shared" si="44"/>
        <v>9.0236961476698085E-5</v>
      </c>
      <c r="M512" s="6">
        <v>3.3066</v>
      </c>
      <c r="N512" s="6">
        <v>10.667</v>
      </c>
      <c r="O512" s="6">
        <f t="shared" si="46"/>
        <v>3.3065999999999998E-2</v>
      </c>
      <c r="P512" s="6">
        <f t="shared" si="47"/>
        <v>0.10667</v>
      </c>
    </row>
    <row r="513" spans="1:16" x14ac:dyDescent="0.25">
      <c r="A513" s="6" t="s">
        <v>335</v>
      </c>
      <c r="B513" s="7" t="s">
        <v>931</v>
      </c>
      <c r="C513" s="116">
        <v>188.077</v>
      </c>
      <c r="D513" s="117">
        <v>50.84</v>
      </c>
      <c r="E513" s="118">
        <f t="shared" si="42"/>
        <v>9561.8346799999999</v>
      </c>
      <c r="F513" s="119">
        <f t="shared" si="45"/>
        <v>5.5041370859975497E-4</v>
      </c>
      <c r="G513" s="120">
        <v>4.0126000000000002E-2</v>
      </c>
      <c r="H513" s="120">
        <v>2.4500000000000001E-2</v>
      </c>
      <c r="I513" s="121">
        <f t="shared" si="43"/>
        <v>2.2085900471273768E-5</v>
      </c>
      <c r="J513" s="121">
        <f t="shared" si="44"/>
        <v>1.3485135860693998E-5</v>
      </c>
      <c r="M513" s="6">
        <v>4.0125999999999999</v>
      </c>
      <c r="N513" s="6">
        <v>2.4500000000000002</v>
      </c>
      <c r="O513" s="6">
        <f t="shared" si="46"/>
        <v>4.0126000000000002E-2</v>
      </c>
      <c r="P513" s="6">
        <f t="shared" si="47"/>
        <v>2.4500000000000001E-2</v>
      </c>
    </row>
    <row r="514" spans="1:16" x14ac:dyDescent="0.25">
      <c r="A514" s="6" t="s">
        <v>985</v>
      </c>
      <c r="B514" s="7" t="s">
        <v>986</v>
      </c>
      <c r="C514" s="116">
        <v>95.114000000000004</v>
      </c>
      <c r="D514" s="117">
        <v>116.68</v>
      </c>
      <c r="E514" s="118">
        <f t="shared" si="42"/>
        <v>11097.901520000001</v>
      </c>
      <c r="F514" s="119">
        <f t="shared" si="45"/>
        <v>6.388352588938568E-4</v>
      </c>
      <c r="G514" s="120">
        <v>2.7429999999999998E-3</v>
      </c>
      <c r="H514" s="120">
        <v>0.77890000000000004</v>
      </c>
      <c r="I514" s="121">
        <f t="shared" si="43"/>
        <v>1.752325115145849E-6</v>
      </c>
      <c r="J514" s="121">
        <f t="shared" si="44"/>
        <v>4.9758878315242505E-4</v>
      </c>
      <c r="M514" s="6">
        <v>0.27429999999999999</v>
      </c>
      <c r="N514" s="6">
        <v>77.89</v>
      </c>
      <c r="O514" s="6">
        <f t="shared" si="46"/>
        <v>2.7429999999999998E-3</v>
      </c>
      <c r="P514" s="6">
        <f t="shared" si="47"/>
        <v>0.77890000000000004</v>
      </c>
    </row>
    <row r="515" spans="1:16" x14ac:dyDescent="0.25">
      <c r="A515" s="6" t="s">
        <v>568</v>
      </c>
      <c r="B515" s="7" t="s">
        <v>891</v>
      </c>
      <c r="C515" s="116">
        <v>491.62799999999999</v>
      </c>
      <c r="D515" s="117">
        <v>56.11</v>
      </c>
      <c r="E515" s="118">
        <f t="shared" si="42"/>
        <v>27585.247079999997</v>
      </c>
      <c r="F515" s="119">
        <f t="shared" si="45"/>
        <v>1.5879063648424592E-3</v>
      </c>
      <c r="G515" s="120">
        <v>7.4850000000000003E-3</v>
      </c>
      <c r="H515" s="120">
        <v>0.12254</v>
      </c>
      <c r="I515" s="121">
        <f t="shared" si="43"/>
        <v>1.1885479140845808E-5</v>
      </c>
      <c r="J515" s="121">
        <f t="shared" si="44"/>
        <v>1.9458204594779494E-4</v>
      </c>
      <c r="M515" s="6">
        <v>0.74850000000000005</v>
      </c>
      <c r="N515" s="6">
        <v>12.254</v>
      </c>
      <c r="O515" s="6">
        <f t="shared" si="46"/>
        <v>7.4850000000000003E-3</v>
      </c>
      <c r="P515" s="6">
        <f t="shared" si="47"/>
        <v>0.12254</v>
      </c>
    </row>
    <row r="516" spans="1:16" x14ac:dyDescent="0.25">
      <c r="A516" s="6" t="s">
        <v>1208</v>
      </c>
      <c r="B516" s="7" t="s">
        <v>1209</v>
      </c>
      <c r="C516" s="6">
        <v>159.458</v>
      </c>
      <c r="D516" s="6">
        <v>114.84</v>
      </c>
      <c r="E516" s="118">
        <f t="shared" ref="E516:E518" si="48">C516*D516</f>
        <v>18312.156719999999</v>
      </c>
      <c r="F516" s="119">
        <f t="shared" si="45"/>
        <v>1.0541138212520449E-3</v>
      </c>
      <c r="G516" s="120">
        <v>3.2392999999999998E-2</v>
      </c>
      <c r="H516" s="120">
        <v>5.0949999999999995E-2</v>
      </c>
      <c r="I516" s="121">
        <f t="shared" ref="I516:I518" si="49">IF(G516="n/a","n/a",$F516*G516)</f>
        <v>3.4145909011817484E-5</v>
      </c>
      <c r="J516" s="121">
        <f t="shared" ref="J516:J518" si="50">IF(H516="n/a","n/a",$F516*H516)</f>
        <v>5.3707099192791682E-5</v>
      </c>
      <c r="M516" s="6">
        <v>3.2393000000000001</v>
      </c>
      <c r="N516" s="6">
        <v>5.0949999999999998</v>
      </c>
      <c r="O516" s="6">
        <f t="shared" si="46"/>
        <v>3.2392999999999998E-2</v>
      </c>
      <c r="P516" s="6">
        <f t="shared" si="47"/>
        <v>5.0949999999999995E-2</v>
      </c>
    </row>
    <row r="517" spans="1:16" x14ac:dyDescent="0.25">
      <c r="A517" s="6" t="s">
        <v>1032</v>
      </c>
      <c r="B517" s="7" t="s">
        <v>1033</v>
      </c>
      <c r="C517" s="6">
        <v>77.912000000000006</v>
      </c>
      <c r="D517" s="6">
        <v>417.7</v>
      </c>
      <c r="E517" s="118">
        <f t="shared" si="48"/>
        <v>32543.842400000001</v>
      </c>
      <c r="F517" s="119">
        <f t="shared" si="45"/>
        <v>1.8733410048321344E-3</v>
      </c>
      <c r="G517" s="120">
        <v>1.9153E-2</v>
      </c>
      <c r="H517" s="120">
        <v>0.24606000000000003</v>
      </c>
      <c r="I517" s="121">
        <f t="shared" si="49"/>
        <v>3.5880100265549873E-5</v>
      </c>
      <c r="J517" s="121">
        <f t="shared" si="50"/>
        <v>4.6095428764899503E-4</v>
      </c>
      <c r="M517" s="6">
        <v>1.9153</v>
      </c>
      <c r="N517" s="6">
        <v>24.606000000000002</v>
      </c>
      <c r="O517" s="6">
        <f t="shared" si="46"/>
        <v>1.9153E-2</v>
      </c>
      <c r="P517" s="6">
        <f t="shared" si="47"/>
        <v>0.24606000000000003</v>
      </c>
    </row>
    <row r="518" spans="1:16" x14ac:dyDescent="0.25">
      <c r="A518" s="6" t="s">
        <v>287</v>
      </c>
      <c r="B518" s="7" t="s">
        <v>989</v>
      </c>
      <c r="C518" s="6">
        <v>228.76400000000001</v>
      </c>
      <c r="D518" s="6">
        <v>27.98</v>
      </c>
      <c r="E518" s="118">
        <f t="shared" si="48"/>
        <v>6400.8167200000007</v>
      </c>
      <c r="F518" s="119">
        <f t="shared" si="45"/>
        <v>0</v>
      </c>
      <c r="G518" s="120" t="s">
        <v>996</v>
      </c>
      <c r="H518" s="120">
        <v>0.14066999999999999</v>
      </c>
      <c r="I518" s="121" t="str">
        <f t="shared" si="49"/>
        <v>n/a</v>
      </c>
      <c r="J518" s="121">
        <f t="shared" si="50"/>
        <v>0</v>
      </c>
      <c r="M518" s="6" t="s">
        <v>996</v>
      </c>
      <c r="N518" s="6">
        <v>14.067</v>
      </c>
      <c r="O518" s="6" t="str">
        <f t="shared" si="46"/>
        <v>n/a</v>
      </c>
      <c r="P518" s="6">
        <f t="shared" si="47"/>
        <v>0.14066999999999999</v>
      </c>
    </row>
    <row r="519" spans="1:16" x14ac:dyDescent="0.25">
      <c r="B519" s="7"/>
      <c r="E519" s="118"/>
      <c r="F519" s="119"/>
      <c r="G519" s="120"/>
      <c r="H519" s="120"/>
      <c r="I519" s="121"/>
      <c r="J519" s="121"/>
    </row>
    <row r="520" spans="1:16" x14ac:dyDescent="0.25">
      <c r="A520" s="2" t="s">
        <v>1034</v>
      </c>
      <c r="G520" s="14">
        <f>AVERAGEIFS(G$14:G$518,$G$14:$G$518,"&lt;&gt;n/a",$H$14:$H$518,"&lt;&gt;n/a",$H$14:$H$518,"&gt;=0")</f>
        <v>2.2393050890585249E-2</v>
      </c>
      <c r="H520" s="14">
        <f>AVERAGEIFS(H$14:H$518,$G$14:$G$518,"&lt;&gt;n/a",$H$14:$H$518,"&lt;&gt;n/a",$H$14:$H$518,"&gt;=0")</f>
        <v>0.10073132315521623</v>
      </c>
      <c r="I520" s="14" t="s">
        <v>1037</v>
      </c>
      <c r="J520" s="14" t="s">
        <v>1037</v>
      </c>
    </row>
    <row r="522" spans="1:16" x14ac:dyDescent="0.25">
      <c r="A522" s="98" t="s">
        <v>101</v>
      </c>
    </row>
    <row r="523" spans="1:16" x14ac:dyDescent="0.25">
      <c r="A523" s="105" t="s">
        <v>145</v>
      </c>
    </row>
    <row r="524" spans="1:16" x14ac:dyDescent="0.25">
      <c r="A524" s="105" t="s">
        <v>144</v>
      </c>
    </row>
    <row r="525" spans="1:16" x14ac:dyDescent="0.25">
      <c r="A525" s="105" t="s">
        <v>143</v>
      </c>
    </row>
    <row r="526" spans="1:16" x14ac:dyDescent="0.25">
      <c r="A526" s="105" t="s">
        <v>142</v>
      </c>
    </row>
    <row r="527" spans="1:16" x14ac:dyDescent="0.25">
      <c r="A527" s="105" t="s">
        <v>166</v>
      </c>
    </row>
    <row r="528" spans="1:16" x14ac:dyDescent="0.25">
      <c r="A528" s="105" t="s">
        <v>167</v>
      </c>
    </row>
    <row r="529" spans="1:1" x14ac:dyDescent="0.25">
      <c r="A529" s="105" t="s">
        <v>141</v>
      </c>
    </row>
    <row r="530" spans="1:1" x14ac:dyDescent="0.25">
      <c r="A530" s="105" t="s">
        <v>170</v>
      </c>
    </row>
    <row r="531" spans="1:1" x14ac:dyDescent="0.25">
      <c r="A531" s="105" t="s">
        <v>168</v>
      </c>
    </row>
    <row r="532" spans="1:1" x14ac:dyDescent="0.25">
      <c r="A532" s="105" t="s">
        <v>169</v>
      </c>
    </row>
    <row r="533" spans="1:1" x14ac:dyDescent="0.25">
      <c r="A533" s="105" t="s">
        <v>140</v>
      </c>
    </row>
    <row r="534" spans="1:1" x14ac:dyDescent="0.25">
      <c r="A534" s="105" t="s">
        <v>139</v>
      </c>
    </row>
  </sheetData>
  <sortState ref="A14:J515">
    <sortCondition ref="A14:A515"/>
  </sortState>
  <printOptions horizontalCentered="1"/>
  <pageMargins left="0.7" right="0.7" top="0.75" bottom="0.75" header="0.3" footer="0.3"/>
  <pageSetup scale="55" fitToHeight="9" orientation="portrait" useFirstPageNumber="1" r:id="rId1"/>
  <headerFooter alignWithMargins="0">
    <oddHeader>&amp;R&amp;K000000Docket No. UG-17____
Cascade Natural Gas Corp.
Exhibit No.___(JSG-2)
Schedule 6
Page &amp;P of 9</oddHeader>
  </headerFooter>
  <rowBreaks count="5" manualBreakCount="5">
    <brk id="288" max="9" man="1"/>
    <brk id="343" max="9" man="1"/>
    <brk id="398" max="9" man="1"/>
    <brk id="453" max="9" man="1"/>
    <brk id="508"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20"/>
  <sheetViews>
    <sheetView view="pageBreakPreview" zoomScaleNormal="85" zoomScaleSheetLayoutView="100" workbookViewId="0">
      <selection activeCell="C4" sqref="C4"/>
    </sheetView>
  </sheetViews>
  <sheetFormatPr defaultColWidth="8" defaultRowHeight="12.75" x14ac:dyDescent="0.2"/>
  <cols>
    <col min="1" max="1" width="40.625" style="123" customWidth="1"/>
    <col min="2" max="3" width="20.625" style="123" customWidth="1"/>
    <col min="4" max="16384" width="8" style="123"/>
  </cols>
  <sheetData>
    <row r="1" spans="1:3" ht="19.899999999999999" customHeight="1" x14ac:dyDescent="0.2"/>
    <row r="2" spans="1:3" ht="20.25" x14ac:dyDescent="0.3">
      <c r="A2" s="24" t="s">
        <v>1107</v>
      </c>
      <c r="B2" s="86"/>
      <c r="C2" s="86"/>
    </row>
    <row r="3" spans="1:3" ht="18.75" x14ac:dyDescent="0.3">
      <c r="A3" s="112" t="s">
        <v>1082</v>
      </c>
      <c r="B3" s="86"/>
      <c r="C3" s="86"/>
    </row>
    <row r="4" spans="1:3" ht="18.75" x14ac:dyDescent="0.3">
      <c r="A4" s="112" t="s">
        <v>1330</v>
      </c>
      <c r="B4" s="86"/>
      <c r="C4" s="86"/>
    </row>
    <row r="6" spans="1:3" ht="16.5" thickBot="1" x14ac:dyDescent="0.3">
      <c r="A6" s="124"/>
      <c r="B6" s="124"/>
      <c r="C6" s="125"/>
    </row>
    <row r="7" spans="1:3" ht="25.5" customHeight="1" x14ac:dyDescent="0.25">
      <c r="A7" s="126" t="s">
        <v>132</v>
      </c>
      <c r="B7" s="127" t="s">
        <v>133</v>
      </c>
      <c r="C7" s="127" t="s">
        <v>1080</v>
      </c>
    </row>
    <row r="8" spans="1:3" ht="15.75" x14ac:dyDescent="0.25">
      <c r="A8" s="128"/>
      <c r="B8" s="128"/>
      <c r="C8" s="129"/>
    </row>
    <row r="9" spans="1:3" ht="15.75" x14ac:dyDescent="0.25">
      <c r="A9" s="29" t="s">
        <v>111</v>
      </c>
      <c r="B9" s="49" t="s">
        <v>135</v>
      </c>
      <c r="C9" s="130">
        <v>0.7</v>
      </c>
    </row>
    <row r="10" spans="1:3" ht="15.75" x14ac:dyDescent="0.25">
      <c r="A10" s="23" t="s">
        <v>175</v>
      </c>
      <c r="B10" s="60" t="s">
        <v>20</v>
      </c>
      <c r="C10" s="131">
        <v>0.8</v>
      </c>
    </row>
    <row r="11" spans="1:3" ht="15.75" x14ac:dyDescent="0.25">
      <c r="A11" s="23" t="s">
        <v>63</v>
      </c>
      <c r="B11" s="60" t="s">
        <v>780</v>
      </c>
      <c r="C11" s="131" t="s">
        <v>1256</v>
      </c>
    </row>
    <row r="12" spans="1:3" ht="15.75" x14ac:dyDescent="0.25">
      <c r="A12" s="29" t="s">
        <v>106</v>
      </c>
      <c r="B12" s="49" t="s">
        <v>10</v>
      </c>
      <c r="C12" s="131">
        <v>0.65</v>
      </c>
    </row>
    <row r="13" spans="1:3" ht="15.75" x14ac:dyDescent="0.25">
      <c r="A13" s="29" t="s">
        <v>136</v>
      </c>
      <c r="B13" s="49" t="s">
        <v>137</v>
      </c>
      <c r="C13" s="131">
        <v>0.8</v>
      </c>
    </row>
    <row r="14" spans="1:3" ht="15.75" x14ac:dyDescent="0.25">
      <c r="A14" s="29" t="s">
        <v>176</v>
      </c>
      <c r="B14" s="49" t="s">
        <v>23</v>
      </c>
      <c r="C14" s="131">
        <v>0.75</v>
      </c>
    </row>
    <row r="15" spans="1:3" ht="15.75" x14ac:dyDescent="0.25">
      <c r="A15" s="29" t="s">
        <v>1119</v>
      </c>
      <c r="B15" s="49" t="s">
        <v>1120</v>
      </c>
      <c r="C15" s="131">
        <v>0.7</v>
      </c>
    </row>
    <row r="16" spans="1:3" ht="15.75" x14ac:dyDescent="0.25">
      <c r="A16" s="132"/>
      <c r="B16" s="132"/>
      <c r="C16" s="132"/>
    </row>
    <row r="17" spans="1:3" ht="16.5" thickBot="1" x14ac:dyDescent="0.3">
      <c r="A17" s="133" t="s">
        <v>1081</v>
      </c>
      <c r="B17" s="134"/>
      <c r="C17" s="134">
        <f>AVERAGE(C9:C15)</f>
        <v>0.73333333333333339</v>
      </c>
    </row>
    <row r="18" spans="1:3" ht="15.75" x14ac:dyDescent="0.25">
      <c r="A18" s="132"/>
      <c r="B18" s="132"/>
      <c r="C18" s="132"/>
    </row>
    <row r="19" spans="1:3" ht="15.75" x14ac:dyDescent="0.25">
      <c r="A19" s="135" t="s">
        <v>1331</v>
      </c>
      <c r="B19" s="132"/>
      <c r="C19" s="132"/>
    </row>
    <row r="20" spans="1:3" ht="15.75" x14ac:dyDescent="0.25">
      <c r="B20" s="132"/>
      <c r="C20" s="132"/>
    </row>
  </sheetData>
  <printOptions horizontalCentered="1"/>
  <pageMargins left="0.7" right="0.7" top="1.25" bottom="0.75" header="0.3" footer="0.3"/>
  <pageSetup orientation="portrait" useFirstPageNumber="1" r:id="rId1"/>
  <headerFooter alignWithMargins="0">
    <oddHeader xml:space="preserve">&amp;RDocket No. UG-17____
Cascade Natural Gas Corp.
Exhibit No.___(JSG-2)
Schedule 7&amp;K000000
Page &amp;P of 1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46"/>
  <sheetViews>
    <sheetView view="pageBreakPreview" zoomScaleNormal="70" zoomScaleSheetLayoutView="100" workbookViewId="0">
      <selection activeCell="K6" sqref="K6"/>
    </sheetView>
  </sheetViews>
  <sheetFormatPr defaultColWidth="8" defaultRowHeight="12.75" x14ac:dyDescent="0.2"/>
  <cols>
    <col min="1" max="1" width="30.625" style="245" customWidth="1"/>
    <col min="2" max="11" width="10.625" style="245" customWidth="1"/>
    <col min="12" max="16384" width="8" style="245"/>
  </cols>
  <sheetData>
    <row r="1" spans="1:12" s="52" customFormat="1" ht="20.25" x14ac:dyDescent="0.3">
      <c r="A1" s="310" t="s">
        <v>1105</v>
      </c>
      <c r="B1" s="310"/>
      <c r="C1" s="310"/>
      <c r="D1" s="310"/>
      <c r="E1" s="310"/>
      <c r="F1" s="310"/>
      <c r="G1" s="310"/>
      <c r="H1" s="310"/>
      <c r="I1" s="310"/>
      <c r="J1" s="310"/>
      <c r="K1" s="310"/>
    </row>
    <row r="2" spans="1:12" s="244" customFormat="1" x14ac:dyDescent="0.2">
      <c r="A2" s="243"/>
      <c r="B2" s="243"/>
      <c r="C2" s="243"/>
      <c r="D2" s="243"/>
      <c r="E2" s="243"/>
      <c r="F2" s="243"/>
      <c r="G2" s="243"/>
      <c r="H2" s="243"/>
      <c r="I2" s="243"/>
      <c r="J2" s="243"/>
      <c r="K2" s="243"/>
    </row>
    <row r="3" spans="1:12" ht="18.75" x14ac:dyDescent="0.3">
      <c r="A3" s="311" t="s">
        <v>1297</v>
      </c>
      <c r="B3" s="311"/>
      <c r="C3" s="311"/>
      <c r="D3" s="311"/>
      <c r="E3" s="311"/>
      <c r="F3" s="311"/>
      <c r="G3" s="311"/>
      <c r="H3" s="311"/>
      <c r="I3" s="311"/>
      <c r="J3" s="311"/>
      <c r="K3" s="311"/>
    </row>
    <row r="4" spans="1:12" ht="18.75" x14ac:dyDescent="0.3">
      <c r="A4" s="312" t="s">
        <v>1330</v>
      </c>
      <c r="B4" s="312"/>
      <c r="C4" s="312"/>
      <c r="D4" s="312"/>
      <c r="E4" s="312"/>
      <c r="F4" s="312"/>
      <c r="G4" s="312"/>
      <c r="H4" s="312"/>
      <c r="I4" s="312"/>
      <c r="J4" s="312"/>
      <c r="K4" s="312"/>
    </row>
    <row r="6" spans="1:12" ht="15.75" x14ac:dyDescent="0.25">
      <c r="A6" s="246"/>
      <c r="B6" s="246"/>
      <c r="C6" s="247" t="s">
        <v>77</v>
      </c>
      <c r="D6" s="247" t="s">
        <v>78</v>
      </c>
      <c r="E6" s="247" t="s">
        <v>79</v>
      </c>
      <c r="F6" s="247" t="s">
        <v>80</v>
      </c>
      <c r="G6" s="247" t="s">
        <v>81</v>
      </c>
      <c r="H6" s="247" t="s">
        <v>82</v>
      </c>
      <c r="I6" s="247" t="s">
        <v>156</v>
      </c>
      <c r="J6" s="247" t="s">
        <v>155</v>
      </c>
      <c r="K6" s="247" t="s">
        <v>154</v>
      </c>
    </row>
    <row r="7" spans="1:12" ht="63" x14ac:dyDescent="0.25">
      <c r="A7" s="248" t="s">
        <v>132</v>
      </c>
      <c r="B7" s="291" t="s">
        <v>133</v>
      </c>
      <c r="C7" s="249" t="s">
        <v>1298</v>
      </c>
      <c r="D7" s="249" t="s">
        <v>1299</v>
      </c>
      <c r="E7" s="249" t="s">
        <v>1300</v>
      </c>
      <c r="F7" s="249" t="s">
        <v>1301</v>
      </c>
      <c r="G7" s="249" t="s">
        <v>1302</v>
      </c>
      <c r="H7" s="249" t="s">
        <v>1303</v>
      </c>
      <c r="I7" s="249" t="s">
        <v>1304</v>
      </c>
      <c r="J7" s="249" t="s">
        <v>1305</v>
      </c>
      <c r="K7" s="250" t="s">
        <v>1306</v>
      </c>
      <c r="L7" s="251"/>
    </row>
    <row r="8" spans="1:12" x14ac:dyDescent="0.2">
      <c r="A8" s="252"/>
      <c r="B8" s="252"/>
      <c r="F8" s="253"/>
    </row>
    <row r="9" spans="1:12" s="257" customFormat="1" ht="15.75" x14ac:dyDescent="0.25">
      <c r="A9" s="23" t="s">
        <v>111</v>
      </c>
      <c r="B9" s="60" t="s">
        <v>135</v>
      </c>
      <c r="C9" s="254">
        <f>'Sched 6 Market DCF'!$F$8</f>
        <v>0.12536000865427691</v>
      </c>
      <c r="D9" s="254">
        <f>AVERAGE(3.2,3.3,3.5,3.6,3.7,3.8)/100</f>
        <v>3.5166666666666672E-2</v>
      </c>
      <c r="E9" s="254">
        <f>C9-D9</f>
        <v>9.0193341987610226E-2</v>
      </c>
      <c r="F9" s="255">
        <f>'Sched 7 Beta'!C9</f>
        <v>0.7</v>
      </c>
      <c r="G9" s="254">
        <f>E9*F9</f>
        <v>6.313533939132715E-2</v>
      </c>
      <c r="H9" s="254">
        <f>D9</f>
        <v>3.5166666666666672E-2</v>
      </c>
      <c r="I9" s="254">
        <f>G9+H9</f>
        <v>9.8302006057993829E-2</v>
      </c>
      <c r="J9" s="254">
        <f>'Sched 8 CAPM Size Premium'!G9</f>
        <v>8.8999999999999999E-3</v>
      </c>
      <c r="K9" s="254">
        <f>I9+J9</f>
        <v>0.10720200605799383</v>
      </c>
      <c r="L9" s="256"/>
    </row>
    <row r="10" spans="1:12" s="257" customFormat="1" ht="15.75" x14ac:dyDescent="0.25">
      <c r="A10" s="23" t="s">
        <v>175</v>
      </c>
      <c r="B10" s="60" t="s">
        <v>20</v>
      </c>
      <c r="C10" s="254">
        <f>'Sched 6 Market DCF'!$F$8</f>
        <v>0.12536000865427691</v>
      </c>
      <c r="D10" s="254">
        <f>$D$9</f>
        <v>3.5166666666666672E-2</v>
      </c>
      <c r="E10" s="254">
        <f t="shared" ref="E10:E15" si="0">C10-D10</f>
        <v>9.0193341987610226E-2</v>
      </c>
      <c r="F10" s="255">
        <f>'Sched 7 Beta'!C10</f>
        <v>0.8</v>
      </c>
      <c r="G10" s="254">
        <f t="shared" ref="G10:G15" si="1">E10*F10</f>
        <v>7.2154673590088189E-2</v>
      </c>
      <c r="H10" s="254">
        <f t="shared" ref="H10:H15" si="2">D10</f>
        <v>3.5166666666666672E-2</v>
      </c>
      <c r="I10" s="254">
        <f t="shared" ref="I10:I15" si="3">G10+H10</f>
        <v>0.10732134025675485</v>
      </c>
      <c r="J10" s="254">
        <f>'Sched 8 CAPM Size Premium'!G10</f>
        <v>1.5100000000000001E-2</v>
      </c>
      <c r="K10" s="254">
        <f t="shared" ref="K10:K15" si="4">I10+J10</f>
        <v>0.12242134025675486</v>
      </c>
      <c r="L10" s="256"/>
    </row>
    <row r="11" spans="1:12" s="257" customFormat="1" ht="15.75" x14ac:dyDescent="0.25">
      <c r="A11" s="23" t="s">
        <v>63</v>
      </c>
      <c r="B11" s="60" t="s">
        <v>780</v>
      </c>
      <c r="C11" s="254">
        <f>'Sched 6 Market DCF'!$F$8</f>
        <v>0.12536000865427691</v>
      </c>
      <c r="D11" s="254">
        <f t="shared" ref="D11:D15" si="5">$D$9</f>
        <v>3.5166666666666672E-2</v>
      </c>
      <c r="E11" s="254">
        <f t="shared" si="0"/>
        <v>9.0193341987610226E-2</v>
      </c>
      <c r="F11" s="255" t="str">
        <f>'Sched 7 Beta'!C11</f>
        <v>NMF</v>
      </c>
      <c r="G11" s="254">
        <f>E11*'Sched 7 Beta'!$C$17</f>
        <v>6.614178412424751E-2</v>
      </c>
      <c r="H11" s="254">
        <f t="shared" si="2"/>
        <v>3.5166666666666672E-2</v>
      </c>
      <c r="I11" s="254">
        <f t="shared" si="3"/>
        <v>0.10130845079091419</v>
      </c>
      <c r="J11" s="254">
        <f>'Sched 8 CAPM Size Premium'!G11</f>
        <v>8.8999999999999999E-3</v>
      </c>
      <c r="K11" s="254">
        <f t="shared" si="4"/>
        <v>0.11020845079091419</v>
      </c>
      <c r="L11" s="256"/>
    </row>
    <row r="12" spans="1:12" s="257" customFormat="1" ht="15.75" x14ac:dyDescent="0.25">
      <c r="A12" s="23" t="s">
        <v>106</v>
      </c>
      <c r="B12" s="60" t="s">
        <v>10</v>
      </c>
      <c r="C12" s="254">
        <f>'Sched 6 Market DCF'!$F$8</f>
        <v>0.12536000865427691</v>
      </c>
      <c r="D12" s="254">
        <f t="shared" si="5"/>
        <v>3.5166666666666672E-2</v>
      </c>
      <c r="E12" s="254">
        <f t="shared" si="0"/>
        <v>9.0193341987610226E-2</v>
      </c>
      <c r="F12" s="255">
        <f>'Sched 7 Beta'!C12</f>
        <v>0.65</v>
      </c>
      <c r="G12" s="254">
        <f t="shared" si="1"/>
        <v>5.8625672291946651E-2</v>
      </c>
      <c r="H12" s="254">
        <f t="shared" si="2"/>
        <v>3.5166666666666672E-2</v>
      </c>
      <c r="I12" s="254">
        <f t="shared" si="3"/>
        <v>9.379233895861333E-2</v>
      </c>
      <c r="J12" s="254">
        <f>'Sched 8 CAPM Size Premium'!G12</f>
        <v>1.66E-2</v>
      </c>
      <c r="K12" s="254">
        <f t="shared" si="4"/>
        <v>0.11039233895861333</v>
      </c>
      <c r="L12" s="256"/>
    </row>
    <row r="13" spans="1:12" s="257" customFormat="1" ht="15.75" x14ac:dyDescent="0.25">
      <c r="A13" s="23" t="s">
        <v>136</v>
      </c>
      <c r="B13" s="60" t="s">
        <v>137</v>
      </c>
      <c r="C13" s="254">
        <f>'Sched 6 Market DCF'!$F$8</f>
        <v>0.12536000865427691</v>
      </c>
      <c r="D13" s="254">
        <f t="shared" si="5"/>
        <v>3.5166666666666672E-2</v>
      </c>
      <c r="E13" s="254">
        <f t="shared" si="0"/>
        <v>9.0193341987610226E-2</v>
      </c>
      <c r="F13" s="255">
        <f>'Sched 7 Beta'!C13</f>
        <v>0.8</v>
      </c>
      <c r="G13" s="254">
        <f t="shared" si="1"/>
        <v>7.2154673590088189E-2</v>
      </c>
      <c r="H13" s="254">
        <f t="shared" si="2"/>
        <v>3.5166666666666672E-2</v>
      </c>
      <c r="I13" s="254">
        <f t="shared" si="3"/>
        <v>0.10732134025675485</v>
      </c>
      <c r="J13" s="254">
        <f>'Sched 8 CAPM Size Premium'!G13</f>
        <v>1.5100000000000001E-2</v>
      </c>
      <c r="K13" s="254">
        <f t="shared" si="4"/>
        <v>0.12242134025675486</v>
      </c>
      <c r="L13" s="256"/>
    </row>
    <row r="14" spans="1:12" s="257" customFormat="1" ht="15.75" x14ac:dyDescent="0.25">
      <c r="A14" s="23" t="s">
        <v>176</v>
      </c>
      <c r="B14" s="60" t="s">
        <v>23</v>
      </c>
      <c r="C14" s="254">
        <f>'Sched 6 Market DCF'!$F$8</f>
        <v>0.12536000865427691</v>
      </c>
      <c r="D14" s="254">
        <f t="shared" si="5"/>
        <v>3.5166666666666672E-2</v>
      </c>
      <c r="E14" s="254">
        <f t="shared" si="0"/>
        <v>9.0193341987610226E-2</v>
      </c>
      <c r="F14" s="255">
        <f>'Sched 7 Beta'!C14</f>
        <v>0.75</v>
      </c>
      <c r="G14" s="254">
        <f t="shared" si="1"/>
        <v>6.7645006490707676E-2</v>
      </c>
      <c r="H14" s="254">
        <f t="shared" si="2"/>
        <v>3.5166666666666672E-2</v>
      </c>
      <c r="I14" s="254">
        <f t="shared" si="3"/>
        <v>0.10281167315737436</v>
      </c>
      <c r="J14" s="254">
        <f>'Sched 8 CAPM Size Premium'!G14</f>
        <v>9.7999999999999997E-3</v>
      </c>
      <c r="K14" s="254">
        <f t="shared" si="4"/>
        <v>0.11261167315737436</v>
      </c>
      <c r="L14" s="256"/>
    </row>
    <row r="15" spans="1:12" s="257" customFormat="1" ht="15.75" x14ac:dyDescent="0.25">
      <c r="A15" s="23" t="s">
        <v>1119</v>
      </c>
      <c r="B15" s="60" t="s">
        <v>1120</v>
      </c>
      <c r="C15" s="254">
        <f>'Sched 6 Market DCF'!$F$8</f>
        <v>0.12536000865427691</v>
      </c>
      <c r="D15" s="254">
        <f t="shared" si="5"/>
        <v>3.5166666666666672E-2</v>
      </c>
      <c r="E15" s="254">
        <f t="shared" si="0"/>
        <v>9.0193341987610226E-2</v>
      </c>
      <c r="F15" s="255">
        <f>'Sched 7 Beta'!C15</f>
        <v>0.7</v>
      </c>
      <c r="G15" s="254">
        <f t="shared" si="1"/>
        <v>6.313533939132715E-2</v>
      </c>
      <c r="H15" s="254">
        <f t="shared" si="2"/>
        <v>3.5166666666666672E-2</v>
      </c>
      <c r="I15" s="254">
        <f t="shared" si="3"/>
        <v>9.8302006057993829E-2</v>
      </c>
      <c r="J15" s="254">
        <f>'Sched 8 CAPM Size Premium'!G15</f>
        <v>1.5100000000000001E-2</v>
      </c>
      <c r="K15" s="254">
        <f t="shared" si="4"/>
        <v>0.11340200605799383</v>
      </c>
      <c r="L15" s="256"/>
    </row>
    <row r="16" spans="1:12" x14ac:dyDescent="0.2">
      <c r="C16" s="258"/>
      <c r="D16" s="258"/>
      <c r="E16" s="258"/>
      <c r="G16" s="258"/>
      <c r="H16" s="258"/>
      <c r="I16" s="258"/>
      <c r="J16" s="258"/>
      <c r="K16" s="258"/>
      <c r="L16" s="258"/>
    </row>
    <row r="17" spans="1:12" s="257" customFormat="1" ht="15.75" x14ac:dyDescent="0.25">
      <c r="A17" s="259" t="s">
        <v>1307</v>
      </c>
      <c r="C17" s="256"/>
      <c r="D17" s="256"/>
      <c r="E17" s="256"/>
      <c r="G17" s="256"/>
      <c r="H17" s="256"/>
      <c r="I17" s="260">
        <f>MAX(I9:I15)</f>
        <v>0.10732134025675485</v>
      </c>
      <c r="J17" s="256"/>
      <c r="K17" s="260">
        <f>MAX(K9:K15)</f>
        <v>0.12242134025675486</v>
      </c>
      <c r="L17" s="256"/>
    </row>
    <row r="18" spans="1:12" s="257" customFormat="1" ht="15.75" x14ac:dyDescent="0.25">
      <c r="A18" s="259" t="s">
        <v>1308</v>
      </c>
      <c r="C18" s="256"/>
      <c r="D18" s="256"/>
      <c r="E18" s="256"/>
      <c r="G18" s="256"/>
      <c r="H18" s="256"/>
      <c r="I18" s="260">
        <f>MEDIAN(I9:I15)</f>
        <v>0.10130845079091419</v>
      </c>
      <c r="J18" s="256"/>
      <c r="K18" s="260">
        <f>MEDIAN(K9:K15)</f>
        <v>0.11261167315737436</v>
      </c>
      <c r="L18" s="256"/>
    </row>
    <row r="19" spans="1:12" s="257" customFormat="1" ht="15.75" x14ac:dyDescent="0.25">
      <c r="A19" s="259" t="s">
        <v>1309</v>
      </c>
      <c r="C19" s="256"/>
      <c r="D19" s="256"/>
      <c r="E19" s="256"/>
      <c r="G19" s="256"/>
      <c r="H19" s="256"/>
      <c r="I19" s="260">
        <f>MIN(I9:I15)</f>
        <v>9.379233895861333E-2</v>
      </c>
      <c r="J19" s="256"/>
      <c r="K19" s="260">
        <f>MIN(K9:K15)</f>
        <v>0.10720200605799383</v>
      </c>
      <c r="L19" s="256"/>
    </row>
    <row r="20" spans="1:12" x14ac:dyDescent="0.2">
      <c r="C20" s="258"/>
      <c r="D20" s="258"/>
      <c r="E20" s="258"/>
      <c r="G20" s="258"/>
      <c r="H20" s="258"/>
      <c r="I20" s="258"/>
      <c r="J20" s="258"/>
      <c r="K20" s="258"/>
      <c r="L20" s="258"/>
    </row>
    <row r="21" spans="1:12" x14ac:dyDescent="0.2">
      <c r="A21" s="261" t="s">
        <v>1310</v>
      </c>
      <c r="B21" s="262"/>
      <c r="C21" s="262"/>
      <c r="J21" s="258"/>
      <c r="K21" s="258"/>
      <c r="L21" s="258"/>
    </row>
    <row r="22" spans="1:12" x14ac:dyDescent="0.2">
      <c r="A22" s="263" t="s">
        <v>1362</v>
      </c>
      <c r="B22" s="264"/>
      <c r="C22" s="264"/>
      <c r="J22" s="258"/>
      <c r="K22" s="258"/>
      <c r="L22" s="258"/>
    </row>
    <row r="23" spans="1:12" x14ac:dyDescent="0.2">
      <c r="A23" s="263" t="s">
        <v>1363</v>
      </c>
      <c r="B23" s="264"/>
      <c r="C23" s="264"/>
      <c r="J23" s="258"/>
      <c r="K23" s="258"/>
      <c r="L23" s="258"/>
    </row>
    <row r="24" spans="1:12" x14ac:dyDescent="0.2">
      <c r="A24" s="263" t="s">
        <v>1311</v>
      </c>
      <c r="B24" s="264"/>
      <c r="C24" s="264"/>
      <c r="J24" s="258"/>
      <c r="K24" s="258"/>
      <c r="L24" s="258"/>
    </row>
    <row r="25" spans="1:12" x14ac:dyDescent="0.2">
      <c r="A25" s="263" t="s">
        <v>1364</v>
      </c>
      <c r="J25" s="258"/>
      <c r="K25" s="258"/>
      <c r="L25" s="258"/>
    </row>
    <row r="26" spans="1:12" x14ac:dyDescent="0.2">
      <c r="A26" s="263" t="s">
        <v>1312</v>
      </c>
      <c r="J26" s="258"/>
      <c r="K26" s="258"/>
      <c r="L26" s="258"/>
    </row>
    <row r="27" spans="1:12" x14ac:dyDescent="0.2">
      <c r="A27" s="263" t="s">
        <v>1313</v>
      </c>
      <c r="J27" s="258"/>
      <c r="K27" s="258"/>
      <c r="L27" s="258"/>
    </row>
    <row r="28" spans="1:12" x14ac:dyDescent="0.2">
      <c r="A28" s="263" t="s">
        <v>1314</v>
      </c>
      <c r="J28" s="258"/>
      <c r="K28" s="258"/>
      <c r="L28" s="258"/>
    </row>
    <row r="29" spans="1:12" x14ac:dyDescent="0.2">
      <c r="A29" s="263" t="s">
        <v>1368</v>
      </c>
      <c r="J29" s="258"/>
      <c r="K29" s="258"/>
      <c r="L29" s="258"/>
    </row>
    <row r="30" spans="1:12" x14ac:dyDescent="0.2">
      <c r="A30" s="263" t="s">
        <v>1315</v>
      </c>
    </row>
    <row r="33" spans="2:10" ht="15.75" x14ac:dyDescent="0.25">
      <c r="B33" s="257"/>
      <c r="C33" s="257"/>
      <c r="D33" s="257"/>
      <c r="E33" s="257"/>
      <c r="F33" s="257"/>
      <c r="G33" s="257"/>
      <c r="H33" s="257"/>
      <c r="I33" s="257"/>
      <c r="J33" s="257"/>
    </row>
    <row r="34" spans="2:10" ht="15.75" x14ac:dyDescent="0.25">
      <c r="B34" s="257"/>
      <c r="C34" s="257"/>
      <c r="D34" s="257"/>
      <c r="E34" s="257"/>
      <c r="F34" s="257"/>
      <c r="G34" s="257"/>
      <c r="H34" s="257"/>
      <c r="I34" s="257"/>
      <c r="J34" s="257"/>
    </row>
    <row r="35" spans="2:10" ht="15.75" x14ac:dyDescent="0.25">
      <c r="B35" s="257"/>
      <c r="C35" s="257"/>
      <c r="D35" s="257"/>
      <c r="E35" s="257"/>
      <c r="F35" s="257"/>
      <c r="G35" s="257"/>
      <c r="H35" s="257"/>
      <c r="I35" s="257"/>
      <c r="J35" s="257"/>
    </row>
    <row r="36" spans="2:10" ht="15.75" x14ac:dyDescent="0.25">
      <c r="B36" s="257"/>
      <c r="C36" s="257"/>
      <c r="D36" s="257"/>
      <c r="E36" s="257"/>
      <c r="F36" s="257"/>
      <c r="G36" s="257"/>
      <c r="H36" s="257"/>
      <c r="I36" s="257"/>
      <c r="J36" s="257"/>
    </row>
    <row r="37" spans="2:10" ht="15.75" x14ac:dyDescent="0.25">
      <c r="B37" s="257"/>
      <c r="C37" s="257"/>
      <c r="D37" s="257"/>
      <c r="E37" s="257"/>
      <c r="F37" s="257"/>
      <c r="G37" s="257"/>
      <c r="H37" s="257"/>
      <c r="I37" s="257"/>
      <c r="J37" s="257"/>
    </row>
    <row r="38" spans="2:10" ht="15.75" x14ac:dyDescent="0.25">
      <c r="B38" s="257"/>
      <c r="C38" s="257"/>
      <c r="D38" s="257"/>
      <c r="E38" s="257"/>
      <c r="F38" s="257"/>
      <c r="G38" s="257"/>
      <c r="H38" s="257"/>
      <c r="I38" s="257"/>
      <c r="J38" s="257"/>
    </row>
    <row r="39" spans="2:10" ht="15.75" x14ac:dyDescent="0.25">
      <c r="B39" s="257"/>
      <c r="C39" s="257"/>
      <c r="D39" s="257"/>
      <c r="E39" s="257"/>
      <c r="F39" s="257"/>
      <c r="G39" s="257"/>
      <c r="H39" s="257"/>
      <c r="I39" s="257"/>
      <c r="J39" s="257"/>
    </row>
    <row r="40" spans="2:10" ht="15.75" x14ac:dyDescent="0.25">
      <c r="B40" s="257"/>
      <c r="C40" s="257"/>
      <c r="D40" s="257"/>
      <c r="E40" s="257"/>
      <c r="F40" s="257"/>
      <c r="G40" s="257"/>
      <c r="H40" s="257"/>
      <c r="I40" s="257"/>
      <c r="J40" s="257"/>
    </row>
    <row r="41" spans="2:10" ht="15.75" x14ac:dyDescent="0.25">
      <c r="B41" s="257"/>
      <c r="C41" s="257"/>
      <c r="D41" s="257"/>
      <c r="E41" s="257"/>
      <c r="F41" s="257"/>
      <c r="G41" s="257"/>
      <c r="H41" s="257"/>
      <c r="I41" s="257"/>
      <c r="J41" s="257"/>
    </row>
    <row r="42" spans="2:10" ht="15.75" x14ac:dyDescent="0.25">
      <c r="B42" s="257"/>
      <c r="C42" s="257"/>
      <c r="D42" s="257"/>
      <c r="E42" s="257"/>
      <c r="F42" s="257"/>
      <c r="G42" s="257"/>
      <c r="H42" s="257"/>
      <c r="I42" s="257"/>
      <c r="J42" s="257"/>
    </row>
    <row r="43" spans="2:10" ht="15.75" x14ac:dyDescent="0.25">
      <c r="B43" s="257"/>
      <c r="C43" s="257"/>
      <c r="D43" s="257"/>
      <c r="E43" s="257"/>
      <c r="F43" s="257"/>
      <c r="G43" s="257"/>
      <c r="H43" s="257"/>
      <c r="I43" s="257"/>
      <c r="J43" s="257"/>
    </row>
    <row r="44" spans="2:10" ht="15.75" x14ac:dyDescent="0.25">
      <c r="B44" s="257"/>
      <c r="C44" s="257"/>
      <c r="D44" s="257"/>
      <c r="E44" s="257"/>
      <c r="F44" s="257"/>
      <c r="G44" s="257"/>
      <c r="H44" s="257"/>
      <c r="I44" s="257"/>
      <c r="J44" s="257"/>
    </row>
    <row r="45" spans="2:10" ht="15.75" x14ac:dyDescent="0.25">
      <c r="B45" s="257"/>
      <c r="C45" s="257"/>
      <c r="D45" s="257"/>
      <c r="E45" s="257"/>
      <c r="F45" s="257"/>
      <c r="G45" s="257"/>
      <c r="H45" s="257"/>
      <c r="I45" s="257"/>
      <c r="J45" s="257"/>
    </row>
    <row r="46" spans="2:10" ht="15.75" x14ac:dyDescent="0.25">
      <c r="B46" s="257"/>
      <c r="C46" s="257"/>
      <c r="D46" s="257"/>
      <c r="E46" s="257"/>
      <c r="F46" s="257"/>
      <c r="G46" s="257"/>
      <c r="H46" s="257"/>
      <c r="I46" s="257"/>
      <c r="J46" s="257"/>
    </row>
  </sheetData>
  <mergeCells count="3">
    <mergeCell ref="A1:K1"/>
    <mergeCell ref="A3:K3"/>
    <mergeCell ref="A4:K4"/>
  </mergeCells>
  <printOptions horizontalCentered="1"/>
  <pageMargins left="0.7" right="0.7" top="1.25" bottom="0.75" header="0.3" footer="0.3"/>
  <pageSetup scale="80" orientation="landscape" useFirstPageNumber="1" r:id="rId1"/>
  <headerFooter alignWithMargins="0">
    <oddHeader>&amp;RDocket No. UG-17____
Cascade Natural Gas Corp.
Exhibit No.___(JSG-2)
Schedule 8
Page &amp;P of 2</oddHeader>
  </headerFooter>
  <ignoredErrors>
    <ignoredError sqref="J9:J15"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47"/>
  <sheetViews>
    <sheetView view="pageBreakPreview" zoomScaleNormal="60" zoomScaleSheetLayoutView="100" workbookViewId="0">
      <selection activeCell="J5" sqref="J5"/>
    </sheetView>
  </sheetViews>
  <sheetFormatPr defaultColWidth="8" defaultRowHeight="12.75" x14ac:dyDescent="0.2"/>
  <cols>
    <col min="1" max="1" width="30.625" style="245" customWidth="1"/>
    <col min="2" max="2" width="10.625" style="245" customWidth="1"/>
    <col min="3" max="3" width="7.625" style="245" bestFit="1" customWidth="1"/>
    <col min="4" max="4" width="9.625" style="245" bestFit="1" customWidth="1"/>
    <col min="5" max="5" width="17.375" style="245" bestFit="1" customWidth="1"/>
    <col min="6" max="6" width="9.25" style="245" bestFit="1" customWidth="1"/>
    <col min="7" max="7" width="19.125" style="245" customWidth="1"/>
    <col min="8" max="8" width="13" style="245" customWidth="1"/>
    <col min="9" max="9" width="5.625" style="245" customWidth="1"/>
    <col min="10" max="11" width="10.625" style="245" customWidth="1"/>
    <col min="12" max="12" width="5.625" style="245" customWidth="1"/>
    <col min="13" max="13" width="10.625" style="245" customWidth="1"/>
    <col min="14" max="16" width="8" style="245"/>
    <col min="17" max="17" width="8" style="245" customWidth="1"/>
    <col min="18" max="16384" width="8" style="245"/>
  </cols>
  <sheetData>
    <row r="1" spans="1:13" s="52" customFormat="1" ht="20.25" x14ac:dyDescent="0.3">
      <c r="A1" s="310" t="s">
        <v>1105</v>
      </c>
      <c r="B1" s="310"/>
      <c r="C1" s="310"/>
      <c r="D1" s="310"/>
      <c r="E1" s="310"/>
      <c r="F1" s="310"/>
      <c r="G1" s="310"/>
      <c r="H1" s="55"/>
      <c r="I1" s="55"/>
      <c r="J1" s="55"/>
    </row>
    <row r="2" spans="1:13" s="244" customFormat="1" x14ac:dyDescent="0.2">
      <c r="A2" s="243"/>
      <c r="B2" s="243"/>
      <c r="C2" s="243"/>
      <c r="D2" s="243"/>
      <c r="E2" s="243"/>
      <c r="F2" s="243"/>
      <c r="G2" s="243"/>
      <c r="H2" s="265"/>
      <c r="I2" s="265"/>
      <c r="J2" s="265"/>
    </row>
    <row r="3" spans="1:13" ht="18.75" x14ac:dyDescent="0.3">
      <c r="A3" s="311" t="s">
        <v>1297</v>
      </c>
      <c r="B3" s="311"/>
      <c r="C3" s="311"/>
      <c r="D3" s="311"/>
      <c r="E3" s="311"/>
      <c r="F3" s="311"/>
      <c r="G3" s="311"/>
    </row>
    <row r="4" spans="1:13" ht="18.75" x14ac:dyDescent="0.3">
      <c r="A4" s="312" t="s">
        <v>1330</v>
      </c>
      <c r="B4" s="312"/>
      <c r="C4" s="312"/>
      <c r="D4" s="312"/>
      <c r="E4" s="312"/>
      <c r="F4" s="312"/>
      <c r="G4" s="312"/>
    </row>
    <row r="6" spans="1:13" s="257" customFormat="1" ht="15.75" x14ac:dyDescent="0.25">
      <c r="A6" s="266"/>
      <c r="B6" s="266"/>
      <c r="C6" s="266" t="s">
        <v>153</v>
      </c>
      <c r="D6" s="266" t="s">
        <v>152</v>
      </c>
      <c r="E6" s="266" t="s">
        <v>151</v>
      </c>
      <c r="F6" s="266" t="s">
        <v>1316</v>
      </c>
      <c r="G6" s="266" t="s">
        <v>1317</v>
      </c>
    </row>
    <row r="7" spans="1:13" s="268" customFormat="1" ht="31.5" x14ac:dyDescent="0.25">
      <c r="A7" s="248" t="s">
        <v>132</v>
      </c>
      <c r="B7" s="292" t="s">
        <v>133</v>
      </c>
      <c r="C7" s="249" t="s">
        <v>1318</v>
      </c>
      <c r="D7" s="267" t="s">
        <v>1365</v>
      </c>
      <c r="E7" s="249" t="s">
        <v>1319</v>
      </c>
      <c r="F7" s="249" t="s">
        <v>1320</v>
      </c>
      <c r="G7" s="250" t="s">
        <v>1321</v>
      </c>
    </row>
    <row r="8" spans="1:13" x14ac:dyDescent="0.2">
      <c r="A8" s="252"/>
      <c r="B8" s="252"/>
      <c r="C8" s="269"/>
      <c r="D8" s="270"/>
      <c r="E8" s="269"/>
      <c r="F8" s="269"/>
      <c r="G8" s="269"/>
      <c r="I8" s="245" t="s">
        <v>1322</v>
      </c>
      <c r="J8" s="245" t="s">
        <v>1323</v>
      </c>
      <c r="L8" s="245" t="s">
        <v>1322</v>
      </c>
      <c r="M8" s="245" t="s">
        <v>1369</v>
      </c>
    </row>
    <row r="9" spans="1:13" s="257" customFormat="1" ht="15.75" x14ac:dyDescent="0.25">
      <c r="A9" s="23" t="s">
        <v>111</v>
      </c>
      <c r="B9" s="60" t="s">
        <v>135</v>
      </c>
      <c r="C9" s="271">
        <v>105.175</v>
      </c>
      <c r="D9" s="272">
        <v>81.02</v>
      </c>
      <c r="E9" s="290">
        <f>C9*D9</f>
        <v>8521.2784999999985</v>
      </c>
      <c r="F9" s="266">
        <v>3</v>
      </c>
      <c r="G9" s="256">
        <f t="shared" ref="G9:G15" si="0">VLOOKUP($F$9:$F$15,$I$9:$J$18,2,FALSE)</f>
        <v>8.8999999999999999E-3</v>
      </c>
      <c r="I9" s="257">
        <v>1</v>
      </c>
      <c r="J9" s="256">
        <v>-3.5000000000000001E-3</v>
      </c>
      <c r="L9" s="257">
        <v>1</v>
      </c>
      <c r="M9" s="289">
        <v>609163.49800000002</v>
      </c>
    </row>
    <row r="10" spans="1:13" s="257" customFormat="1" ht="15.75" x14ac:dyDescent="0.25">
      <c r="A10" s="23" t="s">
        <v>175</v>
      </c>
      <c r="B10" s="60" t="s">
        <v>20</v>
      </c>
      <c r="C10" s="273">
        <v>86.313000000000002</v>
      </c>
      <c r="D10" s="272">
        <v>40.35</v>
      </c>
      <c r="E10" s="290">
        <f t="shared" ref="E10:E14" si="1">C10*D10</f>
        <v>3482.72955</v>
      </c>
      <c r="F10" s="266">
        <v>5</v>
      </c>
      <c r="G10" s="256">
        <f t="shared" si="0"/>
        <v>1.5100000000000001E-2</v>
      </c>
      <c r="I10" s="257">
        <v>2</v>
      </c>
      <c r="J10" s="256">
        <v>6.1000000000000004E-3</v>
      </c>
      <c r="L10" s="257">
        <v>2</v>
      </c>
      <c r="M10" s="289">
        <v>24233.746999999999</v>
      </c>
    </row>
    <row r="11" spans="1:13" s="257" customFormat="1" ht="15.75" x14ac:dyDescent="0.25">
      <c r="A11" s="23" t="s">
        <v>63</v>
      </c>
      <c r="B11" s="60" t="s">
        <v>780</v>
      </c>
      <c r="C11" s="271">
        <v>323.70400000000001</v>
      </c>
      <c r="D11" s="272">
        <v>24.25</v>
      </c>
      <c r="E11" s="290">
        <f t="shared" si="1"/>
        <v>7849.8220000000001</v>
      </c>
      <c r="F11" s="266">
        <v>3</v>
      </c>
      <c r="G11" s="256">
        <f t="shared" si="0"/>
        <v>8.8999999999999999E-3</v>
      </c>
      <c r="I11" s="257">
        <v>3</v>
      </c>
      <c r="J11" s="256">
        <v>8.8999999999999999E-3</v>
      </c>
      <c r="L11" s="257">
        <v>3</v>
      </c>
      <c r="M11" s="289">
        <v>10711.194</v>
      </c>
    </row>
    <row r="12" spans="1:13" s="257" customFormat="1" ht="15.75" x14ac:dyDescent="0.25">
      <c r="A12" s="23" t="s">
        <v>106</v>
      </c>
      <c r="B12" s="60" t="s">
        <v>10</v>
      </c>
      <c r="C12" s="271">
        <v>28.643999999999998</v>
      </c>
      <c r="D12" s="272">
        <v>59.6</v>
      </c>
      <c r="E12" s="290">
        <f t="shared" si="1"/>
        <v>1707.1823999999999</v>
      </c>
      <c r="F12" s="266">
        <v>6</v>
      </c>
      <c r="G12" s="256">
        <f t="shared" si="0"/>
        <v>1.66E-2</v>
      </c>
      <c r="I12" s="257">
        <v>4</v>
      </c>
      <c r="J12" s="256">
        <v>9.7999999999999997E-3</v>
      </c>
      <c r="L12" s="257">
        <v>4</v>
      </c>
      <c r="M12" s="289">
        <v>5676.7160000000003</v>
      </c>
    </row>
    <row r="13" spans="1:13" s="257" customFormat="1" ht="15.75" x14ac:dyDescent="0.25">
      <c r="A13" s="23" t="s">
        <v>136</v>
      </c>
      <c r="B13" s="60" t="s">
        <v>137</v>
      </c>
      <c r="C13" s="271">
        <v>79.516999999999996</v>
      </c>
      <c r="D13" s="272">
        <v>37.520000000000003</v>
      </c>
      <c r="E13" s="290">
        <f t="shared" si="1"/>
        <v>2983.47784</v>
      </c>
      <c r="F13" s="266">
        <v>5</v>
      </c>
      <c r="G13" s="256">
        <f t="shared" si="0"/>
        <v>1.5100000000000001E-2</v>
      </c>
      <c r="I13" s="257">
        <v>5</v>
      </c>
      <c r="J13" s="256">
        <v>1.5100000000000001E-2</v>
      </c>
      <c r="L13" s="257">
        <v>5</v>
      </c>
      <c r="M13" s="289">
        <v>3512.913</v>
      </c>
    </row>
    <row r="14" spans="1:13" s="257" customFormat="1" ht="15.75" x14ac:dyDescent="0.25">
      <c r="A14" s="23" t="s">
        <v>176</v>
      </c>
      <c r="B14" s="60" t="s">
        <v>23</v>
      </c>
      <c r="C14" s="271">
        <v>47.548999999999999</v>
      </c>
      <c r="D14" s="272">
        <v>83.76</v>
      </c>
      <c r="E14" s="290">
        <f t="shared" si="1"/>
        <v>3982.70424</v>
      </c>
      <c r="F14" s="266">
        <v>4</v>
      </c>
      <c r="G14" s="256">
        <f t="shared" si="0"/>
        <v>9.7999999999999997E-3</v>
      </c>
      <c r="I14" s="257">
        <v>6</v>
      </c>
      <c r="J14" s="256">
        <v>1.66E-2</v>
      </c>
      <c r="L14" s="257">
        <v>6</v>
      </c>
      <c r="M14" s="289">
        <v>2390.8989999999999</v>
      </c>
    </row>
    <row r="15" spans="1:13" s="257" customFormat="1" ht="15.75" x14ac:dyDescent="0.25">
      <c r="A15" s="23" t="s">
        <v>1119</v>
      </c>
      <c r="B15" s="60" t="s">
        <v>1120</v>
      </c>
      <c r="C15" s="271">
        <v>45.738999999999997</v>
      </c>
      <c r="D15" s="272">
        <v>68.55</v>
      </c>
      <c r="E15" s="290">
        <f>C15*D15</f>
        <v>3135.4084499999999</v>
      </c>
      <c r="F15" s="266">
        <v>5</v>
      </c>
      <c r="G15" s="256">
        <f t="shared" si="0"/>
        <v>1.5100000000000001E-2</v>
      </c>
      <c r="I15" s="257">
        <v>7</v>
      </c>
      <c r="J15" s="256">
        <v>1.72E-2</v>
      </c>
      <c r="L15" s="257">
        <v>7</v>
      </c>
      <c r="M15" s="289">
        <v>1569.9839999999999</v>
      </c>
    </row>
    <row r="16" spans="1:13" s="257" customFormat="1" ht="15.75" x14ac:dyDescent="0.25">
      <c r="A16" s="245"/>
      <c r="B16" s="245"/>
      <c r="C16" s="258"/>
      <c r="D16" s="258"/>
      <c r="E16" s="274"/>
      <c r="F16" s="258"/>
      <c r="G16" s="258"/>
      <c r="I16" s="257">
        <v>8</v>
      </c>
      <c r="J16" s="256">
        <v>2.0799999999999999E-2</v>
      </c>
      <c r="L16" s="257">
        <v>8</v>
      </c>
      <c r="M16" s="289">
        <v>1030.4259999999999</v>
      </c>
    </row>
    <row r="17" spans="1:13" s="257" customFormat="1" ht="15.75" x14ac:dyDescent="0.25">
      <c r="C17" s="256"/>
      <c r="D17" s="256"/>
      <c r="F17" s="275" t="s">
        <v>7</v>
      </c>
      <c r="G17" s="260">
        <f>AVERAGE(G9:G15)</f>
        <v>1.2785714285714287E-2</v>
      </c>
      <c r="I17" s="257">
        <v>9</v>
      </c>
      <c r="J17" s="256">
        <v>2.64E-2</v>
      </c>
      <c r="L17" s="257">
        <v>9</v>
      </c>
      <c r="M17" s="289">
        <v>567.84299999999996</v>
      </c>
    </row>
    <row r="18" spans="1:13" s="257" customFormat="1" ht="15.75" x14ac:dyDescent="0.25">
      <c r="A18" s="245"/>
      <c r="C18" s="256"/>
      <c r="D18" s="256"/>
      <c r="F18" s="275"/>
      <c r="G18" s="260"/>
      <c r="I18" s="257">
        <v>10</v>
      </c>
      <c r="J18" s="256">
        <v>2.5899999999999999E-2</v>
      </c>
      <c r="L18" s="257">
        <v>10</v>
      </c>
      <c r="M18" s="289">
        <v>262.89100000000002</v>
      </c>
    </row>
    <row r="19" spans="1:13" s="257" customFormat="1" ht="15.75" x14ac:dyDescent="0.25">
      <c r="A19" s="276" t="s">
        <v>1310</v>
      </c>
      <c r="B19" s="245"/>
      <c r="C19" s="258"/>
      <c r="D19" s="258"/>
      <c r="E19" s="245"/>
      <c r="F19" s="277"/>
      <c r="G19" s="277"/>
    </row>
    <row r="20" spans="1:13" ht="15.75" x14ac:dyDescent="0.25">
      <c r="A20" s="245" t="s">
        <v>1378</v>
      </c>
      <c r="C20" s="258"/>
      <c r="D20" s="258"/>
      <c r="E20" s="274"/>
      <c r="F20" s="258"/>
      <c r="G20" s="258"/>
      <c r="H20" s="257"/>
    </row>
    <row r="21" spans="1:13" s="257" customFormat="1" ht="15.75" x14ac:dyDescent="0.25">
      <c r="A21" s="245" t="s">
        <v>1379</v>
      </c>
      <c r="B21" s="245"/>
      <c r="C21" s="258"/>
      <c r="D21" s="258"/>
      <c r="E21" s="274"/>
      <c r="F21" s="258"/>
      <c r="G21" s="258"/>
    </row>
    <row r="22" spans="1:13" ht="15.75" x14ac:dyDescent="0.25">
      <c r="A22" s="245" t="s">
        <v>1324</v>
      </c>
      <c r="C22" s="258"/>
      <c r="D22" s="258"/>
      <c r="E22" s="274"/>
      <c r="F22" s="258"/>
      <c r="G22" s="258"/>
      <c r="H22" s="257"/>
    </row>
    <row r="23" spans="1:13" ht="15.75" x14ac:dyDescent="0.25">
      <c r="A23" s="245" t="s">
        <v>1366</v>
      </c>
      <c r="C23" s="258"/>
      <c r="D23" s="258"/>
      <c r="E23" s="258"/>
      <c r="F23" s="258"/>
      <c r="G23" s="258"/>
      <c r="H23" s="257"/>
    </row>
    <row r="24" spans="1:13" x14ac:dyDescent="0.2">
      <c r="A24" s="245" t="s">
        <v>1367</v>
      </c>
      <c r="C24" s="258"/>
      <c r="D24" s="258"/>
      <c r="E24" s="258"/>
      <c r="F24" s="258"/>
      <c r="G24" s="258"/>
      <c r="H24" s="258"/>
    </row>
    <row r="25" spans="1:13" ht="15.75" x14ac:dyDescent="0.25">
      <c r="B25" s="257"/>
      <c r="C25" s="256"/>
      <c r="D25" s="256"/>
      <c r="E25" s="256"/>
      <c r="F25" s="256"/>
      <c r="G25" s="256"/>
      <c r="H25" s="258"/>
    </row>
    <row r="26" spans="1:13" ht="15.75" x14ac:dyDescent="0.25">
      <c r="B26" s="257"/>
      <c r="C26" s="256"/>
      <c r="D26" s="256"/>
      <c r="E26" s="256"/>
      <c r="F26" s="256"/>
      <c r="G26" s="256"/>
      <c r="H26" s="258"/>
    </row>
    <row r="27" spans="1:13" ht="15.75" x14ac:dyDescent="0.25">
      <c r="B27" s="257"/>
      <c r="C27" s="256"/>
      <c r="D27" s="256"/>
      <c r="E27" s="256"/>
      <c r="F27" s="256"/>
      <c r="G27" s="256"/>
      <c r="H27" s="258"/>
      <c r="I27" s="258"/>
      <c r="J27" s="258"/>
      <c r="K27" s="258"/>
      <c r="L27" s="258"/>
    </row>
    <row r="28" spans="1:13" ht="15.75" x14ac:dyDescent="0.25">
      <c r="B28" s="257"/>
      <c r="C28" s="256"/>
      <c r="D28" s="256"/>
      <c r="E28" s="256"/>
      <c r="F28" s="256"/>
      <c r="G28" s="256"/>
      <c r="H28" s="258"/>
      <c r="I28" s="258"/>
      <c r="J28" s="258"/>
      <c r="K28" s="258"/>
      <c r="L28" s="258"/>
    </row>
    <row r="29" spans="1:13" ht="15.75" x14ac:dyDescent="0.25">
      <c r="B29" s="257"/>
      <c r="C29" s="256"/>
      <c r="D29" s="256"/>
      <c r="E29" s="256"/>
      <c r="F29" s="256"/>
      <c r="G29" s="256"/>
      <c r="H29" s="256"/>
      <c r="I29" s="256"/>
      <c r="J29" s="256"/>
      <c r="K29" s="258"/>
      <c r="L29" s="258"/>
    </row>
    <row r="30" spans="1:13" ht="15.75" x14ac:dyDescent="0.25">
      <c r="B30" s="257"/>
      <c r="C30" s="257"/>
      <c r="D30" s="257"/>
      <c r="E30" s="257"/>
      <c r="F30" s="257"/>
      <c r="G30" s="257"/>
      <c r="H30" s="256"/>
      <c r="I30" s="256"/>
      <c r="J30" s="256"/>
      <c r="K30" s="258"/>
      <c r="L30" s="258"/>
    </row>
    <row r="31" spans="1:13" ht="15.75" x14ac:dyDescent="0.25">
      <c r="B31" s="257"/>
      <c r="C31" s="257"/>
      <c r="D31" s="257"/>
      <c r="E31" s="257"/>
      <c r="F31" s="257"/>
      <c r="G31" s="257"/>
      <c r="H31" s="256"/>
      <c r="I31" s="256"/>
      <c r="J31" s="256"/>
      <c r="K31" s="258"/>
      <c r="L31" s="258"/>
    </row>
    <row r="32" spans="1:13" ht="15.75" x14ac:dyDescent="0.25">
      <c r="B32" s="257"/>
      <c r="C32" s="257"/>
      <c r="D32" s="257"/>
      <c r="E32" s="257"/>
      <c r="F32" s="257"/>
      <c r="G32" s="257"/>
      <c r="H32" s="256"/>
      <c r="I32" s="256"/>
      <c r="J32" s="256"/>
      <c r="K32" s="258"/>
      <c r="L32" s="258"/>
    </row>
    <row r="33" spans="2:12" ht="15.75" x14ac:dyDescent="0.25">
      <c r="B33" s="257"/>
      <c r="C33" s="257"/>
      <c r="D33" s="257"/>
      <c r="E33" s="257"/>
      <c r="F33" s="257"/>
      <c r="G33" s="257"/>
      <c r="H33" s="256"/>
      <c r="I33" s="256"/>
      <c r="J33" s="256"/>
      <c r="K33" s="258"/>
      <c r="L33" s="258"/>
    </row>
    <row r="34" spans="2:12" ht="15.75" x14ac:dyDescent="0.25">
      <c r="B34" s="257"/>
      <c r="C34" s="257"/>
      <c r="D34" s="257"/>
      <c r="E34" s="257"/>
      <c r="F34" s="257"/>
      <c r="G34" s="257"/>
      <c r="H34" s="257"/>
      <c r="I34" s="257"/>
      <c r="J34" s="257"/>
    </row>
    <row r="35" spans="2:12" ht="15.75" x14ac:dyDescent="0.25">
      <c r="B35" s="257"/>
      <c r="C35" s="257"/>
      <c r="D35" s="257"/>
      <c r="E35" s="257"/>
      <c r="F35" s="257"/>
      <c r="G35" s="257"/>
      <c r="H35" s="257"/>
      <c r="I35" s="257"/>
      <c r="J35" s="257"/>
    </row>
    <row r="36" spans="2:12" ht="15.75" x14ac:dyDescent="0.25">
      <c r="B36" s="257"/>
      <c r="C36" s="257"/>
      <c r="D36" s="257"/>
      <c r="E36" s="257"/>
      <c r="F36" s="257"/>
      <c r="G36" s="257"/>
      <c r="H36" s="257"/>
      <c r="I36" s="257"/>
      <c r="J36" s="257"/>
    </row>
    <row r="37" spans="2:12" ht="15.75" x14ac:dyDescent="0.25">
      <c r="B37" s="257"/>
      <c r="C37" s="257"/>
      <c r="D37" s="257"/>
      <c r="E37" s="257"/>
      <c r="F37" s="257"/>
      <c r="G37" s="257"/>
      <c r="H37" s="257"/>
      <c r="I37" s="257"/>
      <c r="J37" s="257"/>
    </row>
    <row r="38" spans="2:12" ht="15.75" x14ac:dyDescent="0.25">
      <c r="B38" s="257"/>
      <c r="C38" s="257"/>
      <c r="D38" s="257"/>
      <c r="E38" s="257"/>
      <c r="F38" s="257"/>
      <c r="G38" s="257"/>
      <c r="H38" s="257"/>
      <c r="I38" s="257"/>
      <c r="J38" s="257"/>
    </row>
    <row r="39" spans="2:12" ht="15.75" x14ac:dyDescent="0.25">
      <c r="B39" s="257"/>
      <c r="C39" s="257"/>
      <c r="D39" s="257"/>
      <c r="E39" s="257"/>
      <c r="F39" s="257"/>
      <c r="G39" s="257"/>
      <c r="H39" s="257"/>
      <c r="I39" s="257"/>
      <c r="J39" s="257"/>
    </row>
    <row r="40" spans="2:12" ht="15.75" x14ac:dyDescent="0.25">
      <c r="B40" s="257"/>
      <c r="C40" s="257"/>
      <c r="D40" s="257"/>
      <c r="E40" s="257"/>
      <c r="F40" s="257"/>
      <c r="G40" s="257"/>
      <c r="H40" s="257"/>
      <c r="I40" s="257"/>
      <c r="J40" s="257"/>
    </row>
    <row r="41" spans="2:12" ht="15.75" x14ac:dyDescent="0.25">
      <c r="B41" s="257"/>
      <c r="C41" s="257"/>
      <c r="D41" s="257"/>
      <c r="E41" s="257"/>
      <c r="F41" s="257"/>
      <c r="G41" s="257"/>
      <c r="H41" s="257"/>
      <c r="I41" s="257"/>
      <c r="J41" s="257"/>
    </row>
    <row r="42" spans="2:12" ht="15.75" x14ac:dyDescent="0.25">
      <c r="B42" s="257"/>
      <c r="C42" s="257"/>
      <c r="D42" s="257"/>
      <c r="E42" s="257"/>
      <c r="F42" s="257"/>
      <c r="G42" s="257"/>
      <c r="H42" s="257"/>
      <c r="I42" s="257"/>
      <c r="J42" s="257"/>
    </row>
    <row r="43" spans="2:12" ht="15.75" x14ac:dyDescent="0.25">
      <c r="B43" s="257"/>
      <c r="C43" s="257"/>
      <c r="D43" s="257"/>
      <c r="E43" s="257"/>
      <c r="F43" s="257"/>
      <c r="G43" s="257"/>
      <c r="H43" s="257"/>
      <c r="I43" s="257"/>
      <c r="J43" s="257"/>
    </row>
    <row r="44" spans="2:12" ht="15.75" x14ac:dyDescent="0.25">
      <c r="H44" s="257"/>
      <c r="I44" s="257"/>
      <c r="J44" s="257"/>
    </row>
    <row r="45" spans="2:12" ht="15.75" x14ac:dyDescent="0.25">
      <c r="H45" s="257"/>
      <c r="I45" s="257"/>
      <c r="J45" s="257"/>
    </row>
    <row r="46" spans="2:12" ht="15.75" x14ac:dyDescent="0.25">
      <c r="H46" s="257"/>
      <c r="I46" s="257"/>
      <c r="J46" s="257"/>
    </row>
    <row r="47" spans="2:12" ht="15.75" x14ac:dyDescent="0.25">
      <c r="H47" s="257"/>
      <c r="I47" s="257"/>
      <c r="J47" s="257"/>
    </row>
  </sheetData>
  <mergeCells count="3">
    <mergeCell ref="A1:G1"/>
    <mergeCell ref="A3:G3"/>
    <mergeCell ref="A4:G4"/>
  </mergeCells>
  <printOptions horizontalCentered="1"/>
  <pageMargins left="0.7" right="0.7" top="1.25" bottom="0.75" header="0.3" footer="0.3"/>
  <pageSetup scale="80" firstPageNumber="2" orientation="landscape" useFirstPageNumber="1" r:id="rId1"/>
  <headerFooter alignWithMargins="0">
    <oddHeader xml:space="preserve">&amp;R&amp;10Docket No. UG-17____
Cascade Natural Gas Corp.
Exhibit No.___(JSG-2)
Schedule 8
Page &amp;P of 2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44"/>
  <sheetViews>
    <sheetView view="pageBreakPreview" zoomScale="80" zoomScaleNormal="85" zoomScaleSheetLayoutView="80" workbookViewId="0">
      <selection activeCell="G8" sqref="G8"/>
    </sheetView>
  </sheetViews>
  <sheetFormatPr defaultColWidth="9" defaultRowHeight="15.75" x14ac:dyDescent="0.25"/>
  <cols>
    <col min="1" max="1" width="30.625" style="87" customWidth="1"/>
    <col min="2" max="2" width="12.625" style="87" customWidth="1"/>
    <col min="3" max="3" width="30.625" style="87" customWidth="1"/>
    <col min="4" max="4" width="12.625" style="87" customWidth="1"/>
    <col min="5" max="8" width="15.625" style="87" customWidth="1"/>
    <col min="9" max="16384" width="9" style="87"/>
  </cols>
  <sheetData>
    <row r="1" spans="1:9" ht="20.25" x14ac:dyDescent="0.3">
      <c r="A1" s="24" t="s">
        <v>1267</v>
      </c>
      <c r="B1" s="24"/>
      <c r="C1" s="24"/>
      <c r="D1" s="24"/>
      <c r="E1" s="86"/>
      <c r="F1" s="86"/>
      <c r="G1" s="86"/>
      <c r="H1" s="86"/>
    </row>
    <row r="3" spans="1:9" ht="18.75" x14ac:dyDescent="0.3">
      <c r="A3" s="25" t="s">
        <v>32</v>
      </c>
      <c r="B3" s="86"/>
      <c r="C3" s="86"/>
      <c r="D3" s="86"/>
      <c r="E3" s="86"/>
      <c r="F3" s="86"/>
      <c r="G3" s="86"/>
      <c r="H3" s="86"/>
    </row>
    <row r="4" spans="1:9" ht="19.5" thickBot="1" x14ac:dyDescent="0.35">
      <c r="A4" s="209" t="s">
        <v>1268</v>
      </c>
      <c r="B4" s="210"/>
      <c r="C4" s="210"/>
      <c r="D4" s="210"/>
      <c r="E4" s="288"/>
      <c r="F4" s="288"/>
      <c r="G4" s="288"/>
      <c r="H4" s="288"/>
    </row>
    <row r="5" spans="1:9" x14ac:dyDescent="0.25">
      <c r="A5" s="137"/>
      <c r="B5" s="137"/>
      <c r="C5" s="137"/>
      <c r="D5" s="138"/>
      <c r="E5" s="212" t="s">
        <v>1269</v>
      </c>
      <c r="F5" s="212" t="s">
        <v>1270</v>
      </c>
      <c r="G5" s="212" t="s">
        <v>1271</v>
      </c>
      <c r="H5" s="212" t="s">
        <v>1272</v>
      </c>
    </row>
    <row r="6" spans="1:9" x14ac:dyDescent="0.25">
      <c r="A6" s="137"/>
      <c r="B6" s="137"/>
      <c r="C6" s="137"/>
      <c r="D6" s="138"/>
      <c r="E6" s="212" t="s">
        <v>1078</v>
      </c>
      <c r="F6" s="212" t="s">
        <v>1273</v>
      </c>
      <c r="G6" s="212" t="s">
        <v>1274</v>
      </c>
      <c r="H6" s="212" t="s">
        <v>1273</v>
      </c>
    </row>
    <row r="7" spans="1:9" x14ac:dyDescent="0.25">
      <c r="A7" s="136" t="s">
        <v>132</v>
      </c>
      <c r="B7" s="136" t="s">
        <v>133</v>
      </c>
      <c r="C7" s="136" t="s">
        <v>1040</v>
      </c>
      <c r="D7" s="136" t="s">
        <v>1041</v>
      </c>
      <c r="E7" s="213" t="s">
        <v>1079</v>
      </c>
      <c r="F7" s="213" t="s">
        <v>1275</v>
      </c>
      <c r="G7" s="213" t="s">
        <v>1276</v>
      </c>
      <c r="H7" s="213" t="s">
        <v>1277</v>
      </c>
    </row>
    <row r="8" spans="1:9" s="6" customFormat="1" x14ac:dyDescent="0.25">
      <c r="E8" s="214" t="s">
        <v>77</v>
      </c>
      <c r="F8" s="214" t="s">
        <v>77</v>
      </c>
      <c r="G8" s="214" t="s">
        <v>77</v>
      </c>
      <c r="H8" s="215" t="s">
        <v>78</v>
      </c>
    </row>
    <row r="9" spans="1:9" s="6" customFormat="1" x14ac:dyDescent="0.25">
      <c r="E9" s="216"/>
      <c r="F9" s="216"/>
      <c r="G9" s="216"/>
      <c r="H9" s="215"/>
    </row>
    <row r="10" spans="1:9" x14ac:dyDescent="0.25">
      <c r="A10" s="6" t="s">
        <v>111</v>
      </c>
      <c r="B10" s="7" t="s">
        <v>135</v>
      </c>
      <c r="C10" s="137" t="s">
        <v>111</v>
      </c>
      <c r="D10" s="138" t="s">
        <v>1047</v>
      </c>
      <c r="E10" s="216" t="s">
        <v>1045</v>
      </c>
      <c r="F10" s="216" t="s">
        <v>1045</v>
      </c>
      <c r="G10" s="216" t="s">
        <v>1045</v>
      </c>
      <c r="H10" s="215" t="str">
        <f>IF(OR(F10="Y",E10="Y",G10="Y"),"Y","N")</f>
        <v>N</v>
      </c>
      <c r="I10" s="216"/>
    </row>
    <row r="11" spans="1:9" x14ac:dyDescent="0.25">
      <c r="A11" s="6" t="s">
        <v>1037</v>
      </c>
      <c r="B11" s="7" t="s">
        <v>1037</v>
      </c>
      <c r="C11" s="137" t="s">
        <v>111</v>
      </c>
      <c r="D11" s="139" t="s">
        <v>1048</v>
      </c>
      <c r="E11" s="216" t="s">
        <v>1045</v>
      </c>
      <c r="F11" s="216" t="s">
        <v>1045</v>
      </c>
      <c r="G11" s="216" t="s">
        <v>1045</v>
      </c>
      <c r="H11" s="215" t="str">
        <f t="shared" ref="H11:H22" si="0">IF(OR(F11="Y",E11="Y",G11="Y"),"Y","N")</f>
        <v>N</v>
      </c>
    </row>
    <row r="12" spans="1:9" x14ac:dyDescent="0.25">
      <c r="A12" s="6" t="s">
        <v>1037</v>
      </c>
      <c r="B12" s="7" t="s">
        <v>1037</v>
      </c>
      <c r="C12" s="137" t="s">
        <v>111</v>
      </c>
      <c r="D12" s="139" t="s">
        <v>1049</v>
      </c>
      <c r="E12" s="216" t="s">
        <v>1045</v>
      </c>
      <c r="F12" s="216" t="s">
        <v>1045</v>
      </c>
      <c r="G12" s="216" t="s">
        <v>1045</v>
      </c>
      <c r="H12" s="215" t="str">
        <f t="shared" si="0"/>
        <v>N</v>
      </c>
    </row>
    <row r="13" spans="1:9" x14ac:dyDescent="0.25">
      <c r="A13" s="6" t="s">
        <v>1037</v>
      </c>
      <c r="B13" s="7" t="s">
        <v>1037</v>
      </c>
      <c r="C13" s="137" t="s">
        <v>111</v>
      </c>
      <c r="D13" s="139" t="s">
        <v>1050</v>
      </c>
      <c r="E13" s="216" t="s">
        <v>1045</v>
      </c>
      <c r="F13" s="216" t="s">
        <v>1042</v>
      </c>
      <c r="G13" s="216" t="s">
        <v>1045</v>
      </c>
      <c r="H13" s="215" t="str">
        <f t="shared" si="0"/>
        <v>Y</v>
      </c>
    </row>
    <row r="14" spans="1:9" x14ac:dyDescent="0.25">
      <c r="A14" s="6" t="s">
        <v>1037</v>
      </c>
      <c r="B14" s="7" t="s">
        <v>1037</v>
      </c>
      <c r="C14" s="137" t="s">
        <v>111</v>
      </c>
      <c r="D14" s="139" t="s">
        <v>138</v>
      </c>
      <c r="E14" s="216" t="s">
        <v>1045</v>
      </c>
      <c r="F14" s="216" t="s">
        <v>1042</v>
      </c>
      <c r="G14" s="216" t="s">
        <v>1045</v>
      </c>
      <c r="H14" s="215" t="str">
        <f t="shared" si="0"/>
        <v>Y</v>
      </c>
    </row>
    <row r="15" spans="1:9" x14ac:dyDescent="0.25">
      <c r="A15" s="6" t="s">
        <v>1037</v>
      </c>
      <c r="B15" s="7" t="s">
        <v>1037</v>
      </c>
      <c r="C15" s="137" t="s">
        <v>111</v>
      </c>
      <c r="D15" s="139" t="s">
        <v>1043</v>
      </c>
      <c r="E15" s="216" t="s">
        <v>1045</v>
      </c>
      <c r="F15" s="216" t="s">
        <v>1042</v>
      </c>
      <c r="G15" s="216" t="s">
        <v>1045</v>
      </c>
      <c r="H15" s="215" t="str">
        <f t="shared" si="0"/>
        <v>Y</v>
      </c>
    </row>
    <row r="16" spans="1:9" x14ac:dyDescent="0.25">
      <c r="A16" s="6" t="s">
        <v>1037</v>
      </c>
      <c r="B16" s="7" t="s">
        <v>1037</v>
      </c>
      <c r="C16" s="137" t="s">
        <v>1278</v>
      </c>
      <c r="D16" s="139" t="s">
        <v>1279</v>
      </c>
      <c r="E16" s="216" t="s">
        <v>1045</v>
      </c>
      <c r="F16" s="216" t="s">
        <v>1042</v>
      </c>
      <c r="G16" s="216" t="s">
        <v>1045</v>
      </c>
      <c r="H16" s="215" t="str">
        <f t="shared" si="0"/>
        <v>Y</v>
      </c>
    </row>
    <row r="17" spans="1:8" x14ac:dyDescent="0.25">
      <c r="A17" s="6" t="s">
        <v>1037</v>
      </c>
      <c r="B17" s="7" t="s">
        <v>1037</v>
      </c>
      <c r="C17" s="137" t="s">
        <v>111</v>
      </c>
      <c r="D17" s="139" t="s">
        <v>1046</v>
      </c>
      <c r="E17" s="216" t="s">
        <v>1045</v>
      </c>
      <c r="F17" s="216" t="s">
        <v>1045</v>
      </c>
      <c r="G17" s="216" t="s">
        <v>1045</v>
      </c>
      <c r="H17" s="215" t="str">
        <f t="shared" si="0"/>
        <v>N</v>
      </c>
    </row>
    <row r="18" spans="1:8" x14ac:dyDescent="0.25">
      <c r="A18" s="140" t="s">
        <v>175</v>
      </c>
      <c r="B18" s="141" t="s">
        <v>20</v>
      </c>
      <c r="C18" s="137" t="s">
        <v>1280</v>
      </c>
      <c r="D18" s="138" t="s">
        <v>1044</v>
      </c>
      <c r="E18" s="215" t="s">
        <v>1042</v>
      </c>
      <c r="F18" s="215" t="s">
        <v>1045</v>
      </c>
      <c r="G18" s="215" t="s">
        <v>1045</v>
      </c>
      <c r="H18" s="215" t="str">
        <f t="shared" si="0"/>
        <v>Y</v>
      </c>
    </row>
    <row r="19" spans="1:8" x14ac:dyDescent="0.25">
      <c r="A19" s="140" t="s">
        <v>63</v>
      </c>
      <c r="B19" s="141" t="s">
        <v>780</v>
      </c>
      <c r="C19" s="137" t="s">
        <v>1257</v>
      </c>
      <c r="D19" s="138" t="s">
        <v>1258</v>
      </c>
      <c r="E19" s="215" t="s">
        <v>1045</v>
      </c>
      <c r="F19" s="215" t="s">
        <v>1045</v>
      </c>
      <c r="G19" s="215" t="s">
        <v>1045</v>
      </c>
      <c r="H19" s="215" t="str">
        <f t="shared" si="0"/>
        <v>N</v>
      </c>
    </row>
    <row r="20" spans="1:8" x14ac:dyDescent="0.25">
      <c r="A20" s="140"/>
      <c r="B20" s="141"/>
      <c r="C20" s="137" t="s">
        <v>1259</v>
      </c>
      <c r="D20" s="138" t="s">
        <v>1049</v>
      </c>
      <c r="E20" s="215" t="s">
        <v>1045</v>
      </c>
      <c r="F20" s="215" t="s">
        <v>1045</v>
      </c>
      <c r="G20" s="215" t="s">
        <v>1045</v>
      </c>
      <c r="H20" s="215" t="str">
        <f t="shared" si="0"/>
        <v>N</v>
      </c>
    </row>
    <row r="21" spans="1:8" x14ac:dyDescent="0.25">
      <c r="A21" s="140"/>
      <c r="B21" s="141"/>
      <c r="C21" s="137" t="s">
        <v>1260</v>
      </c>
      <c r="D21" s="138" t="s">
        <v>1261</v>
      </c>
      <c r="E21" s="215" t="s">
        <v>1042</v>
      </c>
      <c r="F21" s="215" t="s">
        <v>1045</v>
      </c>
      <c r="G21" s="215" t="s">
        <v>1045</v>
      </c>
      <c r="H21" s="215" t="str">
        <f t="shared" si="0"/>
        <v>Y</v>
      </c>
    </row>
    <row r="22" spans="1:8" x14ac:dyDescent="0.25">
      <c r="A22" s="140"/>
      <c r="B22" s="141"/>
      <c r="C22" s="137" t="s">
        <v>1281</v>
      </c>
      <c r="D22" s="138" t="s">
        <v>758</v>
      </c>
      <c r="E22" s="215" t="s">
        <v>1042</v>
      </c>
      <c r="F22" s="215" t="s">
        <v>1045</v>
      </c>
      <c r="G22" s="215" t="s">
        <v>1045</v>
      </c>
      <c r="H22" s="215" t="str">
        <f t="shared" si="0"/>
        <v>Y</v>
      </c>
    </row>
    <row r="23" spans="1:8" x14ac:dyDescent="0.25">
      <c r="A23" s="140"/>
      <c r="B23" s="141"/>
      <c r="C23" s="137" t="s">
        <v>1262</v>
      </c>
      <c r="D23" s="138" t="s">
        <v>1263</v>
      </c>
      <c r="E23" s="215" t="s">
        <v>1045</v>
      </c>
      <c r="F23" s="215" t="s">
        <v>1045</v>
      </c>
      <c r="G23" s="215" t="s">
        <v>1042</v>
      </c>
      <c r="H23" s="215" t="str">
        <f t="shared" ref="H23:H25" si="1">IF(OR(F23="Y",E23="Y",G23="Y"),"Y","N")</f>
        <v>Y</v>
      </c>
    </row>
    <row r="24" spans="1:8" x14ac:dyDescent="0.25">
      <c r="A24" s="140"/>
      <c r="B24" s="141"/>
      <c r="C24" s="137" t="s">
        <v>1264</v>
      </c>
      <c r="D24" s="138" t="s">
        <v>1265</v>
      </c>
      <c r="E24" s="215" t="s">
        <v>1045</v>
      </c>
      <c r="F24" s="215" t="s">
        <v>1045</v>
      </c>
      <c r="G24" s="215" t="s">
        <v>1045</v>
      </c>
      <c r="H24" s="215" t="str">
        <f t="shared" si="1"/>
        <v>N</v>
      </c>
    </row>
    <row r="25" spans="1:8" x14ac:dyDescent="0.25">
      <c r="A25" s="140"/>
      <c r="B25" s="141"/>
      <c r="C25" s="137" t="s">
        <v>1266</v>
      </c>
      <c r="D25" s="138" t="s">
        <v>1046</v>
      </c>
      <c r="E25" s="215" t="s">
        <v>1042</v>
      </c>
      <c r="F25" s="215" t="s">
        <v>1045</v>
      </c>
      <c r="G25" s="215" t="s">
        <v>1045</v>
      </c>
      <c r="H25" s="215" t="str">
        <f t="shared" si="1"/>
        <v>Y</v>
      </c>
    </row>
    <row r="26" spans="1:8" x14ac:dyDescent="0.25">
      <c r="A26" s="142" t="s">
        <v>106</v>
      </c>
      <c r="B26" s="141" t="s">
        <v>10</v>
      </c>
      <c r="C26" s="137" t="s">
        <v>106</v>
      </c>
      <c r="D26" s="138" t="s">
        <v>1051</v>
      </c>
      <c r="E26" s="215" t="s">
        <v>1042</v>
      </c>
      <c r="F26" s="215" t="s">
        <v>1045</v>
      </c>
      <c r="G26" s="215" t="s">
        <v>1045</v>
      </c>
      <c r="H26" s="215" t="str">
        <f t="shared" ref="H26:H35" si="2">IF(OR(F26="Y",E26="Y",G26="Y"),"Y","N")</f>
        <v>Y</v>
      </c>
    </row>
    <row r="27" spans="1:8" x14ac:dyDescent="0.25">
      <c r="A27" s="142" t="s">
        <v>1037</v>
      </c>
      <c r="B27" s="141" t="s">
        <v>1037</v>
      </c>
      <c r="C27" s="137" t="s">
        <v>106</v>
      </c>
      <c r="D27" s="138" t="s">
        <v>1052</v>
      </c>
      <c r="E27" s="215" t="s">
        <v>1045</v>
      </c>
      <c r="F27" s="215" t="s">
        <v>1045</v>
      </c>
      <c r="G27" s="215" t="s">
        <v>1045</v>
      </c>
      <c r="H27" s="215" t="str">
        <f t="shared" si="2"/>
        <v>N</v>
      </c>
    </row>
    <row r="28" spans="1:8" x14ac:dyDescent="0.25">
      <c r="A28" s="6" t="s">
        <v>136</v>
      </c>
      <c r="B28" s="7" t="s">
        <v>137</v>
      </c>
      <c r="C28" s="137" t="s">
        <v>1282</v>
      </c>
      <c r="D28" s="138" t="s">
        <v>1044</v>
      </c>
      <c r="E28" s="215" t="s">
        <v>1042</v>
      </c>
      <c r="F28" s="215" t="s">
        <v>1045</v>
      </c>
      <c r="G28" s="215" t="s">
        <v>1045</v>
      </c>
      <c r="H28" s="215" t="str">
        <f t="shared" si="2"/>
        <v>Y</v>
      </c>
    </row>
    <row r="29" spans="1:8" x14ac:dyDescent="0.25">
      <c r="A29" s="142" t="s">
        <v>176</v>
      </c>
      <c r="B29" s="141" t="s">
        <v>23</v>
      </c>
      <c r="C29" s="137" t="s">
        <v>176</v>
      </c>
      <c r="D29" s="138" t="s">
        <v>1053</v>
      </c>
      <c r="E29" s="215" t="s">
        <v>1042</v>
      </c>
      <c r="F29" s="215" t="s">
        <v>1045</v>
      </c>
      <c r="G29" s="215" t="s">
        <v>1045</v>
      </c>
      <c r="H29" s="215" t="str">
        <f t="shared" si="2"/>
        <v>Y</v>
      </c>
    </row>
    <row r="30" spans="1:8" x14ac:dyDescent="0.25">
      <c r="A30" s="142" t="s">
        <v>1037</v>
      </c>
      <c r="B30" s="141" t="s">
        <v>1037</v>
      </c>
      <c r="C30" s="137" t="s">
        <v>176</v>
      </c>
      <c r="D30" s="138" t="s">
        <v>108</v>
      </c>
      <c r="E30" s="215" t="s">
        <v>1042</v>
      </c>
      <c r="F30" s="215" t="s">
        <v>1045</v>
      </c>
      <c r="G30" s="215" t="s">
        <v>1045</v>
      </c>
      <c r="H30" s="215" t="str">
        <f t="shared" si="2"/>
        <v>Y</v>
      </c>
    </row>
    <row r="31" spans="1:8" x14ac:dyDescent="0.25">
      <c r="A31" s="142" t="s">
        <v>1037</v>
      </c>
      <c r="B31" s="141" t="s">
        <v>1037</v>
      </c>
      <c r="C31" s="137" t="s">
        <v>176</v>
      </c>
      <c r="D31" s="138" t="s">
        <v>1054</v>
      </c>
      <c r="E31" s="215" t="s">
        <v>1042</v>
      </c>
      <c r="F31" s="215" t="s">
        <v>1045</v>
      </c>
      <c r="G31" s="215" t="s">
        <v>1045</v>
      </c>
      <c r="H31" s="215" t="str">
        <f t="shared" si="2"/>
        <v>Y</v>
      </c>
    </row>
    <row r="32" spans="1:8" x14ac:dyDescent="0.25">
      <c r="A32" s="6" t="s">
        <v>1251</v>
      </c>
      <c r="B32" s="7" t="s">
        <v>1120</v>
      </c>
      <c r="C32" s="137" t="s">
        <v>1370</v>
      </c>
      <c r="D32" s="139" t="s">
        <v>1055</v>
      </c>
      <c r="E32" s="215" t="s">
        <v>1045</v>
      </c>
      <c r="F32" s="215" t="s">
        <v>1042</v>
      </c>
      <c r="G32" s="215" t="s">
        <v>1045</v>
      </c>
      <c r="H32" s="215" t="str">
        <f t="shared" si="2"/>
        <v>Y</v>
      </c>
    </row>
    <row r="33" spans="1:9" x14ac:dyDescent="0.25">
      <c r="A33" s="6"/>
      <c r="B33" s="7"/>
      <c r="C33" s="137" t="s">
        <v>1283</v>
      </c>
      <c r="D33" s="139" t="s">
        <v>105</v>
      </c>
      <c r="E33" s="215" t="s">
        <v>1045</v>
      </c>
      <c r="F33" s="215" t="s">
        <v>1045</v>
      </c>
      <c r="G33" s="215" t="s">
        <v>1042</v>
      </c>
      <c r="H33" s="215" t="str">
        <f t="shared" si="2"/>
        <v>Y</v>
      </c>
    </row>
    <row r="34" spans="1:9" x14ac:dyDescent="0.25">
      <c r="A34" s="6"/>
      <c r="B34" s="7"/>
      <c r="C34" s="137" t="s">
        <v>1056</v>
      </c>
      <c r="D34" s="139" t="s">
        <v>105</v>
      </c>
      <c r="E34" s="215" t="s">
        <v>1045</v>
      </c>
      <c r="F34" s="215" t="s">
        <v>1045</v>
      </c>
      <c r="G34" s="215" t="s">
        <v>1042</v>
      </c>
      <c r="H34" s="215" t="str">
        <f t="shared" si="2"/>
        <v>Y</v>
      </c>
    </row>
    <row r="35" spans="1:9" x14ac:dyDescent="0.25">
      <c r="A35" s="6"/>
      <c r="B35" s="7"/>
      <c r="C35" s="137" t="s">
        <v>1371</v>
      </c>
      <c r="D35" s="139" t="s">
        <v>1055</v>
      </c>
      <c r="E35" s="215" t="s">
        <v>1045</v>
      </c>
      <c r="F35" s="215" t="s">
        <v>1042</v>
      </c>
      <c r="G35" s="215" t="s">
        <v>1045</v>
      </c>
      <c r="H35" s="215" t="str">
        <f t="shared" si="2"/>
        <v>Y</v>
      </c>
    </row>
    <row r="36" spans="1:9" x14ac:dyDescent="0.25">
      <c r="A36" s="6"/>
      <c r="B36" s="7"/>
      <c r="C36" s="137" t="s">
        <v>1372</v>
      </c>
      <c r="D36" s="139" t="s">
        <v>138</v>
      </c>
      <c r="E36" s="215" t="s">
        <v>1045</v>
      </c>
      <c r="F36" s="215" t="s">
        <v>1045</v>
      </c>
      <c r="G36" s="215" t="s">
        <v>1045</v>
      </c>
      <c r="H36" s="215" t="str">
        <f>IF(OR(F36="Y",E36="Y",G36="Y"),"Y","N")</f>
        <v>N</v>
      </c>
    </row>
    <row r="37" spans="1:9" x14ac:dyDescent="0.25">
      <c r="A37" s="217"/>
      <c r="B37" s="217"/>
      <c r="C37" s="218"/>
      <c r="D37" s="218"/>
      <c r="E37" s="219"/>
      <c r="F37" s="219"/>
      <c r="G37" s="219"/>
      <c r="H37" s="219"/>
    </row>
    <row r="38" spans="1:9" x14ac:dyDescent="0.25">
      <c r="A38" s="143" t="s">
        <v>1284</v>
      </c>
      <c r="C38" s="137"/>
      <c r="D38" s="137"/>
      <c r="E38" s="212"/>
      <c r="F38" s="212"/>
      <c r="G38" s="212"/>
      <c r="H38" s="212">
        <f>COUNTIF(H$10:H$36,"Y")</f>
        <v>18</v>
      </c>
      <c r="I38" s="211"/>
    </row>
    <row r="39" spans="1:9" x14ac:dyDescent="0.25">
      <c r="A39" s="143" t="s">
        <v>1285</v>
      </c>
      <c r="C39" s="137"/>
      <c r="D39" s="137"/>
      <c r="E39" s="212"/>
      <c r="F39" s="212"/>
      <c r="G39" s="212"/>
      <c r="H39" s="212">
        <f>COUNTA(H$10:H$36)</f>
        <v>27</v>
      </c>
      <c r="I39" s="211"/>
    </row>
    <row r="40" spans="1:9" ht="16.5" thickBot="1" x14ac:dyDescent="0.3">
      <c r="A40" s="220" t="s">
        <v>1286</v>
      </c>
      <c r="B40" s="221"/>
      <c r="C40" s="221"/>
      <c r="D40" s="221"/>
      <c r="E40" s="222"/>
      <c r="F40" s="222"/>
      <c r="G40" s="222"/>
      <c r="H40" s="222">
        <f>H38/H39</f>
        <v>0.66666666666666663</v>
      </c>
      <c r="I40" s="211"/>
    </row>
    <row r="41" spans="1:9" x14ac:dyDescent="0.25">
      <c r="A41" s="137"/>
      <c r="B41" s="137"/>
      <c r="C41" s="137"/>
      <c r="D41" s="137"/>
      <c r="E41" s="211"/>
      <c r="F41" s="211"/>
      <c r="G41" s="211"/>
      <c r="H41" s="223"/>
      <c r="I41" s="211"/>
    </row>
    <row r="42" spans="1:9" x14ac:dyDescent="0.25">
      <c r="A42" s="98" t="s">
        <v>101</v>
      </c>
      <c r="C42" s="137"/>
      <c r="D42" s="137"/>
    </row>
    <row r="43" spans="1:9" x14ac:dyDescent="0.25">
      <c r="A43" s="105" t="s">
        <v>1373</v>
      </c>
    </row>
    <row r="44" spans="1:9" x14ac:dyDescent="0.25">
      <c r="A44" s="105" t="s">
        <v>1287</v>
      </c>
    </row>
  </sheetData>
  <printOptions horizontalCentered="1"/>
  <pageMargins left="0.7" right="0.7" top="0.75" bottom="0.75" header="0.3" footer="0.3"/>
  <pageSetup scale="74" fitToWidth="0" fitToHeight="0" orientation="landscape" useFirstPageNumber="1" r:id="rId1"/>
  <headerFooter>
    <oddHeader>&amp;RDocket No.UG-17-____
Cascade Natural Gas Corp.
Exhibit No.___(JSG-2)
Schedule 9
Page &amp;P of 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workbookViewId="0">
      <selection activeCell="A31" sqref="A31"/>
    </sheetView>
  </sheetViews>
  <sheetFormatPr defaultRowHeight="15" x14ac:dyDescent="0.25"/>
  <cols>
    <col min="1" max="1" width="86.375" style="300" customWidth="1"/>
    <col min="2" max="2" width="25.75" style="300" customWidth="1"/>
    <col min="3" max="16384" width="9" style="300"/>
  </cols>
  <sheetData>
    <row r="1" spans="1:1" ht="15.75" x14ac:dyDescent="0.25">
      <c r="A1" s="299" t="s">
        <v>1394</v>
      </c>
    </row>
    <row r="2" spans="1:1" ht="15.75" x14ac:dyDescent="0.25">
      <c r="A2" s="299" t="s">
        <v>1395</v>
      </c>
    </row>
    <row r="3" spans="1:1" ht="15.75" x14ac:dyDescent="0.25">
      <c r="A3" s="299" t="s">
        <v>1396</v>
      </c>
    </row>
    <row r="4" spans="1:1" ht="15.75" x14ac:dyDescent="0.25">
      <c r="A4" s="301"/>
    </row>
    <row r="5" spans="1:1" ht="15.75" x14ac:dyDescent="0.25">
      <c r="A5" s="302"/>
    </row>
    <row r="6" spans="1:1" ht="15.75" x14ac:dyDescent="0.25">
      <c r="A6" s="302"/>
    </row>
    <row r="7" spans="1:1" ht="15.75" x14ac:dyDescent="0.25">
      <c r="A7" s="302"/>
    </row>
    <row r="8" spans="1:1" ht="15.75" x14ac:dyDescent="0.25">
      <c r="A8" s="302" t="s">
        <v>1397</v>
      </c>
    </row>
    <row r="9" spans="1:1" ht="15.75" x14ac:dyDescent="0.25">
      <c r="A9" s="302"/>
    </row>
    <row r="10" spans="1:1" ht="15.75" x14ac:dyDescent="0.25">
      <c r="A10" s="302"/>
    </row>
    <row r="11" spans="1:1" ht="15.75" x14ac:dyDescent="0.25">
      <c r="A11" s="302"/>
    </row>
    <row r="12" spans="1:1" ht="15.75" x14ac:dyDescent="0.25">
      <c r="A12" s="302"/>
    </row>
    <row r="13" spans="1:1" ht="15.75" x14ac:dyDescent="0.25">
      <c r="A13" s="302"/>
    </row>
    <row r="14" spans="1:1" ht="15.75" x14ac:dyDescent="0.25">
      <c r="A14" s="302"/>
    </row>
    <row r="15" spans="1:1" ht="15.75" x14ac:dyDescent="0.25">
      <c r="A15" s="302"/>
    </row>
    <row r="16" spans="1:1" ht="15.75" x14ac:dyDescent="0.25">
      <c r="A16" s="303"/>
    </row>
    <row r="17" spans="1:1" ht="15.75" x14ac:dyDescent="0.25">
      <c r="A17" s="303"/>
    </row>
    <row r="18" spans="1:1" ht="15.75" x14ac:dyDescent="0.25">
      <c r="A18" s="302"/>
    </row>
    <row r="19" spans="1:1" ht="15.75" x14ac:dyDescent="0.25">
      <c r="A19" s="303" t="s">
        <v>1398</v>
      </c>
    </row>
    <row r="20" spans="1:1" ht="15.75" x14ac:dyDescent="0.25">
      <c r="A20" s="303"/>
    </row>
    <row r="21" spans="1:1" ht="15.75" x14ac:dyDescent="0.25">
      <c r="A21" s="303" t="s">
        <v>1399</v>
      </c>
    </row>
    <row r="22" spans="1:1" ht="15.75" x14ac:dyDescent="0.25">
      <c r="A22" s="303"/>
    </row>
    <row r="23" spans="1:1" ht="15.75" x14ac:dyDescent="0.25">
      <c r="A23" s="303"/>
    </row>
    <row r="24" spans="1:1" ht="15.75" x14ac:dyDescent="0.25">
      <c r="A24" s="304" t="s">
        <v>1400</v>
      </c>
    </row>
    <row r="25" spans="1:1" ht="15.75" x14ac:dyDescent="0.25">
      <c r="A25" s="303"/>
    </row>
    <row r="26" spans="1:1" ht="15.75" x14ac:dyDescent="0.25">
      <c r="A26" s="303"/>
    </row>
    <row r="27" spans="1:1" ht="15.75" x14ac:dyDescent="0.25">
      <c r="A27" s="303"/>
    </row>
    <row r="28" spans="1:1" ht="15.75" x14ac:dyDescent="0.25">
      <c r="A28" s="303"/>
    </row>
    <row r="29" spans="1:1" ht="15.75" x14ac:dyDescent="0.25">
      <c r="A29" s="303"/>
    </row>
    <row r="30" spans="1:1" ht="15.75" x14ac:dyDescent="0.25">
      <c r="A30" s="305">
        <v>42947</v>
      </c>
    </row>
    <row r="31" spans="1:1" x14ac:dyDescent="0.25">
      <c r="A31" s="306"/>
    </row>
    <row r="32" spans="1:1" x14ac:dyDescent="0.25">
      <c r="A32" s="307"/>
    </row>
    <row r="33" spans="1:1" x14ac:dyDescent="0.25">
      <c r="A33" s="307"/>
    </row>
    <row r="34" spans="1:1" x14ac:dyDescent="0.25">
      <c r="A34" s="307"/>
    </row>
    <row r="35" spans="1:1" x14ac:dyDescent="0.25">
      <c r="A35" s="307"/>
    </row>
    <row r="36" spans="1:1" x14ac:dyDescent="0.25">
      <c r="A36" s="307"/>
    </row>
  </sheetData>
  <printOptions horizontalCentered="1"/>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2"/>
  <sheetViews>
    <sheetView tabSelected="1" view="pageBreakPreview" zoomScaleNormal="100" zoomScaleSheetLayoutView="100" workbookViewId="0">
      <selection activeCell="J3" sqref="J3"/>
    </sheetView>
  </sheetViews>
  <sheetFormatPr defaultColWidth="9" defaultRowHeight="15.75" x14ac:dyDescent="0.25"/>
  <cols>
    <col min="1" max="1" width="30.625" style="6" customWidth="1"/>
    <col min="2" max="3" width="12.625" style="6" customWidth="1"/>
    <col min="4" max="4" width="10.625" style="6" customWidth="1"/>
    <col min="5" max="5" width="12.625" style="6" customWidth="1"/>
    <col min="6" max="6" width="10.625" style="6" customWidth="1"/>
    <col min="7" max="7" width="12.625" style="6" customWidth="1"/>
    <col min="8" max="8" width="10.625" style="6" customWidth="1"/>
    <col min="9" max="9" width="12.625" style="6" customWidth="1"/>
    <col min="10" max="10" width="10.625" style="6" customWidth="1"/>
    <col min="11" max="11" width="12.625" style="6" customWidth="1"/>
    <col min="12" max="12" width="3.625" style="6" customWidth="1"/>
    <col min="13" max="16384" width="9" style="6"/>
  </cols>
  <sheetData>
    <row r="1" spans="1:13" ht="20.25" x14ac:dyDescent="0.3">
      <c r="A1" s="24" t="s">
        <v>1105</v>
      </c>
      <c r="B1" s="86"/>
      <c r="C1" s="86"/>
      <c r="D1" s="86"/>
      <c r="E1" s="86"/>
      <c r="F1" s="86"/>
      <c r="G1" s="86"/>
      <c r="H1" s="86"/>
      <c r="I1" s="86"/>
      <c r="J1" s="86"/>
      <c r="K1" s="86"/>
      <c r="M1" s="43"/>
    </row>
    <row r="2" spans="1:13" x14ac:dyDescent="0.25">
      <c r="K2" s="86"/>
      <c r="M2" s="23"/>
    </row>
    <row r="3" spans="1:13" ht="18.75" x14ac:dyDescent="0.3">
      <c r="A3" s="25" t="s">
        <v>32</v>
      </c>
      <c r="B3" s="86"/>
      <c r="C3" s="86"/>
      <c r="D3" s="86"/>
      <c r="E3" s="86"/>
      <c r="F3" s="86"/>
      <c r="G3" s="86"/>
      <c r="H3" s="86"/>
      <c r="I3" s="86"/>
      <c r="J3" s="86"/>
      <c r="K3" s="86"/>
    </row>
    <row r="4" spans="1:13" ht="18.75" x14ac:dyDescent="0.3">
      <c r="A4" s="25" t="s">
        <v>1374</v>
      </c>
      <c r="B4" s="86"/>
      <c r="C4" s="86"/>
      <c r="D4" s="86"/>
      <c r="E4" s="86"/>
      <c r="F4" s="86"/>
      <c r="G4" s="86"/>
      <c r="H4" s="86"/>
      <c r="I4" s="86"/>
      <c r="J4" s="86"/>
      <c r="K4" s="86"/>
    </row>
    <row r="5" spans="1:13" ht="18.75" x14ac:dyDescent="0.3">
      <c r="A5" s="18" t="s">
        <v>129</v>
      </c>
      <c r="B5" s="86"/>
      <c r="C5" s="86"/>
      <c r="D5" s="86"/>
      <c r="E5" s="86"/>
      <c r="F5" s="86"/>
      <c r="G5" s="86"/>
      <c r="H5" s="86"/>
      <c r="I5" s="86"/>
      <c r="J5" s="86"/>
      <c r="K5" s="86"/>
    </row>
    <row r="6" spans="1:13" ht="16.5" thickBot="1" x14ac:dyDescent="0.3">
      <c r="E6" s="144"/>
      <c r="I6" s="43"/>
    </row>
    <row r="7" spans="1:13" ht="31.5" x14ac:dyDescent="0.25">
      <c r="A7" s="88" t="s">
        <v>132</v>
      </c>
      <c r="B7" s="88" t="s">
        <v>133</v>
      </c>
      <c r="C7" s="89" t="s">
        <v>30</v>
      </c>
      <c r="D7" s="88" t="s">
        <v>18</v>
      </c>
      <c r="E7" s="79" t="s">
        <v>21</v>
      </c>
      <c r="F7" s="88" t="s">
        <v>18</v>
      </c>
      <c r="G7" s="89" t="s">
        <v>52</v>
      </c>
      <c r="H7" s="88" t="s">
        <v>18</v>
      </c>
      <c r="I7" s="89" t="s">
        <v>53</v>
      </c>
      <c r="J7" s="88" t="s">
        <v>18</v>
      </c>
      <c r="K7" s="89" t="s">
        <v>54</v>
      </c>
    </row>
    <row r="9" spans="1:13" x14ac:dyDescent="0.25">
      <c r="A9" s="29" t="s">
        <v>111</v>
      </c>
      <c r="B9" s="49" t="s">
        <v>135</v>
      </c>
      <c r="C9" s="150">
        <v>670.60699999999997</v>
      </c>
      <c r="D9" s="110">
        <f>C9/$K9</f>
        <v>9.485125438979497E-2</v>
      </c>
      <c r="E9" s="150">
        <v>2564.62</v>
      </c>
      <c r="F9" s="110">
        <f>E9/$K9</f>
        <v>0.36274214858054865</v>
      </c>
      <c r="G9" s="90">
        <v>0</v>
      </c>
      <c r="H9" s="26">
        <f t="shared" ref="H9:H12" si="0">G9/$K9</f>
        <v>0</v>
      </c>
      <c r="I9" s="150">
        <v>3834.864</v>
      </c>
      <c r="J9" s="110">
        <f t="shared" ref="J9:J15" si="1">I9/$K9</f>
        <v>0.54240659702965632</v>
      </c>
      <c r="K9" s="149">
        <f>C9+E9+G9+I9</f>
        <v>7070.0910000000003</v>
      </c>
      <c r="L9" s="6" t="s">
        <v>29</v>
      </c>
    </row>
    <row r="10" spans="1:13" x14ac:dyDescent="0.25">
      <c r="A10" s="23" t="s">
        <v>175</v>
      </c>
      <c r="B10" s="60" t="s">
        <v>20</v>
      </c>
      <c r="C10" s="90">
        <v>237.9</v>
      </c>
      <c r="D10" s="110">
        <f t="shared" ref="D10:D15" si="2">C10/$K10</f>
        <v>9.1188870588081963E-2</v>
      </c>
      <c r="E10" s="90">
        <v>1084.691</v>
      </c>
      <c r="F10" s="110">
        <f t="shared" ref="F10:F12" si="3">E10/$K10</f>
        <v>0.41577026997501987</v>
      </c>
      <c r="G10" s="90">
        <v>0</v>
      </c>
      <c r="H10" s="110">
        <f t="shared" si="0"/>
        <v>0</v>
      </c>
      <c r="I10" s="90">
        <v>1286.28</v>
      </c>
      <c r="J10" s="110">
        <f t="shared" si="1"/>
        <v>0.49304085943689818</v>
      </c>
      <c r="K10" s="149">
        <f t="shared" ref="K10:K12" si="4">C10+E10+G10+I10</f>
        <v>2608.8710000000001</v>
      </c>
      <c r="L10" s="6" t="s">
        <v>29</v>
      </c>
    </row>
    <row r="11" spans="1:13" x14ac:dyDescent="0.25">
      <c r="A11" s="23" t="s">
        <v>63</v>
      </c>
      <c r="B11" s="60" t="s">
        <v>780</v>
      </c>
      <c r="C11" s="90">
        <v>1514.2</v>
      </c>
      <c r="D11" s="110">
        <f t="shared" si="2"/>
        <v>0.12508570626089399</v>
      </c>
      <c r="E11" s="90">
        <v>6400</v>
      </c>
      <c r="F11" s="110">
        <f t="shared" si="3"/>
        <v>0.52869404310508628</v>
      </c>
      <c r="G11" s="90">
        <v>0</v>
      </c>
      <c r="H11" s="110">
        <f t="shared" ref="H11" si="5">G11/$K11</f>
        <v>0</v>
      </c>
      <c r="I11" s="90">
        <v>4191.1000000000004</v>
      </c>
      <c r="J11" s="110">
        <f t="shared" ref="J11" si="6">I11/$K11</f>
        <v>0.34622025063401984</v>
      </c>
      <c r="K11" s="149">
        <f t="shared" ref="K11" si="7">C11+E11+G11+I11</f>
        <v>12105.3</v>
      </c>
      <c r="L11" s="6" t="s">
        <v>29</v>
      </c>
    </row>
    <row r="12" spans="1:13" x14ac:dyDescent="0.25">
      <c r="A12" s="29" t="s">
        <v>106</v>
      </c>
      <c r="B12" s="49" t="s">
        <v>10</v>
      </c>
      <c r="C12" s="90">
        <v>0</v>
      </c>
      <c r="D12" s="110">
        <f t="shared" si="2"/>
        <v>0</v>
      </c>
      <c r="E12" s="90">
        <v>719.71</v>
      </c>
      <c r="F12" s="110">
        <f t="shared" si="3"/>
        <v>0.45141987988647236</v>
      </c>
      <c r="G12" s="90">
        <v>0</v>
      </c>
      <c r="H12" s="110">
        <f t="shared" si="0"/>
        <v>0</v>
      </c>
      <c r="I12" s="90">
        <v>874.61500000000001</v>
      </c>
      <c r="J12" s="110">
        <f t="shared" si="1"/>
        <v>0.54858012011352764</v>
      </c>
      <c r="K12" s="149">
        <f t="shared" si="4"/>
        <v>1594.325</v>
      </c>
      <c r="L12" s="6" t="s">
        <v>29</v>
      </c>
    </row>
    <row r="13" spans="1:13" x14ac:dyDescent="0.25">
      <c r="A13" s="29" t="s">
        <v>136</v>
      </c>
      <c r="B13" s="49" t="s">
        <v>137</v>
      </c>
      <c r="C13" s="90">
        <v>205.1</v>
      </c>
      <c r="D13" s="110">
        <f t="shared" si="2"/>
        <v>7.8157003740180364E-2</v>
      </c>
      <c r="E13" s="90">
        <v>1111.2070000000001</v>
      </c>
      <c r="F13" s="110">
        <f t="shared" ref="F13:F15" si="8">E13/$K13</f>
        <v>0.42344519578310391</v>
      </c>
      <c r="G13" s="90">
        <v>0</v>
      </c>
      <c r="H13" s="110">
        <f t="shared" ref="H13:H15" si="9">G13/$K13</f>
        <v>0</v>
      </c>
      <c r="I13" s="90">
        <v>1307.8979999999999</v>
      </c>
      <c r="J13" s="110">
        <f t="shared" si="1"/>
        <v>0.49839780047671578</v>
      </c>
      <c r="K13" s="149">
        <f t="shared" ref="K13:K14" si="10">C13+E13+G13+I13</f>
        <v>2624.2049999999999</v>
      </c>
      <c r="L13" s="6" t="s">
        <v>29</v>
      </c>
    </row>
    <row r="14" spans="1:13" x14ac:dyDescent="0.25">
      <c r="A14" s="29" t="s">
        <v>176</v>
      </c>
      <c r="B14" s="49" t="s">
        <v>23</v>
      </c>
      <c r="C14" s="90">
        <v>0</v>
      </c>
      <c r="D14" s="110">
        <f t="shared" si="2"/>
        <v>0</v>
      </c>
      <c r="E14" s="90">
        <v>1590.1960000000001</v>
      </c>
      <c r="F14" s="110">
        <f t="shared" si="8"/>
        <v>0.48106457662308277</v>
      </c>
      <c r="G14" s="90">
        <v>0</v>
      </c>
      <c r="H14" s="110">
        <f t="shared" si="9"/>
        <v>0</v>
      </c>
      <c r="I14" s="90">
        <v>1715.3810000000001</v>
      </c>
      <c r="J14" s="110">
        <f t="shared" si="1"/>
        <v>0.51893542337691723</v>
      </c>
      <c r="K14" s="149">
        <f t="shared" si="10"/>
        <v>3305.5770000000002</v>
      </c>
      <c r="L14" s="23" t="s">
        <v>29</v>
      </c>
    </row>
    <row r="15" spans="1:13" x14ac:dyDescent="0.25">
      <c r="A15" s="29" t="s">
        <v>1119</v>
      </c>
      <c r="B15" s="49" t="s">
        <v>1120</v>
      </c>
      <c r="C15" s="90">
        <v>567.4</v>
      </c>
      <c r="D15" s="110">
        <f t="shared" si="2"/>
        <v>0.12967068126242659</v>
      </c>
      <c r="E15" s="90">
        <v>1925.3</v>
      </c>
      <c r="F15" s="110">
        <f t="shared" si="8"/>
        <v>0.43999817172109607</v>
      </c>
      <c r="G15" s="90">
        <v>0</v>
      </c>
      <c r="H15" s="110">
        <f t="shared" si="9"/>
        <v>0</v>
      </c>
      <c r="I15" s="90">
        <v>1883</v>
      </c>
      <c r="J15" s="110">
        <f t="shared" si="1"/>
        <v>0.4303311470164774</v>
      </c>
      <c r="K15" s="149">
        <f>C15+E15+G15+I15</f>
        <v>4375.7</v>
      </c>
      <c r="L15" s="23" t="s">
        <v>29</v>
      </c>
    </row>
    <row r="17" spans="1:13" x14ac:dyDescent="0.25">
      <c r="A17" s="2" t="s">
        <v>1</v>
      </c>
      <c r="D17" s="4">
        <f>MEDIAN(D9:D15)</f>
        <v>9.1188870588081963E-2</v>
      </c>
      <c r="F17" s="4">
        <f>MEDIAN(F9:F15)</f>
        <v>0.43999817172109607</v>
      </c>
      <c r="H17" s="4">
        <f>MEDIAN(H9:H15)</f>
        <v>0</v>
      </c>
      <c r="J17" s="4">
        <f>MEDIAN(J9:J15)</f>
        <v>0.49839780047671578</v>
      </c>
    </row>
    <row r="19" spans="1:13" x14ac:dyDescent="0.25">
      <c r="A19" s="23" t="s">
        <v>1098</v>
      </c>
      <c r="B19" s="23"/>
      <c r="C19" s="196"/>
      <c r="D19" s="26">
        <v>0</v>
      </c>
      <c r="E19" s="196" t="s">
        <v>1037</v>
      </c>
      <c r="F19" s="26">
        <v>0.5</v>
      </c>
      <c r="G19" s="196"/>
      <c r="H19" s="26">
        <v>0</v>
      </c>
      <c r="I19" s="196" t="s">
        <v>1037</v>
      </c>
      <c r="J19" s="26">
        <v>0.5</v>
      </c>
      <c r="K19" s="196" t="s">
        <v>1037</v>
      </c>
      <c r="L19" s="23" t="s">
        <v>104</v>
      </c>
      <c r="M19" s="67"/>
    </row>
    <row r="21" spans="1:13" x14ac:dyDescent="0.25">
      <c r="A21" s="6" t="s">
        <v>1377</v>
      </c>
    </row>
    <row r="22" spans="1:13" s="23" customFormat="1" x14ac:dyDescent="0.25">
      <c r="A22" s="23" t="s">
        <v>1108</v>
      </c>
    </row>
  </sheetData>
  <printOptions horizontalCentered="1"/>
  <pageMargins left="0.7" right="0.7" top="1.25" bottom="0.75" header="0.3" footer="0.3"/>
  <pageSetup scale="75" orientation="landscape" useFirstPageNumber="1" copies="3" r:id="rId1"/>
  <headerFooter alignWithMargins="0">
    <oddHeader>&amp;R&amp;K01+000Docket No. UG-17____
Cascade Natural Gas Corp.&amp;K000000
Exhibit No.___(JSG-2)
Schedule 10
Page &amp;P of 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55"/>
  <sheetViews>
    <sheetView showOutlineSymbols="0" view="pageBreakPreview" topLeftCell="A25" zoomScale="80" zoomScaleNormal="70" zoomScaleSheetLayoutView="80" workbookViewId="0">
      <selection activeCell="E16" sqref="E16"/>
    </sheetView>
  </sheetViews>
  <sheetFormatPr defaultColWidth="9" defaultRowHeight="15.75" x14ac:dyDescent="0.25"/>
  <cols>
    <col min="1" max="6" width="18.625" customWidth="1"/>
    <col min="8" max="8" width="9.375" bestFit="1" customWidth="1"/>
    <col min="12" max="12" width="9" customWidth="1"/>
  </cols>
  <sheetData>
    <row r="1" spans="1:12" ht="20.25" x14ac:dyDescent="0.3">
      <c r="A1" s="24" t="s">
        <v>1105</v>
      </c>
      <c r="B1" s="1"/>
      <c r="C1" s="1"/>
      <c r="D1" s="1"/>
      <c r="E1" s="1"/>
      <c r="F1" s="1"/>
    </row>
    <row r="3" spans="1:12" ht="18.75" x14ac:dyDescent="0.3">
      <c r="A3" s="16" t="s">
        <v>66</v>
      </c>
      <c r="B3" s="1"/>
      <c r="C3" s="1"/>
      <c r="D3" s="1"/>
      <c r="E3" s="1"/>
      <c r="F3" s="1"/>
      <c r="H3" s="52"/>
    </row>
    <row r="4" spans="1:12" ht="18.75" x14ac:dyDescent="0.3">
      <c r="A4" s="18" t="s">
        <v>1113</v>
      </c>
      <c r="B4" s="1"/>
      <c r="C4" s="1"/>
      <c r="D4" s="1"/>
      <c r="E4" s="1"/>
      <c r="F4" s="1"/>
    </row>
    <row r="5" spans="1:12" x14ac:dyDescent="0.25">
      <c r="B5" s="19"/>
      <c r="C5" s="19"/>
    </row>
    <row r="6" spans="1:12" s="17" customFormat="1" ht="16.5" thickBot="1" x14ac:dyDescent="0.3">
      <c r="B6" s="20" t="s">
        <v>77</v>
      </c>
      <c r="C6" s="20" t="s">
        <v>78</v>
      </c>
      <c r="D6" s="5" t="s">
        <v>79</v>
      </c>
      <c r="E6" s="5" t="s">
        <v>80</v>
      </c>
      <c r="F6" s="5" t="s">
        <v>81</v>
      </c>
    </row>
    <row r="7" spans="1:12" x14ac:dyDescent="0.25">
      <c r="A7" s="31"/>
      <c r="B7" s="33" t="s">
        <v>67</v>
      </c>
      <c r="C7" s="33"/>
      <c r="D7" s="31"/>
      <c r="E7" s="31"/>
      <c r="F7" s="31"/>
    </row>
    <row r="8" spans="1:12" x14ac:dyDescent="0.25">
      <c r="A8" s="19"/>
      <c r="B8" s="20" t="s">
        <v>68</v>
      </c>
      <c r="C8" s="20" t="s">
        <v>69</v>
      </c>
      <c r="D8" s="20" t="s">
        <v>70</v>
      </c>
      <c r="E8" s="20" t="s">
        <v>71</v>
      </c>
      <c r="F8" s="20" t="s">
        <v>71</v>
      </c>
    </row>
    <row r="9" spans="1:12" x14ac:dyDescent="0.25">
      <c r="A9" s="19"/>
      <c r="B9" s="20" t="s">
        <v>72</v>
      </c>
      <c r="C9" s="20" t="s">
        <v>73</v>
      </c>
      <c r="D9" s="20" t="s">
        <v>69</v>
      </c>
      <c r="E9" s="20" t="s">
        <v>69</v>
      </c>
      <c r="F9" s="20" t="s">
        <v>69</v>
      </c>
    </row>
    <row r="10" spans="1:12" x14ac:dyDescent="0.25">
      <c r="A10" s="10" t="s">
        <v>74</v>
      </c>
      <c r="B10" s="10" t="s">
        <v>103</v>
      </c>
      <c r="C10" s="10" t="s">
        <v>102</v>
      </c>
      <c r="D10" s="10" t="s">
        <v>75</v>
      </c>
      <c r="E10" s="10" t="s">
        <v>171</v>
      </c>
      <c r="F10" s="10" t="s">
        <v>75</v>
      </c>
      <c r="H10" s="29"/>
      <c r="I10" s="29"/>
      <c r="J10" s="29"/>
      <c r="K10" s="29"/>
      <c r="L10" s="29"/>
    </row>
    <row r="12" spans="1:12" x14ac:dyDescent="0.25">
      <c r="A12" s="5">
        <v>1986</v>
      </c>
      <c r="B12" s="36">
        <v>1.8587360594795488E-2</v>
      </c>
      <c r="C12" s="37">
        <v>2.0178197064989467E-2</v>
      </c>
      <c r="D12" s="37">
        <v>3.5000000000000003E-2</v>
      </c>
      <c r="E12" s="147">
        <v>4590.2</v>
      </c>
      <c r="F12" s="21"/>
      <c r="H12" s="52"/>
      <c r="I12" s="42"/>
      <c r="J12" s="29"/>
      <c r="K12" s="29"/>
      <c r="L12" s="29"/>
    </row>
    <row r="13" spans="1:12" x14ac:dyDescent="0.25">
      <c r="A13" s="5">
        <v>1987</v>
      </c>
      <c r="B13" s="36">
        <v>3.649635036496357E-2</v>
      </c>
      <c r="C13" s="37">
        <v>2.5515883209178858E-2</v>
      </c>
      <c r="D13" s="37">
        <v>3.5000000000000003E-2</v>
      </c>
      <c r="E13" s="147">
        <v>4870.2</v>
      </c>
      <c r="F13" s="21">
        <f>E13/E12-1</f>
        <v>6.0999520718051592E-2</v>
      </c>
      <c r="H13" s="52"/>
      <c r="I13" s="42"/>
      <c r="J13" s="29"/>
      <c r="K13" s="29"/>
      <c r="L13" s="29"/>
    </row>
    <row r="14" spans="1:12" x14ac:dyDescent="0.25">
      <c r="A14" s="5">
        <v>1988</v>
      </c>
      <c r="B14" s="36">
        <v>4.1373239436619746E-2</v>
      </c>
      <c r="C14" s="37">
        <v>3.5017116139266946E-2</v>
      </c>
      <c r="D14" s="37">
        <v>4.2000000000000003E-2</v>
      </c>
      <c r="E14" s="147">
        <v>5252.6</v>
      </c>
      <c r="F14" s="21">
        <f t="shared" ref="F14:F42" si="0">E14/E13-1</f>
        <v>7.8518336002628253E-2</v>
      </c>
      <c r="H14" s="52"/>
      <c r="I14" s="42"/>
      <c r="J14" s="29"/>
      <c r="K14" s="29"/>
      <c r="L14" s="29"/>
    </row>
    <row r="15" spans="1:12" x14ac:dyDescent="0.25">
      <c r="A15" s="5">
        <v>1989</v>
      </c>
      <c r="B15" s="36">
        <v>4.8182586644125225E-2</v>
      </c>
      <c r="C15" s="37">
        <v>3.8882256138879079E-2</v>
      </c>
      <c r="D15" s="37">
        <v>3.7000000000000005E-2</v>
      </c>
      <c r="E15" s="147">
        <v>5657.7</v>
      </c>
      <c r="F15" s="21">
        <f t="shared" si="0"/>
        <v>7.7123710162586123E-2</v>
      </c>
      <c r="H15" s="52"/>
      <c r="I15" s="42"/>
      <c r="J15" s="29"/>
      <c r="K15" s="29"/>
      <c r="L15" s="29"/>
    </row>
    <row r="16" spans="1:12" x14ac:dyDescent="0.25">
      <c r="A16" s="5">
        <v>1990</v>
      </c>
      <c r="B16" s="36">
        <v>5.4032258064516059E-2</v>
      </c>
      <c r="C16" s="37">
        <v>3.6976643061249925E-2</v>
      </c>
      <c r="D16" s="37">
        <v>1.9E-2</v>
      </c>
      <c r="E16" s="147">
        <v>5979.6</v>
      </c>
      <c r="F16" s="21">
        <f t="shared" si="0"/>
        <v>5.6895911766265517E-2</v>
      </c>
      <c r="H16" s="52"/>
      <c r="I16" s="42"/>
      <c r="J16" s="29"/>
      <c r="K16" s="29"/>
      <c r="L16" s="29"/>
    </row>
    <row r="17" spans="1:12" x14ac:dyDescent="0.25">
      <c r="A17" s="5">
        <v>1991</v>
      </c>
      <c r="B17" s="36">
        <v>4.2081101759755102E-2</v>
      </c>
      <c r="C17" s="37">
        <v>3.329189942042432E-2</v>
      </c>
      <c r="D17" s="37">
        <v>-1E-3</v>
      </c>
      <c r="E17" s="147">
        <v>6174</v>
      </c>
      <c r="F17" s="21">
        <f t="shared" si="0"/>
        <v>3.2510535821794084E-2</v>
      </c>
      <c r="H17" s="52"/>
      <c r="I17" s="42"/>
      <c r="J17" s="29"/>
      <c r="K17" s="29"/>
      <c r="L17" s="29"/>
    </row>
    <row r="18" spans="1:12" x14ac:dyDescent="0.25">
      <c r="A18" s="5">
        <v>1992</v>
      </c>
      <c r="B18" s="36">
        <v>3.0102790014684411E-2</v>
      </c>
      <c r="C18" s="37">
        <v>2.2798423096991316E-2</v>
      </c>
      <c r="D18" s="37">
        <v>3.6000000000000004E-2</v>
      </c>
      <c r="E18" s="147">
        <v>6539.3</v>
      </c>
      <c r="F18" s="21">
        <f t="shared" si="0"/>
        <v>5.9167476514415229E-2</v>
      </c>
      <c r="H18" s="52"/>
      <c r="I18" s="42"/>
      <c r="J18" s="29"/>
      <c r="K18" s="29"/>
      <c r="L18" s="29"/>
    </row>
    <row r="19" spans="1:12" x14ac:dyDescent="0.25">
      <c r="A19" s="5">
        <v>1993</v>
      </c>
      <c r="B19" s="36">
        <v>2.9935851746258013E-2</v>
      </c>
      <c r="C19" s="37">
        <v>2.3792316739644992E-2</v>
      </c>
      <c r="D19" s="37">
        <v>2.7000000000000003E-2</v>
      </c>
      <c r="E19" s="147">
        <v>6878.7</v>
      </c>
      <c r="F19" s="21">
        <f t="shared" si="0"/>
        <v>5.190157967978215E-2</v>
      </c>
      <c r="H19" s="52"/>
      <c r="I19" s="42"/>
      <c r="J19" s="29"/>
      <c r="K19" s="29"/>
      <c r="L19" s="29"/>
    </row>
    <row r="20" spans="1:12" x14ac:dyDescent="0.25">
      <c r="A20" s="5">
        <v>1994</v>
      </c>
      <c r="B20" s="36">
        <v>2.5605536332179879E-2</v>
      </c>
      <c r="C20" s="37">
        <v>2.1273945299523644E-2</v>
      </c>
      <c r="D20" s="37">
        <v>0.04</v>
      </c>
      <c r="E20" s="147">
        <v>7308.8</v>
      </c>
      <c r="F20" s="21">
        <f t="shared" si="0"/>
        <v>6.2526349455565677E-2</v>
      </c>
      <c r="H20" s="52"/>
      <c r="I20" s="42"/>
      <c r="J20" s="29"/>
      <c r="K20" s="29"/>
      <c r="L20" s="29"/>
    </row>
    <row r="21" spans="1:12" x14ac:dyDescent="0.25">
      <c r="A21" s="5">
        <v>1995</v>
      </c>
      <c r="B21" s="36">
        <v>2.8340080971660075E-2</v>
      </c>
      <c r="C21" s="37">
        <v>2.0857897946737092E-2</v>
      </c>
      <c r="D21" s="37">
        <v>2.7000000000000003E-2</v>
      </c>
      <c r="E21" s="147">
        <v>7664.1</v>
      </c>
      <c r="F21" s="21">
        <f t="shared" si="0"/>
        <v>4.8612631348511348E-2</v>
      </c>
      <c r="H21" s="52"/>
      <c r="I21" s="42"/>
      <c r="J21" s="29"/>
      <c r="K21" s="29"/>
      <c r="L21" s="29"/>
    </row>
    <row r="22" spans="1:12" x14ac:dyDescent="0.25">
      <c r="A22" s="5">
        <v>1996</v>
      </c>
      <c r="B22" s="36">
        <v>2.9527559055118058E-2</v>
      </c>
      <c r="C22" s="37">
        <v>1.8254474005628962E-2</v>
      </c>
      <c r="D22" s="37">
        <v>3.7999999999999999E-2</v>
      </c>
      <c r="E22" s="147">
        <v>8100.2</v>
      </c>
      <c r="F22" s="21">
        <f t="shared" si="0"/>
        <v>5.6901658381284026E-2</v>
      </c>
      <c r="H22" s="52"/>
      <c r="I22" s="42"/>
      <c r="J22" s="29"/>
      <c r="K22" s="29"/>
      <c r="L22" s="29"/>
    </row>
    <row r="23" spans="1:12" x14ac:dyDescent="0.25">
      <c r="A23" s="5">
        <v>1997</v>
      </c>
      <c r="B23" s="36">
        <v>2.2944550669216079E-2</v>
      </c>
      <c r="C23" s="37">
        <v>1.7118867260329296E-2</v>
      </c>
      <c r="D23" s="37">
        <v>4.4999999999999998E-2</v>
      </c>
      <c r="E23" s="147">
        <v>8608.5</v>
      </c>
      <c r="F23" s="21">
        <f t="shared" si="0"/>
        <v>6.2751536999086532E-2</v>
      </c>
      <c r="H23" s="52"/>
      <c r="I23" s="42"/>
      <c r="J23" s="29"/>
      <c r="K23" s="29"/>
      <c r="L23" s="29"/>
    </row>
    <row r="24" spans="1:12" x14ac:dyDescent="0.25">
      <c r="A24" s="5">
        <v>1998</v>
      </c>
      <c r="B24" s="36">
        <v>1.5576323987538832E-2</v>
      </c>
      <c r="C24" s="37">
        <v>1.0857304004512125E-2</v>
      </c>
      <c r="D24" s="37">
        <v>4.4999999999999998E-2</v>
      </c>
      <c r="E24" s="147">
        <v>9089.2000000000007</v>
      </c>
      <c r="F24" s="21">
        <f t="shared" si="0"/>
        <v>5.5840157983388705E-2</v>
      </c>
      <c r="H24" s="52"/>
      <c r="I24" s="42"/>
      <c r="J24" s="29"/>
      <c r="K24" s="29"/>
      <c r="L24" s="29"/>
    </row>
    <row r="25" spans="1:12" x14ac:dyDescent="0.25">
      <c r="A25" s="5">
        <v>1999</v>
      </c>
      <c r="B25" s="36">
        <v>2.208588957055202E-2</v>
      </c>
      <c r="C25" s="37">
        <v>1.5293118096856517E-2</v>
      </c>
      <c r="D25" s="37">
        <v>4.7E-2</v>
      </c>
      <c r="E25" s="147">
        <v>9660.6</v>
      </c>
      <c r="F25" s="21">
        <f t="shared" si="0"/>
        <v>6.2865818773929494E-2</v>
      </c>
      <c r="H25" s="52"/>
      <c r="I25" s="42"/>
      <c r="J25" s="29"/>
      <c r="K25" s="29"/>
      <c r="L25" s="29"/>
    </row>
    <row r="26" spans="1:12" x14ac:dyDescent="0.25">
      <c r="A26" s="5">
        <v>2000</v>
      </c>
      <c r="B26" s="36">
        <v>3.3613445378151141E-2</v>
      </c>
      <c r="C26" s="37">
        <v>2.2756510335352642E-2</v>
      </c>
      <c r="D26" s="37">
        <v>4.0999999999999995E-2</v>
      </c>
      <c r="E26" s="147">
        <v>10284.799999999999</v>
      </c>
      <c r="F26" s="21">
        <f t="shared" si="0"/>
        <v>6.4612963998095241E-2</v>
      </c>
      <c r="H26" s="52"/>
      <c r="I26" s="42"/>
      <c r="J26" s="29"/>
      <c r="K26" s="29"/>
      <c r="L26" s="29"/>
    </row>
    <row r="27" spans="1:12" x14ac:dyDescent="0.25">
      <c r="A27" s="5">
        <v>2001</v>
      </c>
      <c r="B27" s="36">
        <v>2.8455284552845628E-2</v>
      </c>
      <c r="C27" s="37">
        <v>2.2799711797965472E-2</v>
      </c>
      <c r="D27" s="37">
        <v>0.01</v>
      </c>
      <c r="E27" s="147">
        <v>10621.8</v>
      </c>
      <c r="F27" s="21">
        <f t="shared" si="0"/>
        <v>3.2766801493466113E-2</v>
      </c>
      <c r="H27" s="52"/>
      <c r="I27" s="42"/>
      <c r="J27" s="29"/>
      <c r="K27" s="29"/>
      <c r="L27" s="29"/>
    </row>
    <row r="28" spans="1:12" x14ac:dyDescent="0.25">
      <c r="A28" s="5">
        <v>2002</v>
      </c>
      <c r="B28" s="36">
        <v>1.5810276679842028E-2</v>
      </c>
      <c r="C28" s="37">
        <v>1.5342550803543631E-2</v>
      </c>
      <c r="D28" s="37">
        <v>1.8000000000000002E-2</v>
      </c>
      <c r="E28" s="147">
        <v>10977.5</v>
      </c>
      <c r="F28" s="21">
        <f t="shared" si="0"/>
        <v>3.3487732775989043E-2</v>
      </c>
      <c r="H28" s="52"/>
      <c r="I28" s="42"/>
      <c r="J28" s="29"/>
      <c r="K28" s="29"/>
      <c r="L28" s="29"/>
    </row>
    <row r="29" spans="1:12" x14ac:dyDescent="0.25">
      <c r="A29" s="5">
        <v>2003</v>
      </c>
      <c r="B29" s="36">
        <v>2.2790439132851503E-2</v>
      </c>
      <c r="C29" s="37">
        <v>1.9943790496125269E-2</v>
      </c>
      <c r="D29" s="37">
        <v>2.7999999999999997E-2</v>
      </c>
      <c r="E29" s="147">
        <v>11510.7</v>
      </c>
      <c r="F29" s="21">
        <f t="shared" si="0"/>
        <v>4.8572079253017542E-2</v>
      </c>
      <c r="H29" s="52"/>
      <c r="I29" s="42"/>
      <c r="J29" s="29"/>
      <c r="K29" s="29"/>
      <c r="L29" s="29"/>
    </row>
    <row r="30" spans="1:12" x14ac:dyDescent="0.25">
      <c r="A30" s="5">
        <v>2004</v>
      </c>
      <c r="B30" s="36">
        <v>2.6630434782608736E-2</v>
      </c>
      <c r="C30" s="37">
        <v>2.7497550008647176E-2</v>
      </c>
      <c r="D30" s="37">
        <v>3.7999999999999999E-2</v>
      </c>
      <c r="E30" s="147">
        <v>12274.9</v>
      </c>
      <c r="F30" s="21">
        <f t="shared" si="0"/>
        <v>6.6390401973815516E-2</v>
      </c>
      <c r="H30" s="52"/>
      <c r="I30" s="42"/>
      <c r="J30" s="29"/>
      <c r="K30" s="29"/>
      <c r="L30" s="29"/>
    </row>
    <row r="31" spans="1:12" x14ac:dyDescent="0.25">
      <c r="A31" s="5">
        <v>2005</v>
      </c>
      <c r="B31" s="36">
        <v>3.3880359978824881E-2</v>
      </c>
      <c r="C31" s="37">
        <v>3.2181328545780818E-2</v>
      </c>
      <c r="D31" s="37">
        <v>3.3000000000000002E-2</v>
      </c>
      <c r="E31" s="147">
        <v>13093.7</v>
      </c>
      <c r="F31" s="21">
        <f t="shared" si="0"/>
        <v>6.6705227741163053E-2</v>
      </c>
      <c r="H31" s="52"/>
      <c r="I31" s="42"/>
      <c r="J31" s="29"/>
      <c r="K31" s="29"/>
      <c r="L31" s="29"/>
    </row>
    <row r="32" spans="1:12" x14ac:dyDescent="0.25">
      <c r="A32" s="5">
        <v>2006</v>
      </c>
      <c r="B32" s="36">
        <v>3.2258064516129004E-2</v>
      </c>
      <c r="C32" s="37">
        <v>3.0721398443275039E-2</v>
      </c>
      <c r="D32" s="37">
        <v>2.7000000000000003E-2</v>
      </c>
      <c r="E32" s="147">
        <v>13855.9</v>
      </c>
      <c r="F32" s="21">
        <f t="shared" si="0"/>
        <v>5.8211200806494556E-2</v>
      </c>
      <c r="H32" s="52"/>
      <c r="I32" s="42"/>
      <c r="J32" s="29"/>
      <c r="K32" s="29"/>
      <c r="L32" s="29"/>
    </row>
    <row r="33" spans="1:12" x14ac:dyDescent="0.25">
      <c r="A33" s="5">
        <v>2007</v>
      </c>
      <c r="B33" s="36">
        <v>2.84821428571429E-2</v>
      </c>
      <c r="C33" s="37">
        <v>2.6609994304638729E-2</v>
      </c>
      <c r="D33" s="37">
        <v>1.8000000000000002E-2</v>
      </c>
      <c r="E33" s="147">
        <v>14477.6</v>
      </c>
      <c r="F33" s="21">
        <f t="shared" si="0"/>
        <v>4.4868972784156913E-2</v>
      </c>
      <c r="H33" s="52"/>
      <c r="I33" s="42"/>
      <c r="J33" s="29"/>
      <c r="K33" s="29"/>
      <c r="L33" s="29"/>
    </row>
    <row r="34" spans="1:12" x14ac:dyDescent="0.25">
      <c r="A34" s="5">
        <v>2008</v>
      </c>
      <c r="B34" s="36">
        <v>3.8395501152684863E-2</v>
      </c>
      <c r="C34" s="37">
        <v>1.9612274880055791E-2</v>
      </c>
      <c r="D34" s="37">
        <v>-3.0000000000000001E-3</v>
      </c>
      <c r="E34" s="147">
        <v>14718.6</v>
      </c>
      <c r="F34" s="21">
        <f t="shared" si="0"/>
        <v>1.6646405481571591E-2</v>
      </c>
      <c r="H34" s="52"/>
      <c r="I34" s="42"/>
      <c r="J34" s="29"/>
      <c r="K34" s="29"/>
      <c r="L34" s="29"/>
    </row>
    <row r="35" spans="1:12" x14ac:dyDescent="0.25">
      <c r="A35" s="5">
        <v>2009</v>
      </c>
      <c r="B35" s="36">
        <v>-3.5577767146764971E-3</v>
      </c>
      <c r="C35" s="37">
        <v>7.5972835177235964E-3</v>
      </c>
      <c r="D35" s="37">
        <v>-2.7999999999999997E-2</v>
      </c>
      <c r="E35" s="147">
        <v>14418.7</v>
      </c>
      <c r="F35" s="21">
        <f t="shared" si="0"/>
        <v>-2.0375579199108595E-2</v>
      </c>
      <c r="H35" s="52"/>
      <c r="I35" s="42"/>
      <c r="J35" s="29"/>
      <c r="K35" s="29"/>
      <c r="L35" s="29"/>
    </row>
    <row r="36" spans="1:12" x14ac:dyDescent="0.25">
      <c r="A36" s="5">
        <v>2010</v>
      </c>
      <c r="B36" s="36">
        <v>1.6402765024214894E-2</v>
      </c>
      <c r="C36" s="37">
        <v>1.2210000000000054E-2</v>
      </c>
      <c r="D36" s="37">
        <v>2.5000000000000001E-2</v>
      </c>
      <c r="E36" s="147">
        <v>14964.4</v>
      </c>
      <c r="F36" s="21">
        <f t="shared" si="0"/>
        <v>3.7846685207404196E-2</v>
      </c>
      <c r="H36" s="52"/>
      <c r="I36" s="42"/>
      <c r="J36" s="29"/>
      <c r="K36" s="29"/>
      <c r="L36" s="29"/>
    </row>
    <row r="37" spans="1:12" x14ac:dyDescent="0.25">
      <c r="A37" s="5">
        <v>2011</v>
      </c>
      <c r="B37" s="36">
        <v>3.1565285981582702E-2</v>
      </c>
      <c r="C37" s="37">
        <v>2.0647889271989017E-2</v>
      </c>
      <c r="D37" s="37">
        <v>1.6E-2</v>
      </c>
      <c r="E37" s="147">
        <v>15517.9</v>
      </c>
      <c r="F37" s="21">
        <f t="shared" si="0"/>
        <v>3.6987784341503849E-2</v>
      </c>
      <c r="H37" s="52"/>
      <c r="I37" s="42"/>
      <c r="J37" s="29"/>
      <c r="K37" s="29"/>
      <c r="L37" s="29"/>
    </row>
    <row r="38" spans="1:12" s="17" customFormat="1" x14ac:dyDescent="0.25">
      <c r="A38" s="5">
        <v>2012</v>
      </c>
      <c r="B38" s="36">
        <v>2.0694499397614363E-2</v>
      </c>
      <c r="C38" s="37">
        <v>1.8420110152839397E-2</v>
      </c>
      <c r="D38" s="37">
        <v>2.2000000000000002E-2</v>
      </c>
      <c r="E38" s="147">
        <v>16155.3</v>
      </c>
      <c r="F38" s="21">
        <f t="shared" si="0"/>
        <v>4.1075145477158514E-2</v>
      </c>
      <c r="H38" s="52"/>
      <c r="I38" s="42"/>
      <c r="J38" s="29"/>
      <c r="K38" s="29"/>
      <c r="L38" s="29"/>
    </row>
    <row r="39" spans="1:12" s="52" customFormat="1" x14ac:dyDescent="0.25">
      <c r="A39" s="54">
        <v>2013</v>
      </c>
      <c r="B39" s="36">
        <v>1.46475953204352E-2</v>
      </c>
      <c r="C39" s="37">
        <v>1.6148041135210178E-2</v>
      </c>
      <c r="D39" s="37">
        <v>1.7000000000000001E-2</v>
      </c>
      <c r="E39" s="147">
        <v>16691.5</v>
      </c>
      <c r="F39" s="21">
        <f t="shared" si="0"/>
        <v>3.3190346202175203E-2</v>
      </c>
      <c r="I39" s="42"/>
      <c r="J39" s="29"/>
      <c r="K39" s="29"/>
      <c r="L39" s="29"/>
    </row>
    <row r="40" spans="1:12" s="52" customFormat="1" x14ac:dyDescent="0.25">
      <c r="A40" s="54">
        <v>2014</v>
      </c>
      <c r="B40" s="36">
        <v>1.6E-2</v>
      </c>
      <c r="C40" s="37">
        <v>1.7911760029182711E-2</v>
      </c>
      <c r="D40" s="37">
        <v>2.4E-2</v>
      </c>
      <c r="E40" s="147">
        <v>17393.099999999999</v>
      </c>
      <c r="F40" s="21">
        <f t="shared" si="0"/>
        <v>4.2033370278285354E-2</v>
      </c>
      <c r="H40" s="145"/>
      <c r="I40" s="42"/>
      <c r="J40" s="29"/>
      <c r="K40" s="29"/>
      <c r="L40" s="29"/>
    </row>
    <row r="41" spans="1:12" s="52" customFormat="1" x14ac:dyDescent="0.25">
      <c r="A41" s="54">
        <v>2015</v>
      </c>
      <c r="B41" s="36">
        <v>1.1869762097864722E-3</v>
      </c>
      <c r="C41" s="37">
        <v>1.075090969235859E-2</v>
      </c>
      <c r="D41" s="37">
        <v>2.5999999999999999E-2</v>
      </c>
      <c r="E41" s="147">
        <v>18036.599999999999</v>
      </c>
      <c r="F41" s="21">
        <f t="shared" si="0"/>
        <v>3.699743001535083E-2</v>
      </c>
      <c r="H41" s="145"/>
      <c r="I41" s="42"/>
      <c r="J41" s="29"/>
      <c r="K41" s="29"/>
      <c r="L41" s="29"/>
    </row>
    <row r="42" spans="1:12" s="52" customFormat="1" x14ac:dyDescent="0.25">
      <c r="A42" s="54">
        <v>2016</v>
      </c>
      <c r="B42" s="36">
        <v>1.2615128872612624E-2</v>
      </c>
      <c r="C42" s="37">
        <v>1.3163875706830863E-2</v>
      </c>
      <c r="D42" s="37">
        <v>1.6E-2</v>
      </c>
      <c r="E42" s="147">
        <v>18566.900000000001</v>
      </c>
      <c r="F42" s="21">
        <f t="shared" si="0"/>
        <v>2.9401328410010974E-2</v>
      </c>
      <c r="H42" s="145"/>
      <c r="I42" s="42"/>
      <c r="J42" s="29"/>
      <c r="K42" s="29"/>
      <c r="L42" s="29"/>
    </row>
    <row r="43" spans="1:12" s="17" customFormat="1" x14ac:dyDescent="0.25">
      <c r="F43" s="21"/>
      <c r="H43" s="29"/>
      <c r="I43" s="29"/>
      <c r="J43" s="29"/>
      <c r="K43" s="29"/>
      <c r="L43" s="29"/>
    </row>
    <row r="44" spans="1:12" x14ac:dyDescent="0.25">
      <c r="A44" s="29" t="s">
        <v>1116</v>
      </c>
      <c r="E44" s="54" t="s">
        <v>82</v>
      </c>
    </row>
    <row r="45" spans="1:12" x14ac:dyDescent="0.25">
      <c r="A45" s="63" t="s">
        <v>1113</v>
      </c>
      <c r="B45" s="38">
        <f>AVERAGE(B$13:B$42)</f>
        <v>2.6538484724661252E-2</v>
      </c>
      <c r="C45" s="38">
        <f t="shared" ref="C45:D45" si="1">AVERAGE(C$13:C$42)</f>
        <v>2.18081707846914E-2</v>
      </c>
      <c r="D45" s="38">
        <f t="shared" si="1"/>
        <v>2.5500000000000005E-2</v>
      </c>
      <c r="E45" s="41">
        <f>((E$42/E13)^(1/30))-1</f>
        <v>4.5618086306075556E-2</v>
      </c>
      <c r="F45" s="38">
        <f>AVERAGE(F$13:F$42)</f>
        <v>4.7867784021594625E-2</v>
      </c>
    </row>
    <row r="46" spans="1:12" x14ac:dyDescent="0.25">
      <c r="A46" s="64" t="s">
        <v>1114</v>
      </c>
      <c r="B46" s="39">
        <f>AVERAGE(B$23:B$42)</f>
        <v>2.1523859367497868E-2</v>
      </c>
      <c r="C46" s="39">
        <f t="shared" ref="C46:F46" si="2">AVERAGE(C$23:C$42)</f>
        <v>1.8879213424160844E-2</v>
      </c>
      <c r="D46" s="39">
        <f t="shared" si="2"/>
        <v>2.325000000000001E-2</v>
      </c>
      <c r="E46" s="39">
        <f>((E$42/E$23)^(1/20))-1</f>
        <v>3.9179559697760657E-2</v>
      </c>
      <c r="F46" s="39">
        <f t="shared" si="2"/>
        <v>4.2543790539847734E-2</v>
      </c>
    </row>
    <row r="47" spans="1:12" x14ac:dyDescent="0.25">
      <c r="A47" s="65" t="s">
        <v>1115</v>
      </c>
      <c r="B47" s="40">
        <f>AVERAGE(B$33:B$42)</f>
        <v>1.7643211810139753E-2</v>
      </c>
      <c r="C47" s="40">
        <f t="shared" ref="C47:F47" si="3">AVERAGE(C$33:C$42)</f>
        <v>1.6307213869082893E-2</v>
      </c>
      <c r="D47" s="40">
        <f t="shared" si="3"/>
        <v>1.3300000000000001E-2</v>
      </c>
      <c r="E47" s="40">
        <f>((E$42/E$33)^(1/10))-1</f>
        <v>2.5189813978084841E-2</v>
      </c>
      <c r="F47" s="40">
        <f t="shared" si="3"/>
        <v>2.9867188899850884E-2</v>
      </c>
    </row>
    <row r="48" spans="1:12" x14ac:dyDescent="0.25">
      <c r="A48" s="29"/>
    </row>
    <row r="49" spans="1:2" x14ac:dyDescent="0.25">
      <c r="A49" s="59" t="s">
        <v>101</v>
      </c>
      <c r="B49" s="15"/>
    </row>
    <row r="50" spans="1:2" x14ac:dyDescent="0.25">
      <c r="A50" s="29" t="s">
        <v>1109</v>
      </c>
    </row>
    <row r="51" spans="1:2" x14ac:dyDescent="0.25">
      <c r="A51" s="29" t="s">
        <v>1110</v>
      </c>
    </row>
    <row r="52" spans="1:2" s="17" customFormat="1" x14ac:dyDescent="0.25">
      <c r="A52" s="29" t="s">
        <v>1111</v>
      </c>
    </row>
    <row r="53" spans="1:2" s="52" customFormat="1" x14ac:dyDescent="0.25">
      <c r="A53" s="29" t="s">
        <v>1112</v>
      </c>
    </row>
    <row r="54" spans="1:2" x14ac:dyDescent="0.25">
      <c r="A54" s="17" t="s">
        <v>123</v>
      </c>
    </row>
    <row r="55" spans="1:2" x14ac:dyDescent="0.25">
      <c r="A55" s="17" t="s">
        <v>124</v>
      </c>
    </row>
  </sheetData>
  <printOptions horizontalCentered="1"/>
  <pageMargins left="0.7" right="0.7" top="1.25" bottom="0.75" header="0.3" footer="0.3"/>
  <pageSetup scale="75" orientation="portrait" useFirstPageNumber="1" r:id="rId1"/>
  <headerFooter alignWithMargins="0">
    <oddHeader>&amp;RDocket No. UG-17____
Cascade Natural Gas Corp.
Exhibit No.___(JSG-2)
Schedule 1
Page &amp;P of 3</oddHeader>
  </headerFooter>
  <ignoredErrors>
    <ignoredError sqref="E45:E4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145"/>
  <sheetViews>
    <sheetView showOutlineSymbols="0" view="pageBreakPreview" zoomScale="70" zoomScaleNormal="90" zoomScaleSheetLayoutView="70" zoomScalePageLayoutView="90" workbookViewId="0">
      <selection activeCell="E16" sqref="E16"/>
    </sheetView>
  </sheetViews>
  <sheetFormatPr defaultColWidth="8" defaultRowHeight="15.75" x14ac:dyDescent="0.25"/>
  <cols>
    <col min="1" max="8" width="15.625" style="52" customWidth="1"/>
    <col min="9" max="16384" width="8" style="52"/>
  </cols>
  <sheetData>
    <row r="1" spans="1:18" ht="20.25" x14ac:dyDescent="0.3">
      <c r="A1" s="24" t="s">
        <v>1105</v>
      </c>
      <c r="B1" s="55"/>
      <c r="C1" s="55"/>
      <c r="D1" s="55"/>
      <c r="E1" s="55"/>
      <c r="F1" s="55"/>
      <c r="G1" s="55"/>
      <c r="H1" s="55"/>
      <c r="J1" s="67"/>
    </row>
    <row r="3" spans="1:18" ht="18.75" x14ac:dyDescent="0.3">
      <c r="A3" s="25" t="s">
        <v>76</v>
      </c>
      <c r="B3" s="55"/>
      <c r="C3" s="55"/>
      <c r="D3" s="55"/>
      <c r="E3" s="55"/>
      <c r="F3" s="55"/>
      <c r="G3" s="55"/>
      <c r="H3" s="55"/>
    </row>
    <row r="4" spans="1:18" ht="18.75" x14ac:dyDescent="0.3">
      <c r="A4" s="34" t="s">
        <v>1325</v>
      </c>
      <c r="B4" s="47"/>
      <c r="C4" s="47"/>
      <c r="D4" s="47"/>
      <c r="E4" s="47"/>
      <c r="F4" s="47"/>
      <c r="G4" s="55"/>
      <c r="H4" s="55"/>
    </row>
    <row r="6" spans="1:18" ht="16.5" thickBot="1" x14ac:dyDescent="0.3">
      <c r="C6" s="54" t="s">
        <v>77</v>
      </c>
      <c r="D6" s="54" t="s">
        <v>78</v>
      </c>
      <c r="E6" s="54" t="s">
        <v>79</v>
      </c>
      <c r="F6" s="54" t="s">
        <v>80</v>
      </c>
      <c r="G6" s="54" t="s">
        <v>81</v>
      </c>
      <c r="H6" s="54" t="s">
        <v>82</v>
      </c>
    </row>
    <row r="7" spans="1:18" x14ac:dyDescent="0.25">
      <c r="A7" s="31"/>
      <c r="B7" s="31"/>
      <c r="C7" s="32" t="s">
        <v>1117</v>
      </c>
      <c r="D7" s="32"/>
      <c r="E7" s="32"/>
      <c r="F7" s="32"/>
      <c r="G7" s="32"/>
      <c r="H7" s="32"/>
    </row>
    <row r="8" spans="1:18" x14ac:dyDescent="0.25">
      <c r="A8" s="19"/>
      <c r="B8" s="19"/>
      <c r="C8" s="20" t="s">
        <v>127</v>
      </c>
      <c r="D8" s="20" t="s">
        <v>7</v>
      </c>
      <c r="E8" s="11" t="s">
        <v>83</v>
      </c>
      <c r="F8" s="11"/>
      <c r="G8" s="11" t="s">
        <v>84</v>
      </c>
      <c r="H8" s="11"/>
    </row>
    <row r="9" spans="1:18" x14ac:dyDescent="0.25">
      <c r="A9" s="53"/>
      <c r="B9" s="53"/>
      <c r="C9" s="10" t="s">
        <v>128</v>
      </c>
      <c r="D9" s="10" t="s">
        <v>85</v>
      </c>
      <c r="E9" s="10" t="s">
        <v>86</v>
      </c>
      <c r="F9" s="10" t="s">
        <v>87</v>
      </c>
      <c r="G9" s="10" t="s">
        <v>86</v>
      </c>
      <c r="H9" s="10" t="s">
        <v>87</v>
      </c>
    </row>
    <row r="11" spans="1:18" x14ac:dyDescent="0.25">
      <c r="A11" s="54">
        <v>2010</v>
      </c>
      <c r="B11" s="54" t="s">
        <v>88</v>
      </c>
      <c r="C11" s="35">
        <v>4.6047368421052628</v>
      </c>
      <c r="D11" s="35">
        <v>5.762631578947369</v>
      </c>
      <c r="E11" s="35">
        <v>5.7726315789473688</v>
      </c>
      <c r="F11" s="35">
        <v>6.1557894736842114</v>
      </c>
      <c r="G11" s="22">
        <f t="shared" ref="G11:G22" si="0">E11-C11</f>
        <v>1.167894736842106</v>
      </c>
      <c r="H11" s="22">
        <f t="shared" ref="H11:H22" si="1">F11-C11</f>
        <v>1.5510526315789486</v>
      </c>
      <c r="I11" s="51"/>
      <c r="J11" s="51"/>
      <c r="K11" s="51"/>
      <c r="L11" s="51"/>
      <c r="O11" s="51"/>
      <c r="P11" s="51"/>
      <c r="Q11" s="51"/>
      <c r="R11" s="51"/>
    </row>
    <row r="12" spans="1:18" x14ac:dyDescent="0.25">
      <c r="B12" s="54" t="s">
        <v>89</v>
      </c>
      <c r="C12" s="35">
        <v>4.6194736842105257</v>
      </c>
      <c r="D12" s="35">
        <v>5.8615789473684208</v>
      </c>
      <c r="E12" s="35">
        <v>5.8705263157894736</v>
      </c>
      <c r="F12" s="35">
        <v>6.2463157894736838</v>
      </c>
      <c r="G12" s="22">
        <f t="shared" si="0"/>
        <v>1.2510526315789479</v>
      </c>
      <c r="H12" s="22">
        <f t="shared" si="1"/>
        <v>1.6268421052631581</v>
      </c>
      <c r="I12" s="51"/>
      <c r="J12" s="51"/>
      <c r="K12" s="51"/>
      <c r="L12" s="51"/>
      <c r="O12" s="51"/>
      <c r="P12" s="51"/>
      <c r="Q12" s="51"/>
      <c r="R12" s="51"/>
    </row>
    <row r="13" spans="1:18" x14ac:dyDescent="0.25">
      <c r="B13" s="54" t="s">
        <v>90</v>
      </c>
      <c r="C13" s="35">
        <v>4.6447826086956523</v>
      </c>
      <c r="D13" s="35">
        <v>5.8100000000000014</v>
      </c>
      <c r="E13" s="35">
        <v>5.8439130434782607</v>
      </c>
      <c r="F13" s="35">
        <v>6.2234782608695642</v>
      </c>
      <c r="G13" s="22">
        <f t="shared" si="0"/>
        <v>1.1991304347826084</v>
      </c>
      <c r="H13" s="22">
        <f t="shared" si="1"/>
        <v>1.5786956521739119</v>
      </c>
      <c r="I13" s="51"/>
      <c r="J13" s="51"/>
      <c r="K13" s="51"/>
      <c r="L13" s="51"/>
      <c r="O13" s="51"/>
      <c r="P13" s="51"/>
      <c r="Q13" s="51"/>
      <c r="R13" s="51"/>
    </row>
    <row r="14" spans="1:18" x14ac:dyDescent="0.25">
      <c r="B14" s="54" t="s">
        <v>91</v>
      </c>
      <c r="C14" s="35">
        <v>4.6931818181818192</v>
      </c>
      <c r="D14" s="35">
        <v>5.7963636363636377</v>
      </c>
      <c r="E14" s="35">
        <v>5.8136363636363635</v>
      </c>
      <c r="F14" s="35">
        <v>6.1868181818181816</v>
      </c>
      <c r="G14" s="22">
        <f t="shared" si="0"/>
        <v>1.1204545454545443</v>
      </c>
      <c r="H14" s="22">
        <f t="shared" si="1"/>
        <v>1.4936363636363623</v>
      </c>
      <c r="I14" s="51"/>
      <c r="J14" s="51"/>
      <c r="K14" s="51"/>
      <c r="L14" s="51"/>
      <c r="O14" s="51"/>
      <c r="P14" s="51"/>
      <c r="Q14" s="51"/>
      <c r="R14" s="51"/>
    </row>
    <row r="15" spans="1:18" x14ac:dyDescent="0.25">
      <c r="B15" s="54" t="s">
        <v>92</v>
      </c>
      <c r="C15" s="35">
        <v>4.2859999999999996</v>
      </c>
      <c r="D15" s="35">
        <v>5.5150000000000006</v>
      </c>
      <c r="E15" s="35">
        <v>5.4969999999999981</v>
      </c>
      <c r="F15" s="35">
        <v>5.9700000000000015</v>
      </c>
      <c r="G15" s="22">
        <f t="shared" si="0"/>
        <v>1.2109999999999985</v>
      </c>
      <c r="H15" s="22">
        <f t="shared" si="1"/>
        <v>1.6840000000000019</v>
      </c>
      <c r="I15" s="51"/>
      <c r="J15" s="51"/>
      <c r="K15" s="51"/>
      <c r="L15" s="51"/>
      <c r="O15" s="51"/>
      <c r="P15" s="51"/>
      <c r="Q15" s="51"/>
      <c r="R15" s="51"/>
    </row>
    <row r="16" spans="1:18" x14ac:dyDescent="0.25">
      <c r="B16" s="54" t="s">
        <v>93</v>
      </c>
      <c r="C16" s="35">
        <v>4.127727272727272</v>
      </c>
      <c r="D16" s="35">
        <v>5.5245454545454535</v>
      </c>
      <c r="E16" s="35">
        <v>5.462727272727272</v>
      </c>
      <c r="F16" s="35">
        <v>6.1804545454545439</v>
      </c>
      <c r="G16" s="22">
        <f>E16-C16</f>
        <v>1.335</v>
      </c>
      <c r="H16" s="22">
        <f>F16-C16</f>
        <v>2.0527272727272718</v>
      </c>
      <c r="I16" s="51"/>
      <c r="J16" s="51"/>
      <c r="K16" s="51"/>
      <c r="L16" s="51"/>
      <c r="O16" s="51"/>
      <c r="P16" s="51"/>
      <c r="Q16" s="51"/>
      <c r="R16" s="51"/>
    </row>
    <row r="17" spans="1:18" x14ac:dyDescent="0.25">
      <c r="B17" s="54" t="s">
        <v>94</v>
      </c>
      <c r="C17" s="35">
        <v>3.9942857142857142</v>
      </c>
      <c r="D17" s="35">
        <v>5.32</v>
      </c>
      <c r="E17" s="35">
        <v>5.2580952380952386</v>
      </c>
      <c r="F17" s="35">
        <v>5.9790476190476198</v>
      </c>
      <c r="G17" s="22">
        <f t="shared" si="0"/>
        <v>1.2638095238095244</v>
      </c>
      <c r="H17" s="22">
        <f t="shared" si="1"/>
        <v>1.9847619047619056</v>
      </c>
      <c r="I17" s="51"/>
      <c r="J17" s="51"/>
      <c r="K17" s="51"/>
      <c r="L17" s="51"/>
      <c r="O17" s="51"/>
      <c r="P17" s="51"/>
      <c r="Q17" s="51"/>
      <c r="R17" s="51"/>
    </row>
    <row r="18" spans="1:18" x14ac:dyDescent="0.25">
      <c r="B18" s="54" t="s">
        <v>95</v>
      </c>
      <c r="C18" s="35">
        <v>3.8031818181818178</v>
      </c>
      <c r="D18" s="35">
        <v>5.0450000000000008</v>
      </c>
      <c r="E18" s="35">
        <v>5.0077272727272719</v>
      </c>
      <c r="F18" s="35">
        <v>5.5472727272727269</v>
      </c>
      <c r="G18" s="22">
        <f t="shared" si="0"/>
        <v>1.2045454545454541</v>
      </c>
      <c r="H18" s="22">
        <f t="shared" si="1"/>
        <v>1.7440909090909091</v>
      </c>
      <c r="I18" s="51"/>
      <c r="J18" s="51"/>
      <c r="K18" s="51"/>
      <c r="L18" s="51"/>
      <c r="O18" s="51"/>
      <c r="P18" s="51"/>
      <c r="Q18" s="51"/>
      <c r="R18" s="51"/>
    </row>
    <row r="19" spans="1:18" x14ac:dyDescent="0.25">
      <c r="B19" s="54" t="s">
        <v>96</v>
      </c>
      <c r="C19" s="35">
        <v>3.773333333333333</v>
      </c>
      <c r="D19" s="35">
        <v>5.050476190476191</v>
      </c>
      <c r="E19" s="35">
        <v>5.0095238095238086</v>
      </c>
      <c r="F19" s="35">
        <v>5.5319047619047623</v>
      </c>
      <c r="G19" s="22">
        <f t="shared" si="0"/>
        <v>1.2361904761904756</v>
      </c>
      <c r="H19" s="22">
        <f t="shared" si="1"/>
        <v>1.7585714285714293</v>
      </c>
      <c r="I19" s="51"/>
      <c r="J19" s="51"/>
      <c r="K19" s="51"/>
      <c r="L19" s="51"/>
      <c r="O19" s="51"/>
      <c r="P19" s="51"/>
      <c r="Q19" s="51"/>
      <c r="R19" s="51"/>
    </row>
    <row r="20" spans="1:18" x14ac:dyDescent="0.25">
      <c r="B20" s="54" t="s">
        <v>97</v>
      </c>
      <c r="C20" s="35">
        <v>3.8724999999999996</v>
      </c>
      <c r="D20" s="35">
        <v>5.1450000000000005</v>
      </c>
      <c r="E20" s="35">
        <v>5.1029999999999998</v>
      </c>
      <c r="F20" s="35">
        <v>5.62</v>
      </c>
      <c r="G20" s="22">
        <f t="shared" si="0"/>
        <v>1.2305000000000001</v>
      </c>
      <c r="H20" s="22">
        <f t="shared" si="1"/>
        <v>1.7475000000000005</v>
      </c>
      <c r="I20" s="51"/>
      <c r="J20" s="51"/>
      <c r="K20" s="51"/>
      <c r="L20" s="51"/>
      <c r="O20" s="51"/>
      <c r="P20" s="51"/>
      <c r="Q20" s="51"/>
      <c r="R20" s="51"/>
    </row>
    <row r="21" spans="1:18" x14ac:dyDescent="0.25">
      <c r="B21" s="54" t="s">
        <v>98</v>
      </c>
      <c r="C21" s="35">
        <v>4.1859999999999999</v>
      </c>
      <c r="D21" s="35">
        <v>5.3728571428571437</v>
      </c>
      <c r="E21" s="35">
        <v>5.3671428571428557</v>
      </c>
      <c r="F21" s="35">
        <v>5.854285714285715</v>
      </c>
      <c r="G21" s="22">
        <f t="shared" si="0"/>
        <v>1.1811428571428557</v>
      </c>
      <c r="H21" s="22">
        <f t="shared" si="1"/>
        <v>1.668285714285715</v>
      </c>
      <c r="I21" s="51"/>
      <c r="J21" s="51"/>
      <c r="K21" s="51"/>
      <c r="L21" s="51"/>
      <c r="O21" s="51"/>
      <c r="P21" s="51"/>
      <c r="Q21" s="51"/>
      <c r="R21" s="51"/>
    </row>
    <row r="22" spans="1:18" x14ac:dyDescent="0.25">
      <c r="B22" s="54" t="s">
        <v>99</v>
      </c>
      <c r="C22" s="35">
        <v>4.4177272727272729</v>
      </c>
      <c r="D22" s="35">
        <v>5.5486363636363629</v>
      </c>
      <c r="E22" s="35">
        <v>5.5590909090909104</v>
      </c>
      <c r="F22" s="35">
        <v>6.036363636363637</v>
      </c>
      <c r="G22" s="22">
        <f t="shared" si="0"/>
        <v>1.1413636363636375</v>
      </c>
      <c r="H22" s="22">
        <f t="shared" si="1"/>
        <v>1.6186363636363641</v>
      </c>
      <c r="I22" s="51"/>
      <c r="J22" s="51"/>
      <c r="K22" s="51"/>
      <c r="L22" s="51"/>
      <c r="O22" s="51"/>
      <c r="P22" s="51"/>
      <c r="Q22" s="51"/>
      <c r="R22" s="51"/>
    </row>
    <row r="23" spans="1:18" x14ac:dyDescent="0.25">
      <c r="C23" s="35"/>
      <c r="I23" s="51"/>
      <c r="J23" s="51"/>
      <c r="K23" s="51"/>
      <c r="L23" s="51"/>
      <c r="O23" s="51"/>
      <c r="P23" s="51"/>
      <c r="Q23" s="51"/>
      <c r="R23" s="51"/>
    </row>
    <row r="24" spans="1:18" x14ac:dyDescent="0.25">
      <c r="A24" s="54">
        <v>2011</v>
      </c>
      <c r="B24" s="54" t="s">
        <v>88</v>
      </c>
      <c r="C24" s="35">
        <v>4.5230000000000015</v>
      </c>
      <c r="D24" s="35">
        <v>5.5559999999999992</v>
      </c>
      <c r="E24" s="35">
        <v>5.5695000000000006</v>
      </c>
      <c r="F24" s="35">
        <v>6.0580000000000016</v>
      </c>
      <c r="G24" s="22">
        <f t="shared" ref="G24:G35" si="2">E24-C24</f>
        <v>1.0464999999999991</v>
      </c>
      <c r="H24" s="22">
        <f t="shared" ref="H24:H35" si="3">F24-C24</f>
        <v>1.5350000000000001</v>
      </c>
      <c r="I24" s="51"/>
      <c r="J24" s="51"/>
      <c r="K24" s="51"/>
      <c r="L24" s="51"/>
      <c r="O24" s="51"/>
      <c r="P24" s="51"/>
      <c r="Q24" s="51"/>
      <c r="R24" s="51"/>
    </row>
    <row r="25" spans="1:18" x14ac:dyDescent="0.25">
      <c r="B25" s="54" t="s">
        <v>89</v>
      </c>
      <c r="C25" s="35">
        <v>4.6521052631578952</v>
      </c>
      <c r="D25" s="35">
        <v>5.66</v>
      </c>
      <c r="E25" s="35">
        <v>5.6789473684210527</v>
      </c>
      <c r="F25" s="35">
        <v>6.1042105263157893</v>
      </c>
      <c r="G25" s="22">
        <f t="shared" si="2"/>
        <v>1.0268421052631576</v>
      </c>
      <c r="H25" s="22">
        <f t="shared" si="3"/>
        <v>1.4521052631578941</v>
      </c>
      <c r="I25" s="51"/>
      <c r="J25" s="51"/>
      <c r="K25" s="51"/>
      <c r="L25" s="51"/>
      <c r="O25" s="51"/>
      <c r="P25" s="51"/>
      <c r="Q25" s="51"/>
      <c r="R25" s="51"/>
    </row>
    <row r="26" spans="1:18" x14ac:dyDescent="0.25">
      <c r="B26" s="54" t="s">
        <v>90</v>
      </c>
      <c r="C26" s="35">
        <v>4.5139130434782615</v>
      </c>
      <c r="D26" s="35">
        <v>5.5543478260869561</v>
      </c>
      <c r="E26" s="35">
        <v>5.5639130434782604</v>
      </c>
      <c r="F26" s="35">
        <v>5.9704347826086952</v>
      </c>
      <c r="G26" s="22">
        <f t="shared" si="2"/>
        <v>1.0499999999999989</v>
      </c>
      <c r="H26" s="22">
        <f t="shared" si="3"/>
        <v>1.4565217391304337</v>
      </c>
      <c r="I26" s="51"/>
      <c r="J26" s="51"/>
      <c r="K26" s="51"/>
      <c r="L26" s="51"/>
      <c r="O26" s="51"/>
      <c r="P26" s="51"/>
      <c r="Q26" s="51"/>
      <c r="R26" s="51"/>
    </row>
    <row r="27" spans="1:18" x14ac:dyDescent="0.25">
      <c r="B27" s="54" t="s">
        <v>91</v>
      </c>
      <c r="C27" s="35">
        <v>4.5015000000000001</v>
      </c>
      <c r="D27" s="35">
        <v>5.5569999999999995</v>
      </c>
      <c r="E27" s="35">
        <v>5.5540000000000003</v>
      </c>
      <c r="F27" s="35">
        <v>5.9809999999999999</v>
      </c>
      <c r="G27" s="22">
        <f t="shared" si="2"/>
        <v>1.0525000000000002</v>
      </c>
      <c r="H27" s="22">
        <f t="shared" si="3"/>
        <v>1.4794999999999998</v>
      </c>
      <c r="I27" s="51"/>
      <c r="J27" s="51"/>
      <c r="K27" s="51"/>
      <c r="L27" s="51"/>
      <c r="O27" s="51"/>
      <c r="P27" s="51"/>
      <c r="Q27" s="51"/>
      <c r="R27" s="51"/>
    </row>
    <row r="28" spans="1:18" x14ac:dyDescent="0.25">
      <c r="B28" s="54" t="s">
        <v>92</v>
      </c>
      <c r="C28" s="35">
        <v>4.293333333333333</v>
      </c>
      <c r="D28" s="35">
        <v>5.3295238095238107</v>
      </c>
      <c r="E28" s="35">
        <v>5.3204761904761897</v>
      </c>
      <c r="F28" s="35">
        <v>5.7419047619047614</v>
      </c>
      <c r="G28" s="22">
        <f t="shared" si="2"/>
        <v>1.0271428571428567</v>
      </c>
      <c r="H28" s="22">
        <f t="shared" si="3"/>
        <v>1.4485714285714284</v>
      </c>
      <c r="I28" s="51"/>
      <c r="J28" s="51"/>
      <c r="K28" s="51"/>
      <c r="L28" s="51"/>
      <c r="O28" s="51"/>
      <c r="P28" s="51"/>
      <c r="Q28" s="51"/>
      <c r="R28" s="51"/>
    </row>
    <row r="29" spans="1:18" x14ac:dyDescent="0.25">
      <c r="B29" s="54" t="s">
        <v>93</v>
      </c>
      <c r="C29" s="35">
        <v>4.2327272727272724</v>
      </c>
      <c r="D29" s="35">
        <v>5.3031818181818187</v>
      </c>
      <c r="E29" s="35">
        <v>5.2631818181818186</v>
      </c>
      <c r="F29" s="35">
        <v>5.6731818181818179</v>
      </c>
      <c r="G29" s="22">
        <f t="shared" si="2"/>
        <v>1.0304545454545462</v>
      </c>
      <c r="H29" s="22">
        <f t="shared" si="3"/>
        <v>1.4404545454545454</v>
      </c>
      <c r="I29" s="51"/>
      <c r="J29" s="51"/>
      <c r="K29" s="51"/>
      <c r="L29" s="51"/>
      <c r="O29" s="51"/>
      <c r="P29" s="51"/>
      <c r="Q29" s="51"/>
      <c r="R29" s="51"/>
    </row>
    <row r="30" spans="1:18" x14ac:dyDescent="0.25">
      <c r="B30" s="54" t="s">
        <v>94</v>
      </c>
      <c r="C30" s="35">
        <v>4.2705000000000002</v>
      </c>
      <c r="D30" s="35">
        <v>5.2965</v>
      </c>
      <c r="E30" s="35">
        <v>5.2649999999999988</v>
      </c>
      <c r="F30" s="35">
        <v>5.6995000000000013</v>
      </c>
      <c r="G30" s="22">
        <f t="shared" si="2"/>
        <v>0.99449999999999861</v>
      </c>
      <c r="H30" s="22">
        <f t="shared" si="3"/>
        <v>1.4290000000000012</v>
      </c>
      <c r="I30" s="51"/>
      <c r="J30" s="51"/>
      <c r="K30" s="51"/>
      <c r="L30" s="51"/>
      <c r="O30" s="51"/>
      <c r="P30" s="51"/>
      <c r="Q30" s="51"/>
      <c r="R30" s="51"/>
    </row>
    <row r="31" spans="1:18" x14ac:dyDescent="0.25">
      <c r="B31" s="54" t="s">
        <v>95</v>
      </c>
      <c r="C31" s="35">
        <v>3.6513043478260867</v>
      </c>
      <c r="D31" s="35">
        <v>4.7895652173913046</v>
      </c>
      <c r="E31" s="35">
        <v>4.6891304347826077</v>
      </c>
      <c r="F31" s="35">
        <v>5.223478260869566</v>
      </c>
      <c r="G31" s="22">
        <f t="shared" si="2"/>
        <v>1.037826086956521</v>
      </c>
      <c r="H31" s="22">
        <f t="shared" si="3"/>
        <v>1.5721739130434793</v>
      </c>
      <c r="I31" s="51"/>
      <c r="J31" s="51"/>
      <c r="K31" s="51"/>
      <c r="L31" s="51"/>
      <c r="O31" s="51"/>
      <c r="P31" s="51"/>
      <c r="Q31" s="51"/>
      <c r="R31" s="51"/>
    </row>
    <row r="32" spans="1:18" x14ac:dyDescent="0.25">
      <c r="B32" s="54" t="s">
        <v>96</v>
      </c>
      <c r="C32" s="35">
        <v>3.182380952380953</v>
      </c>
      <c r="D32" s="35">
        <v>4.5995238095238093</v>
      </c>
      <c r="E32" s="35">
        <v>4.484285714285714</v>
      </c>
      <c r="F32" s="35">
        <v>5.1114285714285712</v>
      </c>
      <c r="G32" s="22">
        <f t="shared" si="2"/>
        <v>1.301904761904761</v>
      </c>
      <c r="H32" s="22">
        <f t="shared" si="3"/>
        <v>1.9290476190476182</v>
      </c>
      <c r="I32" s="51"/>
      <c r="J32" s="51"/>
      <c r="K32" s="51"/>
      <c r="L32" s="51"/>
      <c r="O32" s="51"/>
      <c r="P32" s="51"/>
      <c r="Q32" s="51"/>
      <c r="R32" s="51"/>
    </row>
    <row r="33" spans="1:18" x14ac:dyDescent="0.25">
      <c r="B33" s="54" t="s">
        <v>97</v>
      </c>
      <c r="C33" s="35">
        <v>3.1280000000000001</v>
      </c>
      <c r="D33" s="35">
        <v>4.601</v>
      </c>
      <c r="E33" s="35">
        <v>4.5179999999999998</v>
      </c>
      <c r="F33" s="35">
        <v>5.2409999999999997</v>
      </c>
      <c r="G33" s="22">
        <f t="shared" si="2"/>
        <v>1.3899999999999997</v>
      </c>
      <c r="H33" s="22">
        <f t="shared" si="3"/>
        <v>2.1129999999999995</v>
      </c>
      <c r="I33" s="51"/>
      <c r="J33" s="51"/>
      <c r="K33" s="51"/>
      <c r="L33" s="51"/>
      <c r="O33" s="51"/>
      <c r="P33" s="51"/>
      <c r="Q33" s="51"/>
      <c r="R33" s="51"/>
    </row>
    <row r="34" spans="1:18" x14ac:dyDescent="0.25">
      <c r="B34" s="54" t="s">
        <v>98</v>
      </c>
      <c r="C34" s="35">
        <v>3.0155000000000003</v>
      </c>
      <c r="D34" s="35">
        <v>4.3919999999999986</v>
      </c>
      <c r="E34" s="35">
        <v>4.2494999999999994</v>
      </c>
      <c r="F34" s="35">
        <v>4.9320000000000004</v>
      </c>
      <c r="G34" s="22">
        <f t="shared" si="2"/>
        <v>1.2339999999999991</v>
      </c>
      <c r="H34" s="22">
        <f t="shared" si="3"/>
        <v>1.9165000000000001</v>
      </c>
      <c r="I34" s="51"/>
      <c r="J34" s="51"/>
      <c r="K34" s="51"/>
      <c r="L34" s="51"/>
      <c r="O34" s="51"/>
      <c r="P34" s="51"/>
      <c r="Q34" s="51"/>
      <c r="R34" s="51"/>
    </row>
    <row r="35" spans="1:18" x14ac:dyDescent="0.25">
      <c r="B35" s="54" t="s">
        <v>99</v>
      </c>
      <c r="C35" s="35">
        <v>2.9823809523809524</v>
      </c>
      <c r="D35" s="35">
        <v>4.4719047619047618</v>
      </c>
      <c r="E35" s="35">
        <v>4.3323809523809524</v>
      </c>
      <c r="F35" s="35">
        <v>5.07</v>
      </c>
      <c r="G35" s="22">
        <f t="shared" si="2"/>
        <v>1.35</v>
      </c>
      <c r="H35" s="22">
        <f t="shared" si="3"/>
        <v>2.0876190476190479</v>
      </c>
      <c r="I35" s="51"/>
      <c r="J35" s="51"/>
      <c r="K35" s="51"/>
      <c r="L35" s="51"/>
      <c r="O35" s="51"/>
      <c r="P35" s="51"/>
      <c r="Q35" s="51"/>
      <c r="R35" s="51"/>
    </row>
    <row r="36" spans="1:18" x14ac:dyDescent="0.25">
      <c r="C36" s="35"/>
      <c r="I36" s="51"/>
      <c r="J36" s="51"/>
      <c r="K36" s="51"/>
      <c r="L36" s="51"/>
      <c r="O36" s="51"/>
      <c r="P36" s="51"/>
      <c r="Q36" s="51"/>
      <c r="R36" s="51"/>
    </row>
    <row r="37" spans="1:18" x14ac:dyDescent="0.25">
      <c r="A37" s="54">
        <v>2012</v>
      </c>
      <c r="B37" s="54" t="s">
        <v>88</v>
      </c>
      <c r="C37" s="35">
        <v>3.0259999999999998</v>
      </c>
      <c r="D37" s="35">
        <v>4.4480000000000004</v>
      </c>
      <c r="E37" s="35">
        <v>4.3374999999999995</v>
      </c>
      <c r="F37" s="35">
        <v>5.0610000000000008</v>
      </c>
      <c r="G37" s="22">
        <f t="shared" ref="G37:G48" si="4">E37-C37</f>
        <v>1.3114999999999997</v>
      </c>
      <c r="H37" s="22">
        <f t="shared" ref="H37:H48" si="5">F37-C37</f>
        <v>2.035000000000001</v>
      </c>
      <c r="I37" s="51"/>
      <c r="J37" s="51"/>
      <c r="K37" s="51"/>
      <c r="L37" s="51"/>
      <c r="O37" s="51"/>
      <c r="P37" s="51"/>
      <c r="Q37" s="51"/>
      <c r="R37" s="51"/>
    </row>
    <row r="38" spans="1:18" x14ac:dyDescent="0.25">
      <c r="B38" s="54" t="s">
        <v>89</v>
      </c>
      <c r="C38" s="35">
        <v>3.109</v>
      </c>
      <c r="D38" s="35">
        <v>4.4225000000000012</v>
      </c>
      <c r="E38" s="35">
        <v>4.3594999999999988</v>
      </c>
      <c r="F38" s="35">
        <v>5.0214999999999987</v>
      </c>
      <c r="G38" s="22">
        <f t="shared" si="4"/>
        <v>1.2504999999999988</v>
      </c>
      <c r="H38" s="22">
        <f t="shared" si="5"/>
        <v>1.9124999999999988</v>
      </c>
      <c r="I38" s="51"/>
      <c r="J38" s="51"/>
      <c r="K38" s="51"/>
      <c r="L38" s="51"/>
      <c r="O38" s="51"/>
      <c r="P38" s="51"/>
      <c r="Q38" s="51"/>
      <c r="R38" s="51"/>
    </row>
    <row r="39" spans="1:18" x14ac:dyDescent="0.25">
      <c r="B39" s="54" t="s">
        <v>90</v>
      </c>
      <c r="C39" s="35">
        <v>3.2813636363636358</v>
      </c>
      <c r="D39" s="35">
        <v>4.5445454545454558</v>
      </c>
      <c r="E39" s="35">
        <v>4.4763636363636365</v>
      </c>
      <c r="F39" s="35">
        <v>5.129999999999999</v>
      </c>
      <c r="G39" s="22">
        <f t="shared" si="4"/>
        <v>1.1950000000000007</v>
      </c>
      <c r="H39" s="22">
        <f t="shared" si="5"/>
        <v>1.8486363636363632</v>
      </c>
      <c r="I39" s="51"/>
      <c r="J39" s="51"/>
      <c r="K39" s="51"/>
      <c r="L39" s="51"/>
      <c r="O39" s="51"/>
      <c r="P39" s="51"/>
      <c r="Q39" s="51"/>
      <c r="R39" s="51"/>
    </row>
    <row r="40" spans="1:18" x14ac:dyDescent="0.25">
      <c r="B40" s="54" t="s">
        <v>91</v>
      </c>
      <c r="C40" s="35">
        <v>3.1842857142857137</v>
      </c>
      <c r="D40" s="35">
        <v>4.4914285714285702</v>
      </c>
      <c r="E40" s="35">
        <v>4.3980952380952365</v>
      </c>
      <c r="F40" s="35">
        <v>5.1109523809523809</v>
      </c>
      <c r="G40" s="22">
        <f t="shared" si="4"/>
        <v>1.2138095238095228</v>
      </c>
      <c r="H40" s="22">
        <f t="shared" si="5"/>
        <v>1.9266666666666672</v>
      </c>
      <c r="I40" s="51"/>
      <c r="J40" s="51"/>
      <c r="K40" s="51"/>
      <c r="L40" s="51"/>
      <c r="O40" s="51"/>
      <c r="P40" s="51"/>
      <c r="Q40" s="51"/>
      <c r="R40" s="51"/>
    </row>
    <row r="41" spans="1:18" x14ac:dyDescent="0.25">
      <c r="B41" s="54" t="s">
        <v>92</v>
      </c>
      <c r="C41" s="35">
        <v>2.9309090909090911</v>
      </c>
      <c r="D41" s="35">
        <v>4.331363636363637</v>
      </c>
      <c r="E41" s="35">
        <v>4.2018181818181821</v>
      </c>
      <c r="F41" s="35">
        <v>4.9654545454545449</v>
      </c>
      <c r="G41" s="22">
        <f t="shared" si="4"/>
        <v>1.270909090909091</v>
      </c>
      <c r="H41" s="22">
        <f t="shared" si="5"/>
        <v>2.0345454545454538</v>
      </c>
      <c r="I41" s="51"/>
      <c r="J41" s="51"/>
      <c r="K41" s="51"/>
      <c r="L41" s="51"/>
      <c r="O41" s="51"/>
      <c r="P41" s="51"/>
      <c r="Q41" s="51"/>
      <c r="R41" s="51"/>
    </row>
    <row r="42" spans="1:18" x14ac:dyDescent="0.25">
      <c r="B42" s="54" t="s">
        <v>93</v>
      </c>
      <c r="C42" s="35">
        <v>2.6980952380952381</v>
      </c>
      <c r="D42" s="35">
        <v>4.2238095238095239</v>
      </c>
      <c r="E42" s="35">
        <v>4.0823809523809516</v>
      </c>
      <c r="F42" s="35">
        <v>4.9090476190476178</v>
      </c>
      <c r="G42" s="22">
        <f t="shared" si="4"/>
        <v>1.3842857142857135</v>
      </c>
      <c r="H42" s="22">
        <f t="shared" si="5"/>
        <v>2.2109523809523797</v>
      </c>
      <c r="I42" s="51"/>
      <c r="J42" s="51"/>
      <c r="K42" s="51"/>
      <c r="L42" s="51"/>
      <c r="O42" s="51"/>
      <c r="P42" s="51"/>
      <c r="Q42" s="51"/>
      <c r="R42" s="51"/>
    </row>
    <row r="43" spans="1:18" x14ac:dyDescent="0.25">
      <c r="B43" s="54" t="s">
        <v>94</v>
      </c>
      <c r="C43" s="35">
        <v>2.5900000000000003</v>
      </c>
      <c r="D43" s="35">
        <v>4.0271428571428576</v>
      </c>
      <c r="E43" s="35">
        <v>3.9280952380952372</v>
      </c>
      <c r="F43" s="35">
        <v>4.8499999999999996</v>
      </c>
      <c r="G43" s="22">
        <f t="shared" si="4"/>
        <v>1.3380952380952369</v>
      </c>
      <c r="H43" s="22">
        <f t="shared" si="5"/>
        <v>2.2599999999999993</v>
      </c>
      <c r="I43" s="51"/>
      <c r="J43" s="51"/>
      <c r="K43" s="51"/>
      <c r="L43" s="51"/>
      <c r="O43" s="51"/>
      <c r="P43" s="51"/>
      <c r="Q43" s="51"/>
      <c r="R43" s="51"/>
    </row>
    <row r="44" spans="1:18" x14ac:dyDescent="0.25">
      <c r="B44" s="54" t="s">
        <v>95</v>
      </c>
      <c r="C44" s="35">
        <v>2.7708695652173914</v>
      </c>
      <c r="D44" s="35">
        <v>4.0856521739130445</v>
      </c>
      <c r="E44" s="35">
        <v>3.9965217391304351</v>
      </c>
      <c r="F44" s="35">
        <v>4.8782608695652181</v>
      </c>
      <c r="G44" s="22">
        <f t="shared" si="4"/>
        <v>1.2256521739130437</v>
      </c>
      <c r="H44" s="22">
        <f t="shared" si="5"/>
        <v>2.1073913043478267</v>
      </c>
      <c r="I44" s="51"/>
      <c r="J44" s="51"/>
      <c r="K44" s="51"/>
      <c r="L44" s="51"/>
      <c r="O44" s="51"/>
      <c r="P44" s="51"/>
      <c r="Q44" s="51"/>
      <c r="R44" s="51"/>
    </row>
    <row r="45" spans="1:18" x14ac:dyDescent="0.25">
      <c r="B45" s="54" t="s">
        <v>96</v>
      </c>
      <c r="C45" s="35">
        <v>2.8815789473684212</v>
      </c>
      <c r="D45" s="35">
        <v>4.0915789473684212</v>
      </c>
      <c r="E45" s="35">
        <v>4.0231578947368423</v>
      </c>
      <c r="F45" s="35">
        <v>4.8073684210526322</v>
      </c>
      <c r="G45" s="22">
        <f t="shared" si="4"/>
        <v>1.141578947368421</v>
      </c>
      <c r="H45" s="22">
        <f t="shared" si="5"/>
        <v>1.9257894736842109</v>
      </c>
      <c r="I45" s="51"/>
      <c r="J45" s="51"/>
      <c r="K45" s="51"/>
      <c r="L45" s="51"/>
      <c r="O45" s="51"/>
      <c r="P45" s="51"/>
      <c r="Q45" s="51"/>
      <c r="R45" s="51"/>
    </row>
    <row r="46" spans="1:18" ht="17.25" x14ac:dyDescent="0.3">
      <c r="B46" s="54" t="s">
        <v>97</v>
      </c>
      <c r="C46" s="35">
        <v>2.9004761904761902</v>
      </c>
      <c r="D46" s="35">
        <v>3.9714285714285724</v>
      </c>
      <c r="E46" s="75">
        <v>3.9133333333333331</v>
      </c>
      <c r="F46" s="35">
        <v>4.5433333333333321</v>
      </c>
      <c r="G46" s="22">
        <f t="shared" si="4"/>
        <v>1.0128571428571429</v>
      </c>
      <c r="H46" s="22">
        <f t="shared" si="5"/>
        <v>1.6428571428571419</v>
      </c>
      <c r="I46" s="51"/>
      <c r="J46" s="51"/>
      <c r="K46" s="51"/>
      <c r="L46" s="51"/>
      <c r="O46" s="51"/>
      <c r="P46" s="51"/>
      <c r="Q46" s="51"/>
      <c r="R46" s="51"/>
    </row>
    <row r="47" spans="1:18" x14ac:dyDescent="0.25">
      <c r="B47" s="54" t="s">
        <v>98</v>
      </c>
      <c r="C47" s="35">
        <v>2.8034999999999997</v>
      </c>
      <c r="D47" s="48">
        <v>3.9200000000000004</v>
      </c>
      <c r="E47" s="48">
        <v>3.8364999999999996</v>
      </c>
      <c r="F47" s="48">
        <v>4.4155000000000006</v>
      </c>
      <c r="G47" s="22">
        <f t="shared" si="4"/>
        <v>1.0329999999999999</v>
      </c>
      <c r="H47" s="22">
        <f t="shared" si="5"/>
        <v>1.612000000000001</v>
      </c>
      <c r="I47" s="51"/>
      <c r="J47" s="51"/>
      <c r="K47" s="51"/>
      <c r="L47" s="51"/>
      <c r="O47" s="51"/>
      <c r="P47" s="51"/>
      <c r="Q47" s="51"/>
      <c r="R47" s="51"/>
    </row>
    <row r="48" spans="1:18" x14ac:dyDescent="0.25">
      <c r="B48" s="54" t="s">
        <v>99</v>
      </c>
      <c r="C48" s="35">
        <v>2.8835000000000002</v>
      </c>
      <c r="D48" s="48">
        <v>4.0484999999999998</v>
      </c>
      <c r="E48" s="48">
        <v>4.0004999999999997</v>
      </c>
      <c r="F48" s="48">
        <v>4.5549999999999997</v>
      </c>
      <c r="G48" s="22">
        <f t="shared" si="4"/>
        <v>1.1169999999999995</v>
      </c>
      <c r="H48" s="22">
        <f t="shared" si="5"/>
        <v>1.6714999999999995</v>
      </c>
      <c r="I48" s="51"/>
      <c r="J48" s="51"/>
      <c r="K48" s="51"/>
      <c r="L48" s="51"/>
      <c r="O48" s="51"/>
      <c r="P48" s="51"/>
      <c r="Q48" s="51"/>
      <c r="R48" s="51"/>
    </row>
    <row r="49" spans="1:18" x14ac:dyDescent="0.25">
      <c r="B49" s="54"/>
      <c r="C49" s="35"/>
      <c r="D49" s="48"/>
      <c r="E49" s="48"/>
      <c r="F49" s="48"/>
      <c r="G49" s="22"/>
      <c r="H49" s="22"/>
      <c r="I49" s="51"/>
      <c r="J49" s="51"/>
      <c r="K49" s="51"/>
      <c r="L49" s="51"/>
      <c r="O49" s="51"/>
      <c r="P49" s="51"/>
      <c r="Q49" s="51"/>
      <c r="R49" s="51"/>
    </row>
    <row r="50" spans="1:18" x14ac:dyDescent="0.25">
      <c r="A50" s="54">
        <v>2013</v>
      </c>
      <c r="B50" s="54" t="s">
        <v>88</v>
      </c>
      <c r="C50" s="35">
        <v>3.0804761904761913</v>
      </c>
      <c r="D50" s="48">
        <v>4.190952380952381</v>
      </c>
      <c r="E50" s="48">
        <v>4.1476190476190471</v>
      </c>
      <c r="F50" s="48">
        <v>4.6585714285714275</v>
      </c>
      <c r="G50" s="22">
        <f t="shared" ref="G50:G61" si="6">E50-C50</f>
        <v>1.0671428571428558</v>
      </c>
      <c r="H50" s="22">
        <f t="shared" ref="H50:H61" si="7">F50-C50</f>
        <v>1.5780952380952362</v>
      </c>
      <c r="I50" s="51"/>
      <c r="J50" s="51"/>
      <c r="K50" s="51"/>
      <c r="L50" s="51"/>
      <c r="O50" s="51"/>
      <c r="P50" s="51"/>
      <c r="Q50" s="51"/>
      <c r="R50" s="51"/>
    </row>
    <row r="51" spans="1:18" x14ac:dyDescent="0.25">
      <c r="B51" s="54" t="s">
        <v>89</v>
      </c>
      <c r="C51" s="35">
        <v>3.1652631578947368</v>
      </c>
      <c r="D51" s="48">
        <v>4.2731578947368423</v>
      </c>
      <c r="E51" s="48">
        <v>4.1847368421052638</v>
      </c>
      <c r="F51" s="48">
        <v>4.7447368421052625</v>
      </c>
      <c r="G51" s="22">
        <f t="shared" si="6"/>
        <v>1.019473684210527</v>
      </c>
      <c r="H51" s="22">
        <f t="shared" si="7"/>
        <v>1.5794736842105257</v>
      </c>
      <c r="I51" s="51"/>
      <c r="J51" s="51"/>
      <c r="K51" s="51"/>
      <c r="L51" s="51"/>
      <c r="O51" s="51"/>
      <c r="P51" s="51"/>
      <c r="Q51" s="51"/>
      <c r="R51" s="51"/>
    </row>
    <row r="52" spans="1:18" x14ac:dyDescent="0.25">
      <c r="B52" s="54" t="s">
        <v>90</v>
      </c>
      <c r="C52" s="35">
        <v>3.1625000000000005</v>
      </c>
      <c r="D52" s="48">
        <v>4.2919999999999998</v>
      </c>
      <c r="E52" s="48">
        <v>4.2</v>
      </c>
      <c r="F52" s="48">
        <v>4.7189999999999994</v>
      </c>
      <c r="G52" s="22">
        <f t="shared" si="6"/>
        <v>1.0374999999999996</v>
      </c>
      <c r="H52" s="22">
        <f t="shared" si="7"/>
        <v>1.5564999999999989</v>
      </c>
      <c r="I52" s="51"/>
      <c r="J52" s="51"/>
      <c r="K52" s="51"/>
      <c r="L52" s="51"/>
      <c r="O52" s="51"/>
      <c r="P52" s="51"/>
      <c r="Q52" s="51"/>
      <c r="R52" s="51"/>
    </row>
    <row r="53" spans="1:18" x14ac:dyDescent="0.25">
      <c r="B53" s="54" t="s">
        <v>91</v>
      </c>
      <c r="C53" s="35">
        <v>2.9327272727272726</v>
      </c>
      <c r="D53" s="48">
        <v>4.0745454545454542</v>
      </c>
      <c r="E53" s="48">
        <v>4.0022727272727261</v>
      </c>
      <c r="F53" s="48">
        <v>4.4863636363636372</v>
      </c>
      <c r="G53" s="22">
        <f t="shared" si="6"/>
        <v>1.0695454545454535</v>
      </c>
      <c r="H53" s="22">
        <f t="shared" si="7"/>
        <v>1.5536363636363646</v>
      </c>
      <c r="I53" s="51"/>
      <c r="J53" s="51"/>
      <c r="K53" s="51"/>
      <c r="L53" s="51"/>
      <c r="O53" s="51"/>
      <c r="P53" s="51"/>
      <c r="Q53" s="51"/>
      <c r="R53" s="51"/>
    </row>
    <row r="54" spans="1:18" x14ac:dyDescent="0.25">
      <c r="B54" s="54" t="s">
        <v>92</v>
      </c>
      <c r="C54" s="35">
        <v>3.1127272727272728</v>
      </c>
      <c r="D54" s="48">
        <v>4.2322727272727283</v>
      </c>
      <c r="E54" s="48">
        <v>4.167272727272727</v>
      </c>
      <c r="F54" s="48">
        <v>4.6477272727272725</v>
      </c>
      <c r="G54" s="22">
        <f t="shared" si="6"/>
        <v>1.0545454545454542</v>
      </c>
      <c r="H54" s="22">
        <f t="shared" si="7"/>
        <v>1.5349999999999997</v>
      </c>
      <c r="I54" s="51"/>
      <c r="J54" s="51"/>
      <c r="K54" s="51"/>
      <c r="L54" s="51"/>
      <c r="O54" s="51"/>
      <c r="P54" s="51"/>
      <c r="Q54" s="51"/>
      <c r="R54" s="51"/>
    </row>
    <row r="55" spans="1:18" x14ac:dyDescent="0.25">
      <c r="B55" s="54" t="s">
        <v>93</v>
      </c>
      <c r="C55" s="35">
        <v>3.4000000000000008</v>
      </c>
      <c r="D55" s="35">
        <v>4.629999999999999</v>
      </c>
      <c r="E55" s="35">
        <v>4.5290000000000008</v>
      </c>
      <c r="F55" s="35">
        <v>5.0845000000000002</v>
      </c>
      <c r="G55" s="22">
        <f t="shared" si="6"/>
        <v>1.129</v>
      </c>
      <c r="H55" s="22">
        <f t="shared" si="7"/>
        <v>1.6844999999999994</v>
      </c>
      <c r="I55" s="51"/>
      <c r="J55" s="51"/>
      <c r="K55" s="51"/>
      <c r="L55" s="51"/>
      <c r="O55" s="51"/>
      <c r="P55" s="51"/>
      <c r="Q55" s="51"/>
      <c r="R55" s="51"/>
    </row>
    <row r="56" spans="1:18" x14ac:dyDescent="0.25">
      <c r="B56" s="54" t="s">
        <v>94</v>
      </c>
      <c r="C56" s="35">
        <v>3.605</v>
      </c>
      <c r="D56" s="35">
        <v>4.7595454545454556</v>
      </c>
      <c r="E56" s="35">
        <v>4.6827272727272726</v>
      </c>
      <c r="F56" s="35">
        <v>5.209090909090909</v>
      </c>
      <c r="G56" s="22">
        <f t="shared" si="6"/>
        <v>1.0777272727272726</v>
      </c>
      <c r="H56" s="22">
        <f t="shared" si="7"/>
        <v>1.604090909090909</v>
      </c>
      <c r="I56" s="51"/>
      <c r="J56" s="51"/>
      <c r="K56" s="51"/>
      <c r="L56" s="51"/>
      <c r="O56" s="51"/>
      <c r="P56" s="51"/>
      <c r="Q56" s="51"/>
      <c r="R56" s="51"/>
    </row>
    <row r="57" spans="1:18" x14ac:dyDescent="0.25">
      <c r="B57" s="54" t="s">
        <v>95</v>
      </c>
      <c r="C57" s="35">
        <v>3.7577272727272728</v>
      </c>
      <c r="D57" s="35">
        <v>4.8854545454545448</v>
      </c>
      <c r="E57" s="35">
        <v>4.7300000000000004</v>
      </c>
      <c r="F57" s="35">
        <v>5.2759090909090904</v>
      </c>
      <c r="G57" s="22">
        <f t="shared" si="6"/>
        <v>0.97227272727272762</v>
      </c>
      <c r="H57" s="22">
        <f t="shared" si="7"/>
        <v>1.5181818181818176</v>
      </c>
      <c r="I57" s="51"/>
      <c r="J57" s="51"/>
      <c r="K57" s="51"/>
      <c r="L57" s="51"/>
      <c r="O57" s="51"/>
      <c r="P57" s="51"/>
      <c r="Q57" s="51"/>
      <c r="R57" s="51"/>
    </row>
    <row r="58" spans="1:18" x14ac:dyDescent="0.25">
      <c r="B58" s="54" t="s">
        <v>96</v>
      </c>
      <c r="C58" s="35">
        <v>3.7870000000000004</v>
      </c>
      <c r="D58" s="35">
        <v>4.9465000000000003</v>
      </c>
      <c r="E58" s="35">
        <v>4.8030000000000008</v>
      </c>
      <c r="F58" s="35">
        <v>5.3079999999999998</v>
      </c>
      <c r="G58" s="22">
        <f t="shared" si="6"/>
        <v>1.0160000000000005</v>
      </c>
      <c r="H58" s="22">
        <f t="shared" si="7"/>
        <v>1.5209999999999995</v>
      </c>
      <c r="I58" s="51"/>
      <c r="J58" s="51"/>
      <c r="K58" s="51"/>
      <c r="L58" s="51"/>
      <c r="O58" s="51"/>
      <c r="P58" s="51"/>
      <c r="Q58" s="51"/>
      <c r="R58" s="51"/>
    </row>
    <row r="59" spans="1:18" x14ac:dyDescent="0.25">
      <c r="B59" s="54" t="s">
        <v>97</v>
      </c>
      <c r="C59" s="35">
        <v>3.6759090909090903</v>
      </c>
      <c r="D59" s="35">
        <v>4.8199999999999994</v>
      </c>
      <c r="E59" s="35">
        <v>4.6959090909090913</v>
      </c>
      <c r="F59" s="35">
        <v>5.1700000000000008</v>
      </c>
      <c r="G59" s="22">
        <f t="shared" si="6"/>
        <v>1.0200000000000009</v>
      </c>
      <c r="H59" s="22">
        <f t="shared" si="7"/>
        <v>1.4940909090909105</v>
      </c>
      <c r="I59" s="51"/>
      <c r="J59" s="51"/>
      <c r="K59" s="51"/>
      <c r="L59" s="51"/>
      <c r="O59" s="51"/>
      <c r="P59" s="51"/>
      <c r="Q59" s="51"/>
      <c r="R59" s="51"/>
    </row>
    <row r="60" spans="1:18" x14ac:dyDescent="0.25">
      <c r="B60" s="54" t="s">
        <v>98</v>
      </c>
      <c r="C60" s="35">
        <v>3.7999999999999985</v>
      </c>
      <c r="D60" s="48">
        <v>4.9073684210526318</v>
      </c>
      <c r="E60" s="48">
        <v>4.774210526315791</v>
      </c>
      <c r="F60" s="48">
        <v>5.2436842105263155</v>
      </c>
      <c r="G60" s="22">
        <f t="shared" si="6"/>
        <v>0.97421052631579252</v>
      </c>
      <c r="H60" s="22">
        <f t="shared" si="7"/>
        <v>1.443684210526317</v>
      </c>
      <c r="I60" s="51"/>
      <c r="J60" s="51"/>
      <c r="K60" s="51"/>
      <c r="L60" s="51"/>
      <c r="O60" s="51"/>
      <c r="P60" s="51"/>
      <c r="Q60" s="51"/>
      <c r="R60" s="51"/>
    </row>
    <row r="61" spans="1:18" x14ac:dyDescent="0.25">
      <c r="B61" s="54" t="s">
        <v>99</v>
      </c>
      <c r="C61" s="35">
        <v>3.8890476190476191</v>
      </c>
      <c r="D61" s="48">
        <v>4.9176190476190476</v>
      </c>
      <c r="E61" s="48">
        <v>4.8090476190476199</v>
      </c>
      <c r="F61" s="48">
        <v>5.2523809523809524</v>
      </c>
      <c r="G61" s="22">
        <f t="shared" si="6"/>
        <v>0.92000000000000082</v>
      </c>
      <c r="H61" s="22">
        <f t="shared" si="7"/>
        <v>1.3633333333333333</v>
      </c>
      <c r="I61" s="51"/>
      <c r="J61" s="51"/>
      <c r="K61" s="51"/>
      <c r="L61" s="51"/>
      <c r="O61" s="51"/>
      <c r="P61" s="51"/>
      <c r="Q61" s="51"/>
      <c r="R61" s="51"/>
    </row>
    <row r="62" spans="1:18" x14ac:dyDescent="0.25">
      <c r="J62" s="51"/>
      <c r="O62" s="51"/>
      <c r="P62" s="51"/>
      <c r="Q62" s="51"/>
      <c r="R62" s="51"/>
    </row>
    <row r="63" spans="1:18" x14ac:dyDescent="0.25">
      <c r="A63" s="54">
        <v>2014</v>
      </c>
      <c r="B63" s="54" t="s">
        <v>88</v>
      </c>
      <c r="C63" s="35">
        <v>3.7690476190476199</v>
      </c>
      <c r="D63" s="48">
        <v>4.7561904761904765</v>
      </c>
      <c r="E63" s="48">
        <v>4.6309523809523814</v>
      </c>
      <c r="F63" s="48">
        <v>5.093809523809524</v>
      </c>
      <c r="G63" s="22">
        <f t="shared" ref="G63:G74" si="8">E63-C63</f>
        <v>0.86190476190476151</v>
      </c>
      <c r="H63" s="22">
        <f t="shared" ref="H63:H74" si="9">F63-C63</f>
        <v>1.3247619047619041</v>
      </c>
      <c r="I63" s="51"/>
      <c r="J63" s="51"/>
      <c r="K63" s="51"/>
      <c r="L63" s="51"/>
      <c r="O63" s="51"/>
      <c r="P63" s="51"/>
      <c r="Q63" s="51"/>
      <c r="R63" s="51"/>
    </row>
    <row r="64" spans="1:18" x14ac:dyDescent="0.25">
      <c r="B64" s="54" t="s">
        <v>89</v>
      </c>
      <c r="C64" s="35">
        <v>3.6626315789473685</v>
      </c>
      <c r="D64" s="48">
        <v>4.6778947368421049</v>
      </c>
      <c r="E64" s="48">
        <v>4.5347368421052634</v>
      </c>
      <c r="F64" s="48">
        <v>5.0089473684210519</v>
      </c>
      <c r="G64" s="22">
        <f t="shared" si="8"/>
        <v>0.87210526315789494</v>
      </c>
      <c r="H64" s="22">
        <f t="shared" si="9"/>
        <v>1.3463157894736835</v>
      </c>
      <c r="I64" s="51"/>
      <c r="J64" s="51"/>
      <c r="K64" s="51"/>
      <c r="L64" s="51"/>
      <c r="O64" s="51"/>
      <c r="P64" s="51"/>
      <c r="Q64" s="51"/>
      <c r="R64" s="51"/>
    </row>
    <row r="65" spans="1:18" x14ac:dyDescent="0.25">
      <c r="B65" s="54" t="s">
        <v>90</v>
      </c>
      <c r="C65" s="35">
        <v>3.6209523809523807</v>
      </c>
      <c r="D65" s="48">
        <v>4.6452380952380965</v>
      </c>
      <c r="E65" s="48">
        <v>4.5090476190476183</v>
      </c>
      <c r="F65" s="48">
        <v>4.9952380952380953</v>
      </c>
      <c r="G65" s="22">
        <f t="shared" si="8"/>
        <v>0.8880952380952376</v>
      </c>
      <c r="H65" s="22">
        <f t="shared" si="9"/>
        <v>1.3742857142857146</v>
      </c>
      <c r="I65" s="51"/>
      <c r="J65" s="51"/>
      <c r="K65" s="51"/>
      <c r="L65" s="51"/>
      <c r="O65" s="51"/>
      <c r="P65" s="51"/>
      <c r="Q65" s="51"/>
      <c r="R65" s="51"/>
    </row>
    <row r="66" spans="1:18" x14ac:dyDescent="0.25">
      <c r="B66" s="54" t="s">
        <v>91</v>
      </c>
      <c r="C66" s="35">
        <v>3.5176190476190476</v>
      </c>
      <c r="D66" s="48">
        <v>4.5176190476190463</v>
      </c>
      <c r="E66" s="48">
        <v>4.408095238095239</v>
      </c>
      <c r="F66" s="48">
        <v>4.8480952380952385</v>
      </c>
      <c r="G66" s="22">
        <f t="shared" si="8"/>
        <v>0.89047619047619131</v>
      </c>
      <c r="H66" s="22">
        <f t="shared" si="9"/>
        <v>1.3304761904761908</v>
      </c>
      <c r="I66" s="51"/>
      <c r="J66" s="51"/>
      <c r="K66" s="51"/>
      <c r="L66" s="51"/>
      <c r="O66" s="51"/>
      <c r="P66" s="51"/>
      <c r="Q66" s="51"/>
      <c r="R66" s="51"/>
    </row>
    <row r="67" spans="1:18" x14ac:dyDescent="0.25">
      <c r="B67" s="54" t="s">
        <v>92</v>
      </c>
      <c r="C67" s="35">
        <v>3.3899999999999997</v>
      </c>
      <c r="D67" s="48">
        <v>4.3847619047619046</v>
      </c>
      <c r="E67" s="48">
        <v>4.2557142857142871</v>
      </c>
      <c r="F67" s="48">
        <v>4.6880952380952392</v>
      </c>
      <c r="G67" s="22">
        <f t="shared" si="8"/>
        <v>0.86571428571428743</v>
      </c>
      <c r="H67" s="22">
        <f t="shared" si="9"/>
        <v>1.2980952380952395</v>
      </c>
      <c r="I67" s="51"/>
      <c r="J67" s="51"/>
      <c r="K67" s="51"/>
      <c r="L67" s="51"/>
      <c r="O67" s="51"/>
      <c r="P67" s="51"/>
      <c r="Q67" s="51"/>
      <c r="R67" s="51"/>
    </row>
    <row r="68" spans="1:18" x14ac:dyDescent="0.25">
      <c r="B68" s="54" t="s">
        <v>93</v>
      </c>
      <c r="C68" s="48">
        <v>3.4199999999999995</v>
      </c>
      <c r="D68" s="48">
        <v>4.4385714285714286</v>
      </c>
      <c r="E68" s="48">
        <v>4.2938095238095233</v>
      </c>
      <c r="F68" s="48">
        <v>4.7261904761904754</v>
      </c>
      <c r="G68" s="22">
        <f t="shared" si="8"/>
        <v>0.87380952380952381</v>
      </c>
      <c r="H68" s="22">
        <f t="shared" si="9"/>
        <v>1.3061904761904759</v>
      </c>
      <c r="I68" s="51"/>
      <c r="J68" s="51"/>
      <c r="K68" s="51"/>
      <c r="L68" s="51"/>
      <c r="O68" s="51"/>
      <c r="P68" s="51"/>
      <c r="Q68" s="51"/>
      <c r="R68" s="51"/>
    </row>
    <row r="69" spans="1:18" x14ac:dyDescent="0.25">
      <c r="B69" s="54" t="s">
        <v>94</v>
      </c>
      <c r="C69" s="48">
        <v>3.3318181818181816</v>
      </c>
      <c r="D69" s="48">
        <v>4.370454545454546</v>
      </c>
      <c r="E69" s="48">
        <v>4.2263636363636357</v>
      </c>
      <c r="F69" s="48">
        <v>4.6627272727272722</v>
      </c>
      <c r="G69" s="22">
        <f t="shared" si="8"/>
        <v>0.89454545454545409</v>
      </c>
      <c r="H69" s="22">
        <f t="shared" si="9"/>
        <v>1.3309090909090906</v>
      </c>
      <c r="I69" s="51"/>
      <c r="J69" s="51"/>
      <c r="K69" s="51"/>
      <c r="L69" s="51"/>
      <c r="O69" s="51"/>
      <c r="P69" s="51"/>
      <c r="Q69" s="51"/>
      <c r="R69" s="51"/>
    </row>
    <row r="70" spans="1:18" x14ac:dyDescent="0.25">
      <c r="B70" s="54" t="s">
        <v>95</v>
      </c>
      <c r="C70" s="48">
        <v>3.2009523809523817</v>
      </c>
      <c r="D70" s="48">
        <v>4.2947619047619048</v>
      </c>
      <c r="E70" s="48">
        <v>4.1309523809523805</v>
      </c>
      <c r="F70" s="48">
        <v>4.6542857142857148</v>
      </c>
      <c r="G70" s="22">
        <f t="shared" si="8"/>
        <v>0.92999999999999883</v>
      </c>
      <c r="H70" s="22">
        <f t="shared" si="9"/>
        <v>1.4533333333333331</v>
      </c>
      <c r="I70" s="51"/>
      <c r="J70" s="44"/>
      <c r="K70" s="44"/>
      <c r="L70" s="44"/>
      <c r="M70" s="44"/>
      <c r="N70" s="44"/>
      <c r="O70" s="51"/>
      <c r="P70" s="51"/>
      <c r="Q70" s="51"/>
      <c r="R70" s="51"/>
    </row>
    <row r="71" spans="1:18" x14ac:dyDescent="0.25">
      <c r="B71" s="54" t="s">
        <v>96</v>
      </c>
      <c r="C71" s="48">
        <v>3.26</v>
      </c>
      <c r="D71" s="48">
        <v>4.3871428571428561</v>
      </c>
      <c r="E71" s="48">
        <v>4.2376190476190487</v>
      </c>
      <c r="F71" s="48">
        <v>4.7857142857142865</v>
      </c>
      <c r="G71" s="22">
        <f t="shared" si="8"/>
        <v>0.97761904761904894</v>
      </c>
      <c r="H71" s="22">
        <f t="shared" si="9"/>
        <v>1.5257142857142867</v>
      </c>
      <c r="I71" s="51"/>
      <c r="J71" s="51"/>
      <c r="K71" s="51"/>
      <c r="L71" s="51"/>
      <c r="M71" s="51"/>
      <c r="N71" s="51"/>
      <c r="O71" s="51"/>
      <c r="P71" s="51"/>
      <c r="Q71" s="51"/>
      <c r="R71" s="51"/>
    </row>
    <row r="72" spans="1:18" x14ac:dyDescent="0.25">
      <c r="B72" s="49" t="s">
        <v>97</v>
      </c>
      <c r="C72" s="48">
        <v>3.0399999999999991</v>
      </c>
      <c r="D72" s="48">
        <v>4.2222727272727285</v>
      </c>
      <c r="E72" s="48">
        <v>4.0595454545454537</v>
      </c>
      <c r="F72" s="48">
        <v>4.6695454545454531</v>
      </c>
      <c r="G72" s="50">
        <f t="shared" si="8"/>
        <v>1.0195454545454545</v>
      </c>
      <c r="H72" s="22">
        <f t="shared" si="9"/>
        <v>1.629545454545454</v>
      </c>
      <c r="I72" s="51"/>
      <c r="J72" s="51"/>
      <c r="K72" s="51"/>
      <c r="L72" s="51"/>
      <c r="O72" s="51"/>
      <c r="P72" s="51"/>
      <c r="Q72" s="51"/>
      <c r="R72" s="51"/>
    </row>
    <row r="73" spans="1:18" x14ac:dyDescent="0.25">
      <c r="B73" s="49" t="s">
        <v>98</v>
      </c>
      <c r="C73" s="48">
        <v>3.0383333333333331</v>
      </c>
      <c r="D73" s="48">
        <v>4.2789473684210533</v>
      </c>
      <c r="E73" s="48">
        <v>4.09</v>
      </c>
      <c r="F73" s="48">
        <v>4.7473684210526308</v>
      </c>
      <c r="G73" s="50">
        <f t="shared" si="8"/>
        <v>1.0516666666666667</v>
      </c>
      <c r="H73" s="22">
        <f t="shared" si="9"/>
        <v>1.7090350877192977</v>
      </c>
      <c r="I73" s="51"/>
      <c r="J73" s="51"/>
      <c r="K73" s="51"/>
      <c r="L73" s="51"/>
      <c r="O73" s="51"/>
      <c r="P73" s="51"/>
      <c r="Q73" s="51"/>
      <c r="R73" s="51"/>
    </row>
    <row r="74" spans="1:18" x14ac:dyDescent="0.25">
      <c r="B74" s="54" t="s">
        <v>99</v>
      </c>
      <c r="C74" s="48">
        <v>2.8331818181818185</v>
      </c>
      <c r="D74" s="48">
        <v>4.1677272727272729</v>
      </c>
      <c r="E74" s="48">
        <v>3.9459090909090908</v>
      </c>
      <c r="F74" s="48">
        <v>4.6968181818181822</v>
      </c>
      <c r="G74" s="22">
        <f t="shared" si="8"/>
        <v>1.1127272727272723</v>
      </c>
      <c r="H74" s="22">
        <f t="shared" si="9"/>
        <v>1.8636363636363638</v>
      </c>
      <c r="O74" s="51"/>
      <c r="P74" s="51"/>
      <c r="Q74" s="51"/>
      <c r="R74" s="51"/>
    </row>
    <row r="75" spans="1:18" x14ac:dyDescent="0.25">
      <c r="B75" s="49"/>
      <c r="C75" s="48"/>
      <c r="D75" s="48"/>
      <c r="E75" s="48"/>
      <c r="F75" s="48"/>
      <c r="G75" s="50"/>
      <c r="H75" s="22"/>
      <c r="I75" s="51"/>
      <c r="J75" s="51"/>
      <c r="K75" s="51"/>
      <c r="L75" s="51"/>
      <c r="O75" s="51"/>
      <c r="P75" s="51"/>
      <c r="Q75" s="51"/>
      <c r="R75" s="51"/>
    </row>
    <row r="76" spans="1:18" x14ac:dyDescent="0.25">
      <c r="A76" s="49">
        <v>2015</v>
      </c>
      <c r="B76" s="54" t="s">
        <v>88</v>
      </c>
      <c r="C76" s="48">
        <v>2.4550000000000001</v>
      </c>
      <c r="D76" s="48">
        <v>3.8369999999999997</v>
      </c>
      <c r="E76" s="48">
        <v>3.5800000000000005</v>
      </c>
      <c r="F76" s="48">
        <v>4.3935000000000004</v>
      </c>
      <c r="G76" s="22">
        <f t="shared" ref="G76:G79" si="10">E76-C76</f>
        <v>1.1250000000000004</v>
      </c>
      <c r="H76" s="22">
        <f t="shared" ref="H76:H79" si="11">F76-C76</f>
        <v>1.9385000000000003</v>
      </c>
      <c r="I76" s="51"/>
      <c r="J76" s="48"/>
      <c r="K76" s="48"/>
      <c r="L76" s="48"/>
      <c r="M76" s="48"/>
      <c r="O76" s="51"/>
      <c r="P76" s="51"/>
      <c r="Q76" s="51"/>
      <c r="R76" s="51"/>
    </row>
    <row r="77" spans="1:18" x14ac:dyDescent="0.25">
      <c r="B77" s="54" t="s">
        <v>89</v>
      </c>
      <c r="C77" s="48">
        <v>2.5663157894736841</v>
      </c>
      <c r="D77" s="48">
        <v>3.931052631578948</v>
      </c>
      <c r="E77" s="48">
        <v>3.6721052631578943</v>
      </c>
      <c r="F77" s="48">
        <v>4.438421052631579</v>
      </c>
      <c r="G77" s="22">
        <f t="shared" si="10"/>
        <v>1.1057894736842102</v>
      </c>
      <c r="H77" s="22">
        <f t="shared" si="11"/>
        <v>1.8721052631578949</v>
      </c>
      <c r="I77" s="51"/>
      <c r="J77" s="48"/>
      <c r="K77" s="48"/>
      <c r="L77" s="48"/>
      <c r="M77" s="48"/>
      <c r="O77" s="51"/>
      <c r="P77" s="51"/>
      <c r="Q77" s="51"/>
      <c r="R77" s="51"/>
    </row>
    <row r="78" spans="1:18" x14ac:dyDescent="0.25">
      <c r="B78" s="54" t="s">
        <v>90</v>
      </c>
      <c r="C78" s="48">
        <v>2.626363636363636</v>
      </c>
      <c r="D78" s="48">
        <v>3.975454545454546</v>
      </c>
      <c r="E78" s="48">
        <v>3.7445454545454542</v>
      </c>
      <c r="F78" s="48">
        <v>4.5109090909090916</v>
      </c>
      <c r="G78" s="22">
        <f t="shared" si="10"/>
        <v>1.1181818181818182</v>
      </c>
      <c r="H78" s="22">
        <f t="shared" si="11"/>
        <v>1.8845454545454556</v>
      </c>
      <c r="I78" s="51"/>
      <c r="J78" s="48"/>
      <c r="K78" s="48"/>
      <c r="L78" s="48"/>
      <c r="M78" s="48"/>
      <c r="O78" s="51"/>
      <c r="P78" s="51"/>
      <c r="Q78" s="51"/>
      <c r="R78" s="51"/>
    </row>
    <row r="79" spans="1:18" x14ac:dyDescent="0.25">
      <c r="B79" s="54" t="s">
        <v>91</v>
      </c>
      <c r="C79" s="48">
        <v>2.5859090909090905</v>
      </c>
      <c r="D79" s="48">
        <v>3.9254545454545453</v>
      </c>
      <c r="E79" s="48">
        <v>3.7504545454545455</v>
      </c>
      <c r="F79" s="48">
        <v>4.5104545454545457</v>
      </c>
      <c r="G79" s="22">
        <f t="shared" si="10"/>
        <v>1.164545454545455</v>
      </c>
      <c r="H79" s="22">
        <f t="shared" si="11"/>
        <v>1.9245454545454552</v>
      </c>
      <c r="I79" s="51"/>
      <c r="J79" s="48"/>
      <c r="K79" s="48"/>
      <c r="L79" s="48"/>
      <c r="M79" s="48"/>
      <c r="O79" s="51"/>
      <c r="P79" s="51"/>
      <c r="Q79" s="51"/>
      <c r="R79" s="51"/>
    </row>
    <row r="80" spans="1:18" x14ac:dyDescent="0.25">
      <c r="B80" s="54" t="s">
        <v>92</v>
      </c>
      <c r="C80" s="48">
        <v>2.9550000000000005</v>
      </c>
      <c r="D80" s="48">
        <v>4.3455000000000004</v>
      </c>
      <c r="E80" s="48">
        <v>4.1715</v>
      </c>
      <c r="F80" s="48">
        <v>4.9069999999999991</v>
      </c>
      <c r="G80" s="22">
        <f t="shared" ref="G80:G82" si="12">E80-C80</f>
        <v>1.2164999999999995</v>
      </c>
      <c r="H80" s="22">
        <f t="shared" ref="H80:H82" si="13">F80-C80</f>
        <v>1.9519999999999986</v>
      </c>
      <c r="I80" s="51"/>
      <c r="J80" s="48"/>
      <c r="K80" s="48"/>
      <c r="L80" s="48"/>
      <c r="M80" s="48"/>
      <c r="O80" s="51"/>
      <c r="P80" s="51"/>
      <c r="Q80" s="51"/>
      <c r="R80" s="51"/>
    </row>
    <row r="81" spans="1:18" x14ac:dyDescent="0.25">
      <c r="B81" s="54" t="s">
        <v>93</v>
      </c>
      <c r="C81" s="48">
        <v>3.1118181818181814</v>
      </c>
      <c r="D81" s="48">
        <v>4.5618181818181816</v>
      </c>
      <c r="E81" s="48">
        <v>4.3890909090909087</v>
      </c>
      <c r="F81" s="48">
        <v>5.125454545454545</v>
      </c>
      <c r="G81" s="22">
        <f t="shared" si="12"/>
        <v>1.2772727272727273</v>
      </c>
      <c r="H81" s="22">
        <f t="shared" si="13"/>
        <v>2.0136363636363637</v>
      </c>
      <c r="I81" s="51"/>
      <c r="J81" s="48"/>
      <c r="K81" s="48"/>
      <c r="L81" s="48"/>
      <c r="M81" s="48"/>
      <c r="O81" s="51"/>
      <c r="P81" s="51"/>
      <c r="Q81" s="51"/>
      <c r="R81" s="51"/>
    </row>
    <row r="82" spans="1:18" x14ac:dyDescent="0.25">
      <c r="B82" s="54" t="s">
        <v>94</v>
      </c>
      <c r="C82" s="48">
        <v>3.0663636363636368</v>
      </c>
      <c r="D82" s="48">
        <v>4.5736363636363633</v>
      </c>
      <c r="E82" s="48">
        <v>4.3977272727272743</v>
      </c>
      <c r="F82" s="48">
        <v>5.2218181818181817</v>
      </c>
      <c r="G82" s="22">
        <f t="shared" si="12"/>
        <v>1.3313636363636374</v>
      </c>
      <c r="H82" s="22">
        <f t="shared" si="13"/>
        <v>2.1554545454545448</v>
      </c>
      <c r="I82" s="51"/>
      <c r="J82" s="48"/>
      <c r="K82" s="48"/>
      <c r="L82" s="48"/>
      <c r="M82" s="48"/>
      <c r="O82" s="51"/>
      <c r="P82" s="51"/>
      <c r="Q82" s="51"/>
      <c r="R82" s="51"/>
    </row>
    <row r="83" spans="1:18" x14ac:dyDescent="0.25">
      <c r="B83" s="54" t="s">
        <v>95</v>
      </c>
      <c r="C83" s="48">
        <v>2.855714285714285</v>
      </c>
      <c r="D83" s="48">
        <v>4.4819047619047625</v>
      </c>
      <c r="E83" s="48">
        <v>4.2476190476190476</v>
      </c>
      <c r="F83" s="48">
        <v>5.2257142857142851</v>
      </c>
      <c r="G83" s="22">
        <f t="shared" ref="G83:G85" si="14">E83-C83</f>
        <v>1.3919047619047626</v>
      </c>
      <c r="H83" s="22">
        <f t="shared" ref="H83:H85" si="15">F83-C83</f>
        <v>2.37</v>
      </c>
      <c r="I83" s="51"/>
      <c r="J83" s="48"/>
      <c r="K83" s="48"/>
      <c r="L83" s="48"/>
      <c r="M83" s="48"/>
      <c r="O83" s="51"/>
      <c r="P83" s="51"/>
      <c r="Q83" s="51"/>
      <c r="R83" s="51"/>
    </row>
    <row r="84" spans="1:18" x14ac:dyDescent="0.25">
      <c r="B84" s="54" t="s">
        <v>96</v>
      </c>
      <c r="C84" s="48">
        <v>2.9528571428571433</v>
      </c>
      <c r="D84" s="48">
        <v>4.5895238095238096</v>
      </c>
      <c r="E84" s="48">
        <v>4.3866666666666667</v>
      </c>
      <c r="F84" s="48">
        <v>5.4214285714285717</v>
      </c>
      <c r="G84" s="22">
        <f t="shared" si="14"/>
        <v>1.4338095238095234</v>
      </c>
      <c r="H84" s="22">
        <f t="shared" si="15"/>
        <v>2.4685714285714284</v>
      </c>
      <c r="I84" s="51"/>
      <c r="J84" s="48"/>
      <c r="K84" s="48"/>
      <c r="L84" s="48"/>
      <c r="M84" s="48"/>
      <c r="O84" s="51"/>
      <c r="P84" s="51"/>
      <c r="Q84" s="51"/>
      <c r="R84" s="51"/>
    </row>
    <row r="85" spans="1:18" x14ac:dyDescent="0.25">
      <c r="B85" s="54" t="s">
        <v>97</v>
      </c>
      <c r="C85" s="48">
        <v>2.8880952380952385</v>
      </c>
      <c r="D85" s="48">
        <v>4.5190476190476199</v>
      </c>
      <c r="E85" s="48">
        <v>4.2919047619047621</v>
      </c>
      <c r="F85" s="48">
        <v>5.4661904761904756</v>
      </c>
      <c r="G85" s="22">
        <f t="shared" si="14"/>
        <v>1.4038095238095236</v>
      </c>
      <c r="H85" s="22">
        <f t="shared" si="15"/>
        <v>2.5780952380952371</v>
      </c>
      <c r="I85" s="51"/>
      <c r="J85" s="48"/>
      <c r="K85" s="48"/>
      <c r="L85" s="48"/>
      <c r="M85" s="48"/>
      <c r="O85" s="51"/>
      <c r="P85" s="51"/>
      <c r="Q85" s="51"/>
      <c r="R85" s="51"/>
    </row>
    <row r="86" spans="1:18" x14ac:dyDescent="0.25">
      <c r="B86" s="54" t="s">
        <v>98</v>
      </c>
      <c r="C86" s="48">
        <v>3.03</v>
      </c>
      <c r="D86" s="48">
        <v>4.6236842105263154</v>
      </c>
      <c r="E86" s="48">
        <v>4.4031578947368422</v>
      </c>
      <c r="F86" s="48">
        <v>5.5694736842105268</v>
      </c>
      <c r="G86" s="22">
        <f t="shared" ref="G86" si="16">E86-C86</f>
        <v>1.3731578947368424</v>
      </c>
      <c r="H86" s="22">
        <f t="shared" ref="H86" si="17">F86-C86</f>
        <v>2.539473684210527</v>
      </c>
      <c r="I86" s="51"/>
      <c r="J86" s="51"/>
      <c r="K86" s="51"/>
      <c r="L86" s="51"/>
      <c r="O86" s="51"/>
      <c r="P86" s="51"/>
      <c r="Q86" s="51"/>
      <c r="R86" s="51"/>
    </row>
    <row r="87" spans="1:18" x14ac:dyDescent="0.25">
      <c r="A87" s="49"/>
      <c r="B87" s="54" t="s">
        <v>99</v>
      </c>
      <c r="C87" s="48">
        <v>2.9699999999999993</v>
      </c>
      <c r="D87" s="48">
        <v>4.5822727272727271</v>
      </c>
      <c r="E87" s="48">
        <v>4.3536363636363644</v>
      </c>
      <c r="F87" s="48">
        <v>5.5500000000000007</v>
      </c>
      <c r="G87" s="22">
        <f>AVERAGE(G76:G85)</f>
        <v>1.2568176919571656</v>
      </c>
      <c r="H87" s="22">
        <f>AVERAGE(H76:H85)</f>
        <v>2.1157453748006381</v>
      </c>
      <c r="I87" s="51"/>
      <c r="J87" s="51"/>
      <c r="K87" s="51"/>
      <c r="L87" s="51"/>
      <c r="O87" s="51"/>
      <c r="P87" s="51"/>
      <c r="Q87" s="51"/>
      <c r="R87" s="51"/>
    </row>
    <row r="88" spans="1:18" x14ac:dyDescent="0.25">
      <c r="A88" s="49"/>
      <c r="B88" s="54"/>
      <c r="C88" s="48"/>
      <c r="D88" s="48"/>
      <c r="E88" s="48"/>
      <c r="F88" s="48"/>
      <c r="G88" s="22"/>
      <c r="H88" s="22"/>
      <c r="I88" s="51"/>
      <c r="J88" s="51"/>
      <c r="K88" s="51"/>
      <c r="L88" s="51"/>
      <c r="O88" s="51"/>
      <c r="P88" s="51"/>
      <c r="Q88" s="51"/>
      <c r="R88" s="51"/>
    </row>
    <row r="89" spans="1:18" x14ac:dyDescent="0.25">
      <c r="A89" s="49">
        <v>2016</v>
      </c>
      <c r="B89" s="54" t="s">
        <v>88</v>
      </c>
      <c r="C89" s="48">
        <v>2.8633428571428574</v>
      </c>
      <c r="D89" s="48">
        <v>4.5584210526315783</v>
      </c>
      <c r="E89" s="48">
        <v>4.2689473684210517</v>
      </c>
      <c r="F89" s="48">
        <v>5.4889473684210541</v>
      </c>
      <c r="G89" s="22">
        <f t="shared" ref="G89:G98" si="18">E89-C89</f>
        <v>1.4056045112781943</v>
      </c>
      <c r="H89" s="22">
        <f t="shared" ref="H89:H98" si="19">F89-C89</f>
        <v>2.6256045112781967</v>
      </c>
      <c r="I89" s="51"/>
      <c r="J89" s="48"/>
      <c r="K89" s="48"/>
      <c r="L89" s="48"/>
      <c r="M89" s="48"/>
      <c r="O89" s="51"/>
      <c r="P89" s="51"/>
      <c r="Q89" s="51"/>
      <c r="R89" s="51"/>
    </row>
    <row r="90" spans="1:18" x14ac:dyDescent="0.25">
      <c r="B90" s="54" t="s">
        <v>89</v>
      </c>
      <c r="C90" s="48">
        <v>2.6239130434782605</v>
      </c>
      <c r="D90" s="48">
        <v>4.4386363636363635</v>
      </c>
      <c r="E90" s="48">
        <v>4.1172727272727263</v>
      </c>
      <c r="F90" s="48">
        <v>5.2813636363636371</v>
      </c>
      <c r="G90" s="22">
        <f t="shared" si="18"/>
        <v>1.4933596837944658</v>
      </c>
      <c r="H90" s="22">
        <f t="shared" si="19"/>
        <v>2.6574505928853767</v>
      </c>
      <c r="I90" s="51"/>
      <c r="J90" s="48"/>
      <c r="K90" s="48"/>
      <c r="L90" s="48"/>
      <c r="M90" s="48"/>
      <c r="O90" s="51"/>
      <c r="P90" s="51"/>
      <c r="Q90" s="51"/>
      <c r="R90" s="51"/>
    </row>
    <row r="91" spans="1:18" x14ac:dyDescent="0.25">
      <c r="B91" s="54" t="s">
        <v>90</v>
      </c>
      <c r="C91" s="48">
        <v>2.6819086956521745</v>
      </c>
      <c r="D91" s="48">
        <v>4.3313636363636352</v>
      </c>
      <c r="E91" s="48">
        <v>4.1577272727272723</v>
      </c>
      <c r="F91" s="48">
        <v>5.1231818181818181</v>
      </c>
      <c r="G91" s="22">
        <f t="shared" si="18"/>
        <v>1.4758185770750978</v>
      </c>
      <c r="H91" s="22">
        <f t="shared" si="19"/>
        <v>2.4412731225296436</v>
      </c>
      <c r="I91" s="51"/>
      <c r="J91" s="48"/>
      <c r="K91" s="48"/>
      <c r="L91" s="48"/>
      <c r="M91" s="48"/>
      <c r="O91" s="51"/>
      <c r="P91" s="51"/>
      <c r="Q91" s="51"/>
      <c r="R91" s="51"/>
    </row>
    <row r="92" spans="1:18" x14ac:dyDescent="0.25">
      <c r="B92" s="54" t="s">
        <v>91</v>
      </c>
      <c r="C92" s="48">
        <v>2.6219238095238091</v>
      </c>
      <c r="D92" s="48">
        <v>4.0909523809523805</v>
      </c>
      <c r="E92" s="48">
        <v>3.9980952380952379</v>
      </c>
      <c r="F92" s="48">
        <v>4.7452380952380953</v>
      </c>
      <c r="G92" s="22">
        <f t="shared" si="18"/>
        <v>1.3761714285714288</v>
      </c>
      <c r="H92" s="22">
        <f t="shared" si="19"/>
        <v>2.1233142857142862</v>
      </c>
      <c r="I92" s="51"/>
      <c r="J92" s="48"/>
      <c r="K92" s="48"/>
      <c r="L92" s="48"/>
      <c r="M92" s="48"/>
      <c r="O92" s="51"/>
      <c r="P92" s="51"/>
      <c r="Q92" s="51"/>
      <c r="R92" s="51"/>
    </row>
    <row r="93" spans="1:18" x14ac:dyDescent="0.25">
      <c r="B93" s="54" t="s">
        <v>92</v>
      </c>
      <c r="C93" s="48">
        <v>2.6286409090909091</v>
      </c>
      <c r="D93" s="48">
        <v>4.0438095238095242</v>
      </c>
      <c r="E93" s="48">
        <v>3.9257142857142857</v>
      </c>
      <c r="F93" s="48">
        <v>4.5966666666666658</v>
      </c>
      <c r="G93" s="22">
        <f t="shared" si="18"/>
        <v>1.2970733766233766</v>
      </c>
      <c r="H93" s="22">
        <f t="shared" si="19"/>
        <v>1.9680257575757567</v>
      </c>
      <c r="I93" s="51"/>
      <c r="J93" s="48"/>
      <c r="K93" s="48"/>
      <c r="L93" s="48"/>
      <c r="M93" s="48"/>
      <c r="O93" s="51"/>
      <c r="P93" s="51"/>
      <c r="Q93" s="51"/>
      <c r="R93" s="51"/>
    </row>
    <row r="94" spans="1:18" x14ac:dyDescent="0.25">
      <c r="B94" s="54" t="s">
        <v>93</v>
      </c>
      <c r="C94" s="48">
        <v>2.4419173913043477</v>
      </c>
      <c r="D94" s="48">
        <v>3.902173913043478</v>
      </c>
      <c r="E94" s="48">
        <v>3.76913043478261</v>
      </c>
      <c r="F94" s="48">
        <v>4.4556521739130437</v>
      </c>
      <c r="G94" s="22">
        <f t="shared" si="18"/>
        <v>1.3272130434782623</v>
      </c>
      <c r="H94" s="22">
        <f t="shared" si="19"/>
        <v>2.013734782608696</v>
      </c>
      <c r="I94" s="51"/>
      <c r="J94" s="48"/>
      <c r="K94" s="48"/>
      <c r="L94" s="48"/>
      <c r="M94" s="48"/>
      <c r="O94" s="51"/>
      <c r="P94" s="51"/>
      <c r="Q94" s="51"/>
      <c r="R94" s="51"/>
    </row>
    <row r="95" spans="1:18" x14ac:dyDescent="0.25">
      <c r="B95" s="54" t="s">
        <v>94</v>
      </c>
      <c r="C95" s="48">
        <v>2.2217809523809517</v>
      </c>
      <c r="D95" s="48">
        <v>3.6705000000000005</v>
      </c>
      <c r="E95" s="48">
        <v>3.5729999999999995</v>
      </c>
      <c r="F95" s="48">
        <v>4.1589999999999998</v>
      </c>
      <c r="G95" s="22">
        <f t="shared" si="18"/>
        <v>1.3512190476190478</v>
      </c>
      <c r="H95" s="22">
        <f t="shared" si="19"/>
        <v>1.9372190476190481</v>
      </c>
      <c r="I95" s="51"/>
      <c r="J95" s="48"/>
      <c r="K95" s="48"/>
      <c r="L95" s="48"/>
      <c r="M95" s="48"/>
      <c r="O95" s="51"/>
      <c r="P95" s="51"/>
      <c r="Q95" s="51"/>
      <c r="R95" s="51"/>
    </row>
    <row r="96" spans="1:18" x14ac:dyDescent="0.25">
      <c r="B96" s="54" t="s">
        <v>95</v>
      </c>
      <c r="C96" s="48">
        <v>2.2637826086956521</v>
      </c>
      <c r="D96" s="48">
        <v>3.6969565217391311</v>
      </c>
      <c r="E96" s="48">
        <v>3.5852173913043477</v>
      </c>
      <c r="F96" s="48">
        <v>4.2030434782608692</v>
      </c>
      <c r="G96" s="22">
        <f t="shared" si="18"/>
        <v>1.3214347826086956</v>
      </c>
      <c r="H96" s="22">
        <f t="shared" si="19"/>
        <v>1.9392608695652171</v>
      </c>
      <c r="I96" s="51"/>
      <c r="J96" s="48"/>
      <c r="K96" s="48"/>
      <c r="L96" s="48"/>
      <c r="M96" s="48"/>
      <c r="O96" s="51"/>
      <c r="P96" s="51"/>
      <c r="Q96" s="51"/>
      <c r="R96" s="51"/>
    </row>
    <row r="97" spans="1:18" x14ac:dyDescent="0.25">
      <c r="B97" s="54" t="s">
        <v>96</v>
      </c>
      <c r="C97" s="48">
        <v>2.344527272727273</v>
      </c>
      <c r="D97" s="48">
        <v>3.7752380952380955</v>
      </c>
      <c r="E97" s="48">
        <v>3.6590476190476187</v>
      </c>
      <c r="F97" s="48">
        <v>4.2695238095238102</v>
      </c>
      <c r="G97" s="22">
        <f t="shared" si="18"/>
        <v>1.3145203463203456</v>
      </c>
      <c r="H97" s="22">
        <f t="shared" si="19"/>
        <v>1.9249965367965371</v>
      </c>
      <c r="I97" s="51"/>
      <c r="J97" s="48"/>
      <c r="K97" s="48"/>
      <c r="L97" s="48"/>
      <c r="M97" s="48"/>
      <c r="O97" s="51"/>
      <c r="P97" s="51"/>
      <c r="Q97" s="51"/>
      <c r="R97" s="51"/>
    </row>
    <row r="98" spans="1:18" x14ac:dyDescent="0.25">
      <c r="B98" s="54" t="s">
        <v>97</v>
      </c>
      <c r="C98" s="48">
        <v>2.4977190476190478</v>
      </c>
      <c r="D98" s="48">
        <v>3.8704999999999998</v>
      </c>
      <c r="E98" s="48">
        <v>3.7734999999999999</v>
      </c>
      <c r="F98" s="48">
        <v>4.3435000000000006</v>
      </c>
      <c r="G98" s="22">
        <f t="shared" si="18"/>
        <v>1.275780952380952</v>
      </c>
      <c r="H98" s="22">
        <f t="shared" si="19"/>
        <v>1.8457809523809527</v>
      </c>
      <c r="I98" s="51"/>
      <c r="J98" s="48"/>
      <c r="K98" s="48"/>
      <c r="L98" s="48"/>
      <c r="M98" s="48"/>
      <c r="O98" s="51"/>
      <c r="P98" s="51"/>
      <c r="Q98" s="51"/>
      <c r="R98" s="51"/>
    </row>
    <row r="99" spans="1:18" x14ac:dyDescent="0.25">
      <c r="B99" s="54" t="s">
        <v>98</v>
      </c>
      <c r="C99" s="48">
        <v>2.8822304347826089</v>
      </c>
      <c r="D99" s="48">
        <v>4.2024999999999997</v>
      </c>
      <c r="E99" s="48">
        <v>4.0871428571428572</v>
      </c>
      <c r="F99" s="48">
        <v>4.6464999999999996</v>
      </c>
      <c r="G99" s="22">
        <f t="shared" ref="G99:G100" si="20">E99-C99</f>
        <v>1.2049124223602483</v>
      </c>
      <c r="H99" s="22">
        <f t="shared" ref="H99:H100" si="21">F99-C99</f>
        <v>1.7642695652173908</v>
      </c>
      <c r="I99" s="51"/>
      <c r="J99" s="48"/>
      <c r="K99" s="48"/>
      <c r="L99" s="48"/>
      <c r="M99" s="48"/>
      <c r="O99" s="51"/>
      <c r="P99" s="51"/>
      <c r="Q99" s="51"/>
      <c r="R99" s="51"/>
    </row>
    <row r="100" spans="1:18" x14ac:dyDescent="0.25">
      <c r="B100" s="54" t="s">
        <v>99</v>
      </c>
      <c r="C100" s="48">
        <v>3.1130636363636359</v>
      </c>
      <c r="D100" s="48">
        <v>4.3642857142857148</v>
      </c>
      <c r="E100" s="48">
        <v>4.2728571428571422</v>
      </c>
      <c r="F100" s="48">
        <v>4.7938095238095242</v>
      </c>
      <c r="G100" s="22">
        <f t="shared" si="20"/>
        <v>1.1597935064935063</v>
      </c>
      <c r="H100" s="22">
        <f t="shared" si="21"/>
        <v>1.6807458874458883</v>
      </c>
      <c r="I100" s="51"/>
      <c r="J100" s="48"/>
      <c r="K100" s="48"/>
      <c r="L100" s="48"/>
      <c r="M100" s="48"/>
      <c r="O100" s="51"/>
      <c r="P100" s="51"/>
      <c r="Q100" s="51"/>
      <c r="R100" s="51"/>
    </row>
    <row r="101" spans="1:18" x14ac:dyDescent="0.25">
      <c r="B101" s="49"/>
      <c r="C101" s="48"/>
      <c r="D101" s="48"/>
      <c r="E101" s="48"/>
      <c r="F101" s="48"/>
      <c r="G101" s="50"/>
      <c r="H101" s="22"/>
      <c r="I101" s="51"/>
      <c r="J101" s="51"/>
      <c r="K101" s="51"/>
      <c r="L101" s="51"/>
      <c r="O101" s="51"/>
      <c r="P101" s="51"/>
      <c r="Q101" s="51"/>
      <c r="R101" s="51"/>
    </row>
    <row r="102" spans="1:18" x14ac:dyDescent="0.25">
      <c r="A102" s="49">
        <v>2017</v>
      </c>
      <c r="B102" s="54" t="s">
        <v>88</v>
      </c>
      <c r="C102" s="48">
        <v>3.0171818181818177</v>
      </c>
      <c r="D102" s="48">
        <v>4.2219999999999995</v>
      </c>
      <c r="E102" s="48">
        <v>4.1399999999999988</v>
      </c>
      <c r="F102" s="48">
        <v>4.6190000000000007</v>
      </c>
      <c r="G102" s="22">
        <f t="shared" ref="G102" si="22">E102-C102</f>
        <v>1.122818181818181</v>
      </c>
      <c r="H102" s="22">
        <f t="shared" ref="H102" si="23">F102-C102</f>
        <v>1.6018181818181829</v>
      </c>
      <c r="I102" s="51"/>
      <c r="J102" s="51"/>
      <c r="K102" s="51"/>
      <c r="L102" s="51"/>
      <c r="O102" s="51"/>
      <c r="P102" s="51"/>
      <c r="Q102" s="51"/>
      <c r="R102" s="51"/>
    </row>
    <row r="103" spans="1:18" x14ac:dyDescent="0.25">
      <c r="A103" s="49"/>
      <c r="B103" s="54" t="s">
        <v>89</v>
      </c>
      <c r="C103" s="48">
        <v>3.0330478260869564</v>
      </c>
      <c r="D103" s="48">
        <v>4.2359090909090904</v>
      </c>
      <c r="E103" s="48">
        <v>4.1831818181818177</v>
      </c>
      <c r="F103" s="48">
        <v>4.5790909090909082</v>
      </c>
      <c r="G103" s="22">
        <f t="shared" ref="G103:G104" si="24">E103-C103</f>
        <v>1.1501339920948612</v>
      </c>
      <c r="H103" s="22">
        <f t="shared" ref="H103:H105" si="25">F103-C103</f>
        <v>1.5460430830039518</v>
      </c>
      <c r="I103" s="51"/>
      <c r="J103" s="51"/>
      <c r="K103" s="51"/>
      <c r="L103" s="51"/>
      <c r="O103" s="51"/>
      <c r="P103" s="51"/>
      <c r="Q103" s="51"/>
      <c r="R103" s="51"/>
    </row>
    <row r="104" spans="1:18" x14ac:dyDescent="0.25">
      <c r="A104" s="49"/>
      <c r="B104" s="54" t="s">
        <v>90</v>
      </c>
      <c r="C104" s="48">
        <v>3.0825000000000005</v>
      </c>
      <c r="D104" s="48">
        <v>4.2830434782608693</v>
      </c>
      <c r="E104" s="48">
        <v>4.2282608695652177</v>
      </c>
      <c r="F104" s="48">
        <v>4.6160869565217393</v>
      </c>
      <c r="G104" s="22">
        <f t="shared" si="24"/>
        <v>1.1457608695652173</v>
      </c>
      <c r="H104" s="22">
        <f t="shared" si="25"/>
        <v>1.5335869565217388</v>
      </c>
      <c r="I104" s="51"/>
      <c r="J104" s="51"/>
      <c r="K104" s="51"/>
      <c r="L104" s="51"/>
      <c r="O104" s="51"/>
      <c r="P104" s="51"/>
      <c r="Q104" s="51"/>
      <c r="R104" s="51"/>
    </row>
    <row r="105" spans="1:18" x14ac:dyDescent="0.25">
      <c r="A105" s="49"/>
      <c r="B105" s="54" t="s">
        <v>91</v>
      </c>
      <c r="C105" s="48">
        <v>2.9358049999999993</v>
      </c>
      <c r="D105" s="48">
        <v>4.1605263157894745</v>
      </c>
      <c r="E105" s="48">
        <v>4.1184210526315796</v>
      </c>
      <c r="F105" s="48">
        <v>4.5121052631578946</v>
      </c>
      <c r="G105" s="22">
        <f>E105-C105</f>
        <v>1.1826160526315803</v>
      </c>
      <c r="H105" s="22">
        <f t="shared" si="25"/>
        <v>1.5763002631578953</v>
      </c>
      <c r="I105" s="51"/>
      <c r="J105" s="51"/>
      <c r="K105" s="51"/>
      <c r="L105" s="51"/>
      <c r="O105" s="51"/>
      <c r="P105" s="51"/>
      <c r="Q105" s="51"/>
      <c r="R105" s="51"/>
    </row>
    <row r="106" spans="1:18" x14ac:dyDescent="0.25">
      <c r="A106" s="49"/>
      <c r="B106" s="54" t="s">
        <v>92</v>
      </c>
      <c r="C106" s="48">
        <v>2.9566652173913042</v>
      </c>
      <c r="D106" s="48">
        <v>4.1536363636363625</v>
      </c>
      <c r="E106" s="48">
        <v>4.1227272727272739</v>
      </c>
      <c r="F106" s="48">
        <v>4.4972727272727271</v>
      </c>
      <c r="G106" s="22">
        <f>E106-C106</f>
        <v>1.1660620553359697</v>
      </c>
      <c r="H106" s="22">
        <f>F106-C106</f>
        <v>1.5406075098814229</v>
      </c>
      <c r="I106" s="51"/>
      <c r="J106" s="51"/>
      <c r="K106" s="51"/>
      <c r="L106" s="51"/>
      <c r="O106" s="51"/>
      <c r="P106" s="51"/>
      <c r="Q106" s="51"/>
      <c r="R106" s="51"/>
    </row>
    <row r="107" spans="1:18" x14ac:dyDescent="0.25">
      <c r="A107" s="49"/>
      <c r="B107" s="54"/>
      <c r="C107" s="48"/>
      <c r="D107" s="48"/>
      <c r="E107" s="48"/>
      <c r="F107" s="48"/>
      <c r="G107" s="22"/>
      <c r="H107" s="22"/>
      <c r="I107" s="51"/>
      <c r="J107" s="51"/>
      <c r="K107" s="51"/>
      <c r="L107" s="51"/>
      <c r="O107" s="51"/>
      <c r="P107" s="51"/>
      <c r="Q107" s="51"/>
      <c r="R107" s="51"/>
    </row>
    <row r="108" spans="1:18" x14ac:dyDescent="0.25">
      <c r="A108" s="49" t="s">
        <v>1118</v>
      </c>
      <c r="B108" s="54" t="s">
        <v>100</v>
      </c>
      <c r="C108" s="148">
        <f t="shared" ref="C108:G108" si="26">AVERAGE(C$94:C$105)</f>
        <v>2.7121414534674808</v>
      </c>
      <c r="D108" s="148">
        <f t="shared" si="26"/>
        <v>4.0348757390241685</v>
      </c>
      <c r="E108" s="148">
        <f t="shared" si="26"/>
        <v>3.9445235623193806</v>
      </c>
      <c r="F108" s="148">
        <f t="shared" si="26"/>
        <v>4.4724829194797993</v>
      </c>
      <c r="G108" s="148">
        <f t="shared" si="26"/>
        <v>1.2323821088518998</v>
      </c>
      <c r="H108" s="148">
        <f>AVERAGE(H$94:H$105)</f>
        <v>1.760341466012318</v>
      </c>
      <c r="I108" s="51"/>
      <c r="J108" s="51"/>
      <c r="K108" s="51"/>
      <c r="L108" s="51"/>
      <c r="O108" s="51"/>
      <c r="P108" s="51"/>
      <c r="Q108" s="51"/>
      <c r="R108" s="51"/>
    </row>
    <row r="109" spans="1:18" x14ac:dyDescent="0.25">
      <c r="A109" s="49"/>
      <c r="B109" s="54"/>
      <c r="C109" s="48"/>
      <c r="D109" s="48"/>
      <c r="E109" s="48"/>
      <c r="F109" s="48"/>
      <c r="G109" s="22"/>
      <c r="H109" s="22"/>
      <c r="I109" s="51"/>
      <c r="J109" s="51"/>
      <c r="K109" s="51"/>
      <c r="L109" s="51"/>
      <c r="O109" s="51"/>
      <c r="P109" s="51"/>
      <c r="Q109" s="51"/>
      <c r="R109" s="51"/>
    </row>
    <row r="110" spans="1:18" x14ac:dyDescent="0.25">
      <c r="B110" s="49"/>
      <c r="C110" s="48"/>
      <c r="D110" s="48"/>
      <c r="E110" s="48"/>
      <c r="F110" s="48"/>
      <c r="G110" s="50"/>
      <c r="H110" s="22"/>
      <c r="I110" s="51"/>
      <c r="J110" s="51"/>
      <c r="K110" s="51"/>
      <c r="L110" s="51"/>
      <c r="O110" s="51"/>
      <c r="P110" s="51"/>
      <c r="Q110" s="51"/>
      <c r="R110" s="51"/>
    </row>
    <row r="111" spans="1:18" x14ac:dyDescent="0.25">
      <c r="A111" s="53" t="s">
        <v>101</v>
      </c>
      <c r="B111" s="53"/>
      <c r="C111" s="53"/>
      <c r="O111" s="51"/>
      <c r="P111" s="51"/>
      <c r="Q111" s="51"/>
      <c r="R111" s="51"/>
    </row>
    <row r="112" spans="1:18" x14ac:dyDescent="0.25">
      <c r="A112" s="52" t="s">
        <v>161</v>
      </c>
      <c r="O112" s="51"/>
      <c r="P112" s="51"/>
      <c r="Q112" s="51"/>
      <c r="R112" s="51"/>
    </row>
    <row r="113" spans="1:18" x14ac:dyDescent="0.25">
      <c r="A113" s="52" t="s">
        <v>162</v>
      </c>
      <c r="O113" s="51"/>
      <c r="P113" s="51"/>
      <c r="Q113" s="51"/>
      <c r="R113" s="51"/>
    </row>
    <row r="114" spans="1:18" x14ac:dyDescent="0.25">
      <c r="A114" s="52" t="s">
        <v>163</v>
      </c>
      <c r="O114" s="51"/>
      <c r="P114" s="51"/>
      <c r="Q114" s="51"/>
      <c r="R114" s="51"/>
    </row>
    <row r="115" spans="1:18" x14ac:dyDescent="0.25">
      <c r="A115" s="52" t="s">
        <v>164</v>
      </c>
      <c r="O115" s="51"/>
      <c r="P115" s="51"/>
      <c r="Q115" s="51"/>
      <c r="R115" s="51"/>
    </row>
    <row r="116" spans="1:18" x14ac:dyDescent="0.25">
      <c r="A116" s="52" t="s">
        <v>125</v>
      </c>
      <c r="O116" s="51"/>
      <c r="P116" s="51"/>
      <c r="Q116" s="51"/>
      <c r="R116" s="51"/>
    </row>
    <row r="117" spans="1:18" x14ac:dyDescent="0.25">
      <c r="A117" s="52" t="s">
        <v>126</v>
      </c>
      <c r="O117" s="51"/>
      <c r="P117" s="51"/>
      <c r="Q117" s="51"/>
      <c r="R117" s="51"/>
    </row>
    <row r="118" spans="1:18" x14ac:dyDescent="0.25">
      <c r="O118" s="51"/>
      <c r="P118" s="51"/>
      <c r="Q118" s="51"/>
      <c r="R118" s="51"/>
    </row>
    <row r="119" spans="1:18" x14ac:dyDescent="0.25">
      <c r="O119" s="51"/>
      <c r="P119" s="51"/>
      <c r="Q119" s="51"/>
      <c r="R119" s="51"/>
    </row>
    <row r="120" spans="1:18" x14ac:dyDescent="0.25">
      <c r="O120" s="51"/>
      <c r="P120" s="51"/>
      <c r="Q120" s="51"/>
      <c r="R120" s="51"/>
    </row>
    <row r="121" spans="1:18" x14ac:dyDescent="0.25">
      <c r="O121" s="51"/>
      <c r="P121" s="51"/>
      <c r="Q121" s="51"/>
      <c r="R121" s="51"/>
    </row>
    <row r="122" spans="1:18" x14ac:dyDescent="0.25">
      <c r="O122" s="51"/>
      <c r="P122" s="51"/>
      <c r="Q122" s="51"/>
      <c r="R122" s="51"/>
    </row>
    <row r="123" spans="1:18" x14ac:dyDescent="0.25">
      <c r="O123" s="51"/>
      <c r="P123" s="51"/>
      <c r="Q123" s="51"/>
      <c r="R123" s="51"/>
    </row>
    <row r="124" spans="1:18" x14ac:dyDescent="0.25">
      <c r="O124" s="51"/>
      <c r="P124" s="51"/>
      <c r="Q124" s="51"/>
      <c r="R124" s="51"/>
    </row>
    <row r="125" spans="1:18" x14ac:dyDescent="0.25">
      <c r="O125" s="51"/>
      <c r="P125" s="51"/>
      <c r="Q125" s="51"/>
      <c r="R125" s="51"/>
    </row>
    <row r="126" spans="1:18" x14ac:dyDescent="0.25">
      <c r="O126" s="51"/>
      <c r="P126" s="51"/>
      <c r="Q126" s="51"/>
      <c r="R126" s="51"/>
    </row>
    <row r="127" spans="1:18" x14ac:dyDescent="0.25">
      <c r="O127" s="51"/>
      <c r="P127" s="51"/>
      <c r="Q127" s="51"/>
      <c r="R127" s="51"/>
    </row>
    <row r="128" spans="1:18" x14ac:dyDescent="0.25">
      <c r="O128" s="51"/>
      <c r="P128" s="51"/>
      <c r="Q128" s="51"/>
      <c r="R128" s="51"/>
    </row>
    <row r="129" spans="15:18" x14ac:dyDescent="0.25">
      <c r="O129" s="51"/>
      <c r="P129" s="51"/>
      <c r="Q129" s="51"/>
      <c r="R129" s="51"/>
    </row>
    <row r="130" spans="15:18" x14ac:dyDescent="0.25">
      <c r="O130" s="51"/>
      <c r="P130" s="51"/>
      <c r="Q130" s="51"/>
      <c r="R130" s="51"/>
    </row>
    <row r="131" spans="15:18" x14ac:dyDescent="0.25">
      <c r="O131" s="51"/>
      <c r="P131" s="51"/>
      <c r="Q131" s="51"/>
      <c r="R131" s="51"/>
    </row>
    <row r="132" spans="15:18" x14ac:dyDescent="0.25">
      <c r="O132" s="51"/>
      <c r="P132" s="51"/>
      <c r="Q132" s="51"/>
      <c r="R132" s="51"/>
    </row>
    <row r="133" spans="15:18" x14ac:dyDescent="0.25">
      <c r="O133" s="51"/>
      <c r="P133" s="51"/>
      <c r="Q133" s="51"/>
      <c r="R133" s="51"/>
    </row>
    <row r="134" spans="15:18" x14ac:dyDescent="0.25">
      <c r="O134" s="51"/>
      <c r="P134" s="51"/>
      <c r="Q134" s="51"/>
      <c r="R134" s="51"/>
    </row>
    <row r="135" spans="15:18" x14ac:dyDescent="0.25">
      <c r="O135" s="51"/>
      <c r="P135" s="51"/>
      <c r="Q135" s="51"/>
      <c r="R135" s="51"/>
    </row>
    <row r="136" spans="15:18" x14ac:dyDescent="0.25">
      <c r="O136" s="51"/>
      <c r="P136" s="51"/>
      <c r="Q136" s="51"/>
      <c r="R136" s="51"/>
    </row>
    <row r="137" spans="15:18" x14ac:dyDescent="0.25">
      <c r="O137" s="51"/>
      <c r="P137" s="51"/>
      <c r="Q137" s="51"/>
      <c r="R137" s="51"/>
    </row>
    <row r="138" spans="15:18" x14ac:dyDescent="0.25">
      <c r="O138" s="51"/>
      <c r="P138" s="51"/>
      <c r="Q138" s="51"/>
      <c r="R138" s="51"/>
    </row>
    <row r="139" spans="15:18" x14ac:dyDescent="0.25">
      <c r="O139" s="51"/>
      <c r="P139" s="51"/>
      <c r="Q139" s="51"/>
      <c r="R139" s="51"/>
    </row>
    <row r="140" spans="15:18" x14ac:dyDescent="0.25">
      <c r="O140" s="51"/>
      <c r="P140" s="51"/>
      <c r="Q140" s="51"/>
      <c r="R140" s="51"/>
    </row>
    <row r="141" spans="15:18" x14ac:dyDescent="0.25">
      <c r="O141" s="51"/>
      <c r="P141" s="51"/>
      <c r="Q141" s="51"/>
      <c r="R141" s="51"/>
    </row>
    <row r="142" spans="15:18" x14ac:dyDescent="0.25">
      <c r="O142" s="51"/>
      <c r="P142" s="51"/>
      <c r="Q142" s="51"/>
      <c r="R142" s="51"/>
    </row>
    <row r="143" spans="15:18" x14ac:dyDescent="0.25">
      <c r="O143" s="51"/>
      <c r="P143" s="51"/>
      <c r="Q143" s="51"/>
      <c r="R143" s="51"/>
    </row>
    <row r="144" spans="15:18" x14ac:dyDescent="0.25">
      <c r="O144" s="51"/>
      <c r="P144" s="51"/>
      <c r="Q144" s="51"/>
      <c r="R144" s="51"/>
    </row>
    <row r="145" spans="15:18" x14ac:dyDescent="0.25">
      <c r="O145" s="51"/>
      <c r="P145" s="51"/>
      <c r="Q145" s="51"/>
      <c r="R145" s="51"/>
    </row>
  </sheetData>
  <printOptions horizontalCentered="1"/>
  <pageMargins left="0.7" right="0.7" top="1.25" bottom="0.75" header="0.3" footer="0.3"/>
  <pageSetup scale="65" firstPageNumber="2" fitToHeight="2" orientation="portrait" useFirstPageNumber="1" r:id="rId1"/>
  <headerFooter alignWithMargins="0">
    <oddHeader>&amp;R&amp;K000000Docket No. UG-17____
Cascade Natural Gas Corp.
Exhibit No.___(JSG-2)
Schedule 1
Page &amp;P of 3</oddHeader>
  </headerFooter>
  <rowBreaks count="1" manualBreakCount="1">
    <brk id="6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49"/>
  <sheetViews>
    <sheetView view="pageBreakPreview" topLeftCell="A10" zoomScale="70" zoomScaleNormal="70" zoomScaleSheetLayoutView="70" workbookViewId="0">
      <selection activeCell="E4" sqref="E4"/>
    </sheetView>
  </sheetViews>
  <sheetFormatPr defaultColWidth="9" defaultRowHeight="15.75" x14ac:dyDescent="0.25"/>
  <cols>
    <col min="1" max="1" width="35.625" style="23" customWidth="1"/>
    <col min="2" max="6" width="12.625" style="23" customWidth="1"/>
    <col min="7" max="9" width="9" style="23"/>
    <col min="10" max="10" width="16.875" style="23" bestFit="1" customWidth="1"/>
    <col min="11" max="16384" width="9" style="23"/>
  </cols>
  <sheetData>
    <row r="1" spans="1:7" ht="20.25" x14ac:dyDescent="0.3">
      <c r="A1" s="24" t="s">
        <v>1105</v>
      </c>
      <c r="B1" s="76"/>
      <c r="C1" s="76"/>
      <c r="D1" s="76"/>
      <c r="E1" s="76"/>
      <c r="F1" s="76"/>
    </row>
    <row r="2" spans="1:7" x14ac:dyDescent="0.25">
      <c r="G2" s="43"/>
    </row>
    <row r="3" spans="1:7" ht="18.75" x14ac:dyDescent="0.3">
      <c r="A3" s="30" t="s">
        <v>130</v>
      </c>
      <c r="B3" s="76"/>
      <c r="C3" s="76"/>
      <c r="D3" s="76"/>
      <c r="E3" s="76"/>
      <c r="F3" s="76"/>
      <c r="G3" s="43"/>
    </row>
    <row r="4" spans="1:7" ht="18.75" x14ac:dyDescent="0.3">
      <c r="A4" s="30" t="s">
        <v>121</v>
      </c>
      <c r="B4" s="76"/>
      <c r="C4" s="76"/>
      <c r="D4" s="76"/>
      <c r="E4" s="76"/>
      <c r="F4" s="76"/>
      <c r="G4" s="77"/>
    </row>
    <row r="5" spans="1:7" ht="18.75" x14ac:dyDescent="0.3">
      <c r="A5" s="34" t="s">
        <v>1375</v>
      </c>
      <c r="B5" s="76"/>
      <c r="C5" s="76"/>
      <c r="D5" s="76"/>
      <c r="E5" s="76"/>
      <c r="F5" s="76"/>
    </row>
    <row r="6" spans="1:7" ht="16.5" thickBot="1" x14ac:dyDescent="0.3"/>
    <row r="7" spans="1:7" ht="63" x14ac:dyDescent="0.25">
      <c r="A7" s="78" t="s">
        <v>55</v>
      </c>
      <c r="B7" s="79" t="s">
        <v>56</v>
      </c>
      <c r="C7" s="79" t="s">
        <v>57</v>
      </c>
      <c r="D7" s="78" t="s">
        <v>58</v>
      </c>
      <c r="E7" s="79" t="s">
        <v>59</v>
      </c>
      <c r="F7" s="79" t="s">
        <v>60</v>
      </c>
    </row>
    <row r="9" spans="1:7" x14ac:dyDescent="0.25">
      <c r="A9" s="29" t="s">
        <v>107</v>
      </c>
      <c r="B9" s="195">
        <v>38006</v>
      </c>
      <c r="C9" s="81">
        <v>4250000</v>
      </c>
      <c r="D9" s="62">
        <v>42.5</v>
      </c>
      <c r="E9" s="62">
        <v>41.01</v>
      </c>
      <c r="F9" s="26">
        <f t="shared" ref="F9:F20" si="0">(D9/E9)-1</f>
        <v>3.6332601804438092E-2</v>
      </c>
    </row>
    <row r="10" spans="1:7" x14ac:dyDescent="0.25">
      <c r="A10" s="29" t="s">
        <v>3</v>
      </c>
      <c r="B10" s="195">
        <v>38021</v>
      </c>
      <c r="C10" s="81">
        <v>2000000</v>
      </c>
      <c r="D10" s="62">
        <v>23.32</v>
      </c>
      <c r="E10" s="62">
        <v>22.527000000000001</v>
      </c>
      <c r="F10" s="26">
        <f t="shared" si="0"/>
        <v>3.520220180228173E-2</v>
      </c>
    </row>
    <row r="11" spans="1:7" x14ac:dyDescent="0.25">
      <c r="A11" s="29" t="s">
        <v>113</v>
      </c>
      <c r="B11" s="195">
        <v>38064</v>
      </c>
      <c r="C11" s="81">
        <v>7500000</v>
      </c>
      <c r="D11" s="62">
        <v>32.1</v>
      </c>
      <c r="E11" s="62">
        <v>30.695600000000002</v>
      </c>
      <c r="F11" s="26">
        <f t="shared" si="0"/>
        <v>4.5752485698275835E-2</v>
      </c>
    </row>
    <row r="12" spans="1:7" x14ac:dyDescent="0.25">
      <c r="A12" s="29" t="s">
        <v>106</v>
      </c>
      <c r="B12" s="195">
        <v>38076</v>
      </c>
      <c r="C12" s="81">
        <v>1200000</v>
      </c>
      <c r="D12" s="62">
        <v>31</v>
      </c>
      <c r="E12" s="62">
        <v>29.99</v>
      </c>
      <c r="F12" s="26">
        <f t="shared" si="0"/>
        <v>3.3677892630876949E-2</v>
      </c>
    </row>
    <row r="13" spans="1:7" x14ac:dyDescent="0.25">
      <c r="A13" s="29" t="s">
        <v>114</v>
      </c>
      <c r="B13" s="195">
        <v>38132</v>
      </c>
      <c r="C13" s="81">
        <v>1500000</v>
      </c>
      <c r="D13" s="62">
        <v>26.8</v>
      </c>
      <c r="E13" s="62">
        <v>25.928999999999998</v>
      </c>
      <c r="F13" s="26">
        <f t="shared" si="0"/>
        <v>3.3591731266150004E-2</v>
      </c>
    </row>
    <row r="14" spans="1:7" x14ac:dyDescent="0.25">
      <c r="A14" s="29" t="s">
        <v>111</v>
      </c>
      <c r="B14" s="195">
        <v>38181</v>
      </c>
      <c r="C14" s="81">
        <v>8650000</v>
      </c>
      <c r="D14" s="62">
        <v>24.75</v>
      </c>
      <c r="E14" s="62">
        <v>23.76</v>
      </c>
      <c r="F14" s="26">
        <f t="shared" si="0"/>
        <v>4.1666666666666519E-2</v>
      </c>
    </row>
    <row r="15" spans="1:7" x14ac:dyDescent="0.25">
      <c r="A15" s="29" t="s">
        <v>110</v>
      </c>
      <c r="B15" s="195">
        <v>38194</v>
      </c>
      <c r="C15" s="81">
        <v>11000000</v>
      </c>
      <c r="D15" s="62">
        <v>18.75</v>
      </c>
      <c r="E15" s="62">
        <v>18.094000000000001</v>
      </c>
      <c r="F15" s="26">
        <f t="shared" si="0"/>
        <v>3.6255112191886818E-2</v>
      </c>
    </row>
    <row r="16" spans="1:7" x14ac:dyDescent="0.25">
      <c r="A16" s="29" t="s">
        <v>116</v>
      </c>
      <c r="B16" s="195">
        <v>38217</v>
      </c>
      <c r="C16" s="81">
        <v>40000000</v>
      </c>
      <c r="D16" s="62">
        <v>2.5499999999999998</v>
      </c>
      <c r="E16" s="62">
        <v>2.4509999999999996</v>
      </c>
      <c r="F16" s="26">
        <f t="shared" si="0"/>
        <v>4.0391676866585069E-2</v>
      </c>
    </row>
    <row r="17" spans="1:6" x14ac:dyDescent="0.25">
      <c r="A17" s="29" t="s">
        <v>111</v>
      </c>
      <c r="B17" s="195">
        <v>38281</v>
      </c>
      <c r="C17" s="81">
        <v>14000000</v>
      </c>
      <c r="D17" s="62">
        <v>24.75</v>
      </c>
      <c r="E17" s="62">
        <v>23.76</v>
      </c>
      <c r="F17" s="26">
        <f t="shared" si="0"/>
        <v>4.1666666666666519E-2</v>
      </c>
    </row>
    <row r="18" spans="1:6" x14ac:dyDescent="0.25">
      <c r="A18" s="29" t="s">
        <v>31</v>
      </c>
      <c r="B18" s="195">
        <v>38310</v>
      </c>
      <c r="C18" s="81">
        <v>9600000</v>
      </c>
      <c r="D18" s="62">
        <v>31.01</v>
      </c>
      <c r="E18" s="62">
        <v>30.08</v>
      </c>
      <c r="F18" s="26">
        <f t="shared" si="0"/>
        <v>3.0917553191489366E-2</v>
      </c>
    </row>
    <row r="19" spans="1:6" x14ac:dyDescent="0.25">
      <c r="A19" s="29" t="s">
        <v>117</v>
      </c>
      <c r="B19" s="195">
        <v>38330</v>
      </c>
      <c r="C19" s="81">
        <v>6100000</v>
      </c>
      <c r="D19" s="62">
        <v>41</v>
      </c>
      <c r="E19" s="62">
        <v>40.51</v>
      </c>
      <c r="F19" s="26">
        <f t="shared" si="0"/>
        <v>1.2095778820044423E-2</v>
      </c>
    </row>
    <row r="20" spans="1:6" x14ac:dyDescent="0.25">
      <c r="A20" s="29" t="s">
        <v>110</v>
      </c>
      <c r="B20" s="195">
        <v>38390</v>
      </c>
      <c r="C20" s="81">
        <v>14910000</v>
      </c>
      <c r="D20" s="62">
        <v>23</v>
      </c>
      <c r="E20" s="62">
        <v>22.3</v>
      </c>
      <c r="F20" s="26">
        <f t="shared" si="0"/>
        <v>3.1390134529147851E-2</v>
      </c>
    </row>
    <row r="21" spans="1:6" x14ac:dyDescent="0.25">
      <c r="A21" s="29" t="s">
        <v>109</v>
      </c>
      <c r="B21" s="195">
        <v>38574</v>
      </c>
      <c r="C21" s="81">
        <v>4300000</v>
      </c>
      <c r="D21" s="62">
        <v>6.32</v>
      </c>
      <c r="E21" s="62">
        <v>6.0672000000000006</v>
      </c>
      <c r="F21" s="26">
        <f t="shared" ref="F21:F42" si="1">(D21/E21)-1</f>
        <v>4.1666666666666519E-2</v>
      </c>
    </row>
    <row r="22" spans="1:6" x14ac:dyDescent="0.25">
      <c r="A22" s="29" t="s">
        <v>115</v>
      </c>
      <c r="B22" s="195">
        <v>39037</v>
      </c>
      <c r="C22" s="81">
        <v>600300</v>
      </c>
      <c r="D22" s="62">
        <v>30.1</v>
      </c>
      <c r="E22" s="62">
        <v>28.975000000000001</v>
      </c>
      <c r="F22" s="26">
        <f t="shared" si="1"/>
        <v>3.8826574633304523E-2</v>
      </c>
    </row>
    <row r="23" spans="1:6" x14ac:dyDescent="0.25">
      <c r="A23" s="29" t="s">
        <v>111</v>
      </c>
      <c r="B23" s="195">
        <v>39058</v>
      </c>
      <c r="C23" s="81">
        <v>5500000</v>
      </c>
      <c r="D23" s="62">
        <v>31.5</v>
      </c>
      <c r="E23" s="62">
        <v>30.397500000000001</v>
      </c>
      <c r="F23" s="26">
        <f t="shared" si="1"/>
        <v>3.6269430051813378E-2</v>
      </c>
    </row>
    <row r="24" spans="1:6" x14ac:dyDescent="0.25">
      <c r="A24" s="29" t="s">
        <v>61</v>
      </c>
      <c r="B24" s="195">
        <v>39135</v>
      </c>
      <c r="C24" s="81">
        <v>4600000</v>
      </c>
      <c r="D24" s="62">
        <v>28.33</v>
      </c>
      <c r="E24" s="62">
        <v>27.3384</v>
      </c>
      <c r="F24" s="26">
        <f t="shared" si="1"/>
        <v>3.6271325315307301E-2</v>
      </c>
    </row>
    <row r="25" spans="1:6" x14ac:dyDescent="0.25">
      <c r="A25" s="29" t="s">
        <v>112</v>
      </c>
      <c r="B25" s="195">
        <v>39792</v>
      </c>
      <c r="C25" s="81">
        <v>2000000</v>
      </c>
      <c r="D25" s="62">
        <v>20</v>
      </c>
      <c r="E25" s="62">
        <v>18.95</v>
      </c>
      <c r="F25" s="26">
        <f t="shared" si="1"/>
        <v>5.5408970976253302E-2</v>
      </c>
    </row>
    <row r="26" spans="1:6" x14ac:dyDescent="0.25">
      <c r="A26" s="29" t="s">
        <v>112</v>
      </c>
      <c r="B26" s="195">
        <v>39953</v>
      </c>
      <c r="C26" s="81">
        <v>2400000</v>
      </c>
      <c r="D26" s="62">
        <v>20</v>
      </c>
      <c r="E26" s="62">
        <v>18.95</v>
      </c>
      <c r="F26" s="26">
        <f t="shared" si="1"/>
        <v>5.5408970976253302E-2</v>
      </c>
    </row>
    <row r="27" spans="1:6" x14ac:dyDescent="0.25">
      <c r="A27" s="29" t="s">
        <v>122</v>
      </c>
      <c r="B27" s="195">
        <v>40066</v>
      </c>
      <c r="C27" s="81">
        <v>21000000</v>
      </c>
      <c r="D27" s="62">
        <v>12</v>
      </c>
      <c r="E27" s="62">
        <v>11.58</v>
      </c>
      <c r="F27" s="26">
        <f t="shared" si="1"/>
        <v>3.6269430051813378E-2</v>
      </c>
    </row>
    <row r="28" spans="1:6" x14ac:dyDescent="0.25">
      <c r="A28" s="29" t="s">
        <v>122</v>
      </c>
      <c r="B28" s="195">
        <v>40338</v>
      </c>
      <c r="C28" s="81">
        <v>22000000</v>
      </c>
      <c r="D28" s="62">
        <v>12.9</v>
      </c>
      <c r="E28" s="62">
        <v>12.448500000000001</v>
      </c>
      <c r="F28" s="26">
        <f t="shared" si="1"/>
        <v>3.6269430051813378E-2</v>
      </c>
    </row>
    <row r="29" spans="1:6" x14ac:dyDescent="0.25">
      <c r="A29" s="29" t="s">
        <v>63</v>
      </c>
      <c r="B29" s="195">
        <v>40429</v>
      </c>
      <c r="C29" s="81">
        <v>21100000</v>
      </c>
      <c r="D29" s="62">
        <v>16.5</v>
      </c>
      <c r="E29" s="62">
        <v>15.963799999999999</v>
      </c>
      <c r="F29" s="26">
        <f t="shared" si="1"/>
        <v>3.3588493967601663E-2</v>
      </c>
    </row>
    <row r="30" spans="1:6" x14ac:dyDescent="0.25">
      <c r="A30" s="29" t="s">
        <v>64</v>
      </c>
      <c r="B30" s="195">
        <v>40492</v>
      </c>
      <c r="C30" s="81">
        <v>2100000</v>
      </c>
      <c r="D30" s="62">
        <v>10</v>
      </c>
      <c r="E30" s="62">
        <v>9.4</v>
      </c>
      <c r="F30" s="26">
        <f t="shared" si="1"/>
        <v>6.3829787234042534E-2</v>
      </c>
    </row>
    <row r="31" spans="1:6" x14ac:dyDescent="0.25">
      <c r="A31" s="29" t="s">
        <v>112</v>
      </c>
      <c r="B31" s="195">
        <v>41039</v>
      </c>
      <c r="C31" s="81">
        <v>2400000</v>
      </c>
      <c r="D31" s="62">
        <v>25.25</v>
      </c>
      <c r="E31" s="62">
        <v>23.987500000000001</v>
      </c>
      <c r="F31" s="26">
        <f t="shared" si="1"/>
        <v>5.2631578947368363E-2</v>
      </c>
    </row>
    <row r="32" spans="1:6" x14ac:dyDescent="0.25">
      <c r="A32" s="29" t="s">
        <v>64</v>
      </c>
      <c r="B32" s="195">
        <v>41087</v>
      </c>
      <c r="C32" s="81">
        <v>700000</v>
      </c>
      <c r="D32" s="62">
        <v>10.1</v>
      </c>
      <c r="E32" s="62">
        <v>9.4939999999999998</v>
      </c>
      <c r="F32" s="26">
        <f t="shared" si="1"/>
        <v>6.3829787234042534E-2</v>
      </c>
    </row>
    <row r="33" spans="1:10" x14ac:dyDescent="0.25">
      <c r="A33" s="29" t="s">
        <v>107</v>
      </c>
      <c r="B33" s="195">
        <v>41303</v>
      </c>
      <c r="C33" s="81">
        <v>4000000</v>
      </c>
      <c r="D33" s="62">
        <v>32</v>
      </c>
      <c r="E33" s="62">
        <v>30.88</v>
      </c>
      <c r="F33" s="26">
        <f t="shared" si="1"/>
        <v>3.62694300518136E-2</v>
      </c>
    </row>
    <row r="34" spans="1:10" x14ac:dyDescent="0.25">
      <c r="A34" s="29" t="s">
        <v>114</v>
      </c>
      <c r="B34" s="195">
        <v>41416</v>
      </c>
      <c r="C34" s="81">
        <v>8700000</v>
      </c>
      <c r="D34" s="62">
        <v>44.5</v>
      </c>
      <c r="E34" s="62">
        <v>42.78</v>
      </c>
      <c r="F34" s="26">
        <f t="shared" si="1"/>
        <v>4.0205703599812903E-2</v>
      </c>
    </row>
    <row r="35" spans="1:10" x14ac:dyDescent="0.25">
      <c r="A35" s="29" t="s">
        <v>64</v>
      </c>
      <c r="B35" s="195">
        <v>41466</v>
      </c>
      <c r="C35" s="81">
        <v>1500000</v>
      </c>
      <c r="D35" s="62">
        <v>10</v>
      </c>
      <c r="E35" s="62">
        <v>9.4250000000000007</v>
      </c>
      <c r="F35" s="26">
        <f t="shared" si="1"/>
        <v>6.100795755968158E-2</v>
      </c>
    </row>
    <row r="36" spans="1:10" x14ac:dyDescent="0.25">
      <c r="A36" s="29" t="s">
        <v>64</v>
      </c>
      <c r="B36" s="195">
        <v>41578</v>
      </c>
      <c r="C36" s="81">
        <v>1134155</v>
      </c>
      <c r="D36" s="62">
        <v>10</v>
      </c>
      <c r="E36" s="62">
        <v>9.4250000000000007</v>
      </c>
      <c r="F36" s="26">
        <f t="shared" si="1"/>
        <v>6.100795755968158E-2</v>
      </c>
    </row>
    <row r="37" spans="1:10" x14ac:dyDescent="0.25">
      <c r="A37" s="29" t="s">
        <v>111</v>
      </c>
      <c r="B37" s="195">
        <v>41681</v>
      </c>
      <c r="C37" s="81">
        <v>8000000</v>
      </c>
      <c r="D37" s="62">
        <v>44</v>
      </c>
      <c r="E37" s="62">
        <v>42.46</v>
      </c>
      <c r="F37" s="26">
        <f t="shared" si="1"/>
        <v>3.6269430051813378E-2</v>
      </c>
    </row>
    <row r="38" spans="1:10" x14ac:dyDescent="0.25">
      <c r="A38" s="29" t="s">
        <v>114</v>
      </c>
      <c r="B38" s="195">
        <v>41795</v>
      </c>
      <c r="C38" s="81">
        <v>9000000</v>
      </c>
      <c r="D38" s="62">
        <v>46.25</v>
      </c>
      <c r="E38" s="62">
        <v>44.53875</v>
      </c>
      <c r="F38" s="26">
        <f t="shared" si="1"/>
        <v>3.8421599169262688E-2</v>
      </c>
    </row>
    <row r="39" spans="1:10" x14ac:dyDescent="0.25">
      <c r="A39" s="29" t="s">
        <v>136</v>
      </c>
      <c r="B39" s="195">
        <v>42502</v>
      </c>
      <c r="C39" s="81">
        <v>7000000</v>
      </c>
      <c r="D39" s="62">
        <v>26.25</v>
      </c>
      <c r="E39" s="62">
        <v>25.331250000000001</v>
      </c>
      <c r="F39" s="26">
        <f t="shared" si="1"/>
        <v>3.6269430051813378E-2</v>
      </c>
    </row>
    <row r="40" spans="1:10" x14ac:dyDescent="0.25">
      <c r="A40" s="29" t="s">
        <v>1251</v>
      </c>
      <c r="B40" s="195">
        <v>42502</v>
      </c>
      <c r="C40" s="81">
        <v>1900000</v>
      </c>
      <c r="D40" s="62">
        <v>63.05</v>
      </c>
      <c r="E40" s="62">
        <v>61</v>
      </c>
      <c r="F40" s="26">
        <f t="shared" si="1"/>
        <v>3.3606557377049207E-2</v>
      </c>
    </row>
    <row r="41" spans="1:10" x14ac:dyDescent="0.25">
      <c r="A41" s="52" t="s">
        <v>115</v>
      </c>
      <c r="B41" s="195">
        <v>42635</v>
      </c>
      <c r="C41" s="81">
        <v>960488</v>
      </c>
      <c r="D41" s="62">
        <v>62.26</v>
      </c>
      <c r="E41" s="62">
        <v>59.93</v>
      </c>
      <c r="F41" s="26">
        <f t="shared" si="1"/>
        <v>3.8878691807108234E-2</v>
      </c>
    </row>
    <row r="42" spans="1:10" x14ac:dyDescent="0.25">
      <c r="A42" s="52" t="s">
        <v>106</v>
      </c>
      <c r="B42" s="195">
        <v>42684</v>
      </c>
      <c r="C42" s="81">
        <v>1012000</v>
      </c>
      <c r="D42" s="62">
        <v>54.63</v>
      </c>
      <c r="E42" s="62">
        <v>52.580000000000005</v>
      </c>
      <c r="F42" s="26">
        <f t="shared" si="1"/>
        <v>3.8988208444275418E-2</v>
      </c>
    </row>
    <row r="43" spans="1:10" x14ac:dyDescent="0.25">
      <c r="B43" s="80"/>
      <c r="F43" s="26"/>
    </row>
    <row r="44" spans="1:10" x14ac:dyDescent="0.25">
      <c r="D44" s="82" t="s">
        <v>1376</v>
      </c>
      <c r="F44" s="26">
        <f>AVERAGE(F9:F42)</f>
        <v>4.0886350409208863E-2</v>
      </c>
      <c r="J44" s="83"/>
    </row>
    <row r="45" spans="1:10" x14ac:dyDescent="0.25">
      <c r="J45" s="84"/>
    </row>
    <row r="46" spans="1:10" x14ac:dyDescent="0.25">
      <c r="D46" s="82" t="s">
        <v>65</v>
      </c>
      <c r="F46" s="26">
        <v>0.04</v>
      </c>
      <c r="J46" s="83"/>
    </row>
    <row r="48" spans="1:10" x14ac:dyDescent="0.25">
      <c r="A48" s="85" t="s">
        <v>1099</v>
      </c>
    </row>
    <row r="49" spans="1:1" x14ac:dyDescent="0.25">
      <c r="A49" s="85"/>
    </row>
  </sheetData>
  <printOptions horizontalCentered="1"/>
  <pageMargins left="0.7" right="0.7" top="1.25" bottom="0.75" header="0.3" footer="0.3"/>
  <pageSetup scale="80" orientation="portrait" useFirstPageNumber="1" r:id="rId1"/>
  <headerFooter alignWithMargins="0">
    <oddHeader>&amp;R&amp;K000000Docket No. UG-17____
Cascade Natural Gas Corp.
Exhibit No.___(JSG-2)
Schedule 2
Page &amp;P of 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N32"/>
  <sheetViews>
    <sheetView view="pageBreakPreview" zoomScaleNormal="100" zoomScaleSheetLayoutView="100" workbookViewId="0">
      <selection activeCell="D23" sqref="D23:H23"/>
    </sheetView>
  </sheetViews>
  <sheetFormatPr defaultColWidth="9" defaultRowHeight="15.75" x14ac:dyDescent="0.25"/>
  <cols>
    <col min="1" max="1" width="28.625" style="6" customWidth="1"/>
    <col min="2" max="2" width="8.625" style="6" customWidth="1"/>
    <col min="3" max="3" width="2.125" style="6" customWidth="1"/>
    <col min="4" max="4" width="12.625" style="6" customWidth="1"/>
    <col min="5" max="5" width="2.125" style="6" customWidth="1"/>
    <col min="6" max="6" width="12.625" style="6" customWidth="1"/>
    <col min="7" max="7" width="2.125" style="6" customWidth="1"/>
    <col min="8" max="8" width="12.625" style="6" customWidth="1"/>
    <col min="9" max="9" width="2.125" style="6" customWidth="1"/>
    <col min="10" max="16384" width="9" style="6"/>
  </cols>
  <sheetData>
    <row r="2" spans="1:12" s="87" customFormat="1" ht="20.25" x14ac:dyDescent="0.3">
      <c r="A2" s="24" t="s">
        <v>1105</v>
      </c>
      <c r="B2" s="24"/>
      <c r="C2" s="86"/>
      <c r="D2" s="86"/>
      <c r="E2" s="86"/>
      <c r="F2" s="86"/>
      <c r="G2" s="86"/>
      <c r="H2" s="86"/>
      <c r="I2" s="86"/>
    </row>
    <row r="3" spans="1:12" s="87" customFormat="1" x14ac:dyDescent="0.25"/>
    <row r="4" spans="1:12" s="87" customFormat="1" ht="18.75" x14ac:dyDescent="0.3">
      <c r="A4" s="25" t="s">
        <v>32</v>
      </c>
      <c r="B4" s="86"/>
      <c r="C4" s="86"/>
      <c r="D4" s="86"/>
      <c r="E4" s="86"/>
      <c r="F4" s="86"/>
      <c r="G4" s="86"/>
      <c r="H4" s="86"/>
      <c r="I4" s="86"/>
    </row>
    <row r="5" spans="1:12" s="87" customFormat="1" ht="18.75" x14ac:dyDescent="0.3">
      <c r="A5" s="25" t="s">
        <v>1249</v>
      </c>
      <c r="B5" s="86"/>
      <c r="C5" s="86"/>
      <c r="D5" s="86"/>
      <c r="E5" s="86"/>
      <c r="F5" s="86"/>
      <c r="G5" s="86"/>
      <c r="H5" s="86"/>
      <c r="I5" s="86"/>
    </row>
    <row r="6" spans="1:12" s="87" customFormat="1" ht="16.5" thickBot="1" x14ac:dyDescent="0.3"/>
    <row r="7" spans="1:12" ht="47.25" x14ac:dyDescent="0.25">
      <c r="A7" s="88" t="s">
        <v>132</v>
      </c>
      <c r="B7" s="88" t="s">
        <v>133</v>
      </c>
      <c r="D7" s="89" t="s">
        <v>172</v>
      </c>
      <c r="F7" s="89" t="s">
        <v>173</v>
      </c>
      <c r="H7" s="89" t="s">
        <v>174</v>
      </c>
      <c r="K7" s="67"/>
    </row>
    <row r="8" spans="1:12" x14ac:dyDescent="0.25">
      <c r="D8" s="23"/>
      <c r="E8" s="23"/>
      <c r="F8" s="23"/>
      <c r="G8" s="23"/>
      <c r="H8" s="23"/>
    </row>
    <row r="9" spans="1:12" x14ac:dyDescent="0.25">
      <c r="A9" s="23" t="s">
        <v>111</v>
      </c>
      <c r="B9" s="60" t="s">
        <v>135</v>
      </c>
      <c r="D9" s="90">
        <v>11194.897000000001</v>
      </c>
      <c r="E9" s="91"/>
      <c r="F9" s="90">
        <v>3349.9490000000001</v>
      </c>
      <c r="G9" s="91"/>
      <c r="H9" s="90">
        <v>668.01800000000003</v>
      </c>
      <c r="I9" s="23" t="s">
        <v>29</v>
      </c>
    </row>
    <row r="10" spans="1:12" x14ac:dyDescent="0.25">
      <c r="A10" s="23" t="s">
        <v>175</v>
      </c>
      <c r="B10" s="60" t="s">
        <v>20</v>
      </c>
      <c r="D10" s="90">
        <v>3727.0819999999999</v>
      </c>
      <c r="E10" s="91"/>
      <c r="F10" s="90">
        <v>1880.905</v>
      </c>
      <c r="G10" s="91"/>
      <c r="H10" s="90">
        <v>178.102</v>
      </c>
      <c r="I10" s="23" t="s">
        <v>29</v>
      </c>
      <c r="J10" s="67"/>
    </row>
    <row r="11" spans="1:12" x14ac:dyDescent="0.25">
      <c r="A11" s="23" t="s">
        <v>63</v>
      </c>
      <c r="B11" s="60" t="s">
        <v>780</v>
      </c>
      <c r="D11" s="90">
        <v>18691.900000000001</v>
      </c>
      <c r="E11" s="91"/>
      <c r="F11" s="90">
        <v>4492.5</v>
      </c>
      <c r="G11" s="91"/>
      <c r="H11" s="90">
        <v>858.2</v>
      </c>
      <c r="I11" s="23" t="s">
        <v>104</v>
      </c>
      <c r="J11" s="67"/>
    </row>
    <row r="12" spans="1:12" x14ac:dyDescent="0.25">
      <c r="A12" s="23" t="s">
        <v>106</v>
      </c>
      <c r="B12" s="60" t="s">
        <v>10</v>
      </c>
      <c r="C12" s="23"/>
      <c r="D12" s="90">
        <v>3079.8009999999999</v>
      </c>
      <c r="E12" s="91"/>
      <c r="F12" s="90">
        <v>675.96699999999998</v>
      </c>
      <c r="G12" s="91"/>
      <c r="H12" s="90">
        <v>139.28</v>
      </c>
      <c r="I12" s="23" t="s">
        <v>104</v>
      </c>
    </row>
    <row r="13" spans="1:12" x14ac:dyDescent="0.25">
      <c r="A13" s="23" t="s">
        <v>136</v>
      </c>
      <c r="B13" s="60" t="s">
        <v>137</v>
      </c>
      <c r="D13" s="90">
        <v>3730.567</v>
      </c>
      <c r="E13" s="91"/>
      <c r="F13" s="90">
        <v>1036.5</v>
      </c>
      <c r="G13" s="91"/>
      <c r="H13" s="90">
        <v>189.27600000000001</v>
      </c>
      <c r="I13" s="23" t="s">
        <v>104</v>
      </c>
      <c r="J13" s="67"/>
      <c r="L13" s="90"/>
    </row>
    <row r="14" spans="1:12" x14ac:dyDescent="0.25">
      <c r="A14" s="23" t="s">
        <v>176</v>
      </c>
      <c r="B14" s="60" t="s">
        <v>23</v>
      </c>
      <c r="D14" s="90">
        <v>5581.1260000000002</v>
      </c>
      <c r="E14" s="91"/>
      <c r="F14" s="90">
        <v>2460.4899999999998</v>
      </c>
      <c r="G14" s="91"/>
      <c r="H14" s="90">
        <v>295.714</v>
      </c>
      <c r="I14" s="23" t="s">
        <v>104</v>
      </c>
    </row>
    <row r="15" spans="1:12" x14ac:dyDescent="0.25">
      <c r="A15" s="23" t="s">
        <v>1119</v>
      </c>
      <c r="B15" s="60" t="s">
        <v>1120</v>
      </c>
      <c r="C15" s="23"/>
      <c r="D15" s="90">
        <v>6077.4</v>
      </c>
      <c r="E15" s="91"/>
      <c r="F15" s="90">
        <v>1537.3</v>
      </c>
      <c r="G15" s="91"/>
      <c r="H15" s="90">
        <v>282.3</v>
      </c>
      <c r="I15" s="23" t="s">
        <v>29</v>
      </c>
    </row>
    <row r="17" spans="1:14" x14ac:dyDescent="0.25">
      <c r="A17" s="6" t="s">
        <v>0</v>
      </c>
      <c r="D17" s="92">
        <f>MAX(D9:D15)</f>
        <v>18691.900000000001</v>
      </c>
      <c r="E17" s="93"/>
      <c r="F17" s="92">
        <f>MAX(F9:F15)</f>
        <v>4492.5</v>
      </c>
      <c r="G17" s="93"/>
      <c r="H17" s="92">
        <f>MAX(H9:H15)</f>
        <v>858.2</v>
      </c>
    </row>
    <row r="18" spans="1:14" x14ac:dyDescent="0.25">
      <c r="A18" s="2" t="s">
        <v>7</v>
      </c>
      <c r="D18" s="94">
        <f>AVERAGE(D9:D15)</f>
        <v>7440.3961428571438</v>
      </c>
      <c r="E18" s="93"/>
      <c r="F18" s="94">
        <f>AVERAGE(F9:F15)</f>
        <v>2204.8015714285712</v>
      </c>
      <c r="G18" s="93"/>
      <c r="H18" s="94">
        <f>AVERAGE(H9:H15)</f>
        <v>372.98428571428576</v>
      </c>
    </row>
    <row r="19" spans="1:14" x14ac:dyDescent="0.25">
      <c r="A19" s="2" t="s">
        <v>1</v>
      </c>
      <c r="D19" s="94">
        <f>MEDIAN(D9:D15)</f>
        <v>5581.1260000000002</v>
      </c>
      <c r="E19" s="93"/>
      <c r="F19" s="94">
        <f>MEDIAN(F9:F15)</f>
        <v>1880.905</v>
      </c>
      <c r="G19" s="93"/>
      <c r="H19" s="94">
        <f>MEDIAN(H9:H15)</f>
        <v>282.3</v>
      </c>
    </row>
    <row r="20" spans="1:14" x14ac:dyDescent="0.25">
      <c r="A20" s="6" t="s">
        <v>2</v>
      </c>
      <c r="D20" s="95">
        <f>MIN(D9:D15)</f>
        <v>3079.8009999999999</v>
      </c>
      <c r="E20" s="93"/>
      <c r="F20" s="95">
        <f>MIN(F9:F15)</f>
        <v>675.96699999999998</v>
      </c>
      <c r="G20" s="93"/>
      <c r="H20" s="95">
        <f>MIN(H9:H15)</f>
        <v>139.28</v>
      </c>
    </row>
    <row r="21" spans="1:14" x14ac:dyDescent="0.25">
      <c r="N21" s="96" t="s">
        <v>1037</v>
      </c>
    </row>
    <row r="23" spans="1:14" x14ac:dyDescent="0.25">
      <c r="A23" s="293" t="s">
        <v>1086</v>
      </c>
      <c r="B23" s="23"/>
      <c r="C23" s="23"/>
      <c r="D23" s="294">
        <f>292.471181</f>
        <v>292.471181</v>
      </c>
      <c r="E23" s="91" t="s">
        <v>1037</v>
      </c>
      <c r="F23" s="294">
        <f>221.87771</f>
        <v>221.87771000000001</v>
      </c>
      <c r="G23" s="91"/>
      <c r="H23" s="294">
        <f>22.22196</f>
        <v>22.221959999999999</v>
      </c>
      <c r="I23" s="23" t="s">
        <v>1088</v>
      </c>
      <c r="K23" s="43"/>
    </row>
    <row r="24" spans="1:14" x14ac:dyDescent="0.25">
      <c r="A24" s="23"/>
    </row>
    <row r="25" spans="1:14" x14ac:dyDescent="0.25">
      <c r="A25" s="97" t="s">
        <v>1087</v>
      </c>
      <c r="B25" s="98"/>
    </row>
    <row r="26" spans="1:14" x14ac:dyDescent="0.25">
      <c r="A26" s="99" t="s">
        <v>997</v>
      </c>
      <c r="D26" s="100">
        <f>D$23/D19</f>
        <v>5.2403615506978342E-2</v>
      </c>
      <c r="F26" s="100">
        <f>F$23/F19</f>
        <v>0.11796327299890214</v>
      </c>
      <c r="H26" s="100">
        <f>H$23/H19</f>
        <v>7.8717534537725814E-2</v>
      </c>
      <c r="K26" s="23"/>
    </row>
    <row r="28" spans="1:14" x14ac:dyDescent="0.25">
      <c r="A28" s="98" t="s">
        <v>101</v>
      </c>
      <c r="B28" s="98"/>
      <c r="D28" s="23"/>
      <c r="E28" s="23"/>
      <c r="F28" s="23"/>
      <c r="G28" s="23"/>
      <c r="H28" s="23"/>
      <c r="I28" s="23"/>
    </row>
    <row r="29" spans="1:14" x14ac:dyDescent="0.25">
      <c r="A29" s="23" t="s">
        <v>1250</v>
      </c>
      <c r="F29" s="67"/>
    </row>
    <row r="30" spans="1:14" x14ac:dyDescent="0.25">
      <c r="A30" s="23" t="s">
        <v>1326</v>
      </c>
      <c r="B30" s="23"/>
      <c r="C30" s="23"/>
      <c r="D30" s="23"/>
      <c r="E30" s="23"/>
      <c r="F30" s="23"/>
      <c r="G30" s="23"/>
      <c r="H30" s="23"/>
      <c r="I30" s="23"/>
      <c r="J30" s="23"/>
    </row>
    <row r="31" spans="1:14" x14ac:dyDescent="0.25">
      <c r="A31" s="23" t="s">
        <v>1103</v>
      </c>
      <c r="B31" s="23"/>
      <c r="C31" s="23"/>
      <c r="D31" s="23"/>
      <c r="E31" s="23"/>
      <c r="F31" s="23"/>
      <c r="G31" s="23"/>
      <c r="H31" s="23"/>
      <c r="I31" s="23"/>
    </row>
    <row r="32" spans="1:14" x14ac:dyDescent="0.25">
      <c r="D32" s="101"/>
      <c r="E32" s="101"/>
      <c r="F32" s="101"/>
      <c r="G32" s="101"/>
      <c r="H32" s="101"/>
    </row>
  </sheetData>
  <phoneticPr fontId="0" type="noConversion"/>
  <printOptions horizontalCentered="1"/>
  <pageMargins left="0.7" right="0.7" top="1.25" bottom="0.75" header="0.3" footer="0.3"/>
  <pageSetup orientation="portrait" useFirstPageNumber="1" copies="3" r:id="rId1"/>
  <headerFooter alignWithMargins="0">
    <oddHeader>&amp;R&amp;K000000Docket No. UG-17____
Cascade Natural Gas Corp.
Exhibit No.___(JSG-2)
Schedule 3
Page &amp;P of 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4"/>
  <sheetViews>
    <sheetView view="pageBreakPreview" zoomScaleNormal="80" zoomScaleSheetLayoutView="100" workbookViewId="0">
      <selection activeCell="D6" sqref="D6"/>
    </sheetView>
  </sheetViews>
  <sheetFormatPr defaultColWidth="9" defaultRowHeight="15.75" x14ac:dyDescent="0.25"/>
  <cols>
    <col min="1" max="1" width="30.625" style="23" customWidth="1"/>
    <col min="2" max="4" width="15.625" style="23" customWidth="1"/>
    <col min="5" max="5" width="2.625" style="23" customWidth="1"/>
    <col min="6" max="7" width="9" style="23" customWidth="1"/>
    <col min="8" max="8" width="2.625" style="23" customWidth="1"/>
    <col min="9" max="10" width="9" style="23" customWidth="1"/>
    <col min="11" max="16384" width="9" style="23"/>
  </cols>
  <sheetData>
    <row r="1" spans="1:13" ht="20.25" x14ac:dyDescent="0.3">
      <c r="A1" s="24" t="s">
        <v>1105</v>
      </c>
      <c r="B1" s="76"/>
      <c r="C1" s="76"/>
      <c r="D1" s="76"/>
      <c r="F1" s="76"/>
      <c r="G1" s="76"/>
      <c r="I1" s="43"/>
    </row>
    <row r="3" spans="1:13" ht="18.75" x14ac:dyDescent="0.3">
      <c r="A3" s="30" t="s">
        <v>32</v>
      </c>
      <c r="B3" s="76"/>
      <c r="C3" s="76"/>
      <c r="D3" s="76"/>
      <c r="F3" s="76"/>
      <c r="G3" s="76"/>
    </row>
    <row r="4" spans="1:13" ht="18.75" x14ac:dyDescent="0.3">
      <c r="A4" s="30" t="s">
        <v>134</v>
      </c>
      <c r="B4" s="76"/>
      <c r="C4" s="76"/>
      <c r="D4" s="76"/>
      <c r="F4" s="76"/>
      <c r="G4" s="76"/>
      <c r="I4" s="43"/>
    </row>
    <row r="5" spans="1:13" ht="16.5" thickBot="1" x14ac:dyDescent="0.3"/>
    <row r="6" spans="1:13" ht="31.5" x14ac:dyDescent="0.25">
      <c r="A6" s="78" t="s">
        <v>132</v>
      </c>
      <c r="B6" s="78" t="s">
        <v>133</v>
      </c>
      <c r="C6" s="79" t="s">
        <v>33</v>
      </c>
      <c r="D6" s="78" t="s">
        <v>4</v>
      </c>
      <c r="F6" s="207" t="s">
        <v>33</v>
      </c>
      <c r="G6" s="208" t="s">
        <v>4</v>
      </c>
    </row>
    <row r="8" spans="1:13" x14ac:dyDescent="0.25">
      <c r="A8" s="23" t="s">
        <v>111</v>
      </c>
      <c r="B8" s="60" t="s">
        <v>135</v>
      </c>
      <c r="C8" s="102" t="s">
        <v>28</v>
      </c>
      <c r="D8" s="102" t="s">
        <v>6</v>
      </c>
      <c r="F8" s="197">
        <f>IFERROR(INDEX($I$8:$I$18,MATCH(C8,$J$8:$J$18,0)),"")</f>
        <v>6</v>
      </c>
      <c r="G8" s="197">
        <f>IFERROR(INDEX($I$8:$I$18,MATCH(D8,$K$8:$K$18,0)),"")</f>
        <v>6</v>
      </c>
      <c r="I8" s="199">
        <v>1</v>
      </c>
      <c r="J8" s="200" t="s">
        <v>34</v>
      </c>
      <c r="K8" s="201" t="s">
        <v>37</v>
      </c>
    </row>
    <row r="9" spans="1:13" x14ac:dyDescent="0.25">
      <c r="A9" s="23" t="s">
        <v>175</v>
      </c>
      <c r="B9" s="60" t="s">
        <v>20</v>
      </c>
      <c r="C9" s="102" t="s">
        <v>28</v>
      </c>
      <c r="D9" s="102" t="s">
        <v>39</v>
      </c>
      <c r="F9" s="197">
        <f t="shared" ref="F9:F14" si="0">IFERROR(INDEX($I$8:$I$18,MATCH(C9,$J$8:$J$18,0)),"")</f>
        <v>6</v>
      </c>
      <c r="G9" s="197">
        <f t="shared" ref="G9:G13" si="1">IFERROR(INDEX($I$8:$I$18,MATCH(D9,$K$8:$K$18,0)),"")</f>
        <v>3</v>
      </c>
      <c r="I9" s="202">
        <v>2</v>
      </c>
      <c r="J9" s="198" t="s">
        <v>35</v>
      </c>
      <c r="K9" s="203" t="s">
        <v>38</v>
      </c>
      <c r="M9" s="43"/>
    </row>
    <row r="10" spans="1:13" x14ac:dyDescent="0.25">
      <c r="A10" s="23" t="s">
        <v>63</v>
      </c>
      <c r="B10" s="60" t="s">
        <v>780</v>
      </c>
      <c r="C10" s="102" t="s">
        <v>26</v>
      </c>
      <c r="D10" s="102" t="s">
        <v>22</v>
      </c>
      <c r="F10" s="197">
        <f t="shared" si="0"/>
        <v>8</v>
      </c>
      <c r="G10" s="197">
        <f t="shared" si="1"/>
        <v>9</v>
      </c>
      <c r="I10" s="202">
        <v>3</v>
      </c>
      <c r="J10" s="198" t="s">
        <v>36</v>
      </c>
      <c r="K10" s="203" t="s">
        <v>39</v>
      </c>
      <c r="M10" s="43"/>
    </row>
    <row r="11" spans="1:13" x14ac:dyDescent="0.25">
      <c r="A11" s="23" t="s">
        <v>106</v>
      </c>
      <c r="B11" s="60" t="s">
        <v>10</v>
      </c>
      <c r="C11" s="102" t="s">
        <v>27</v>
      </c>
      <c r="D11" s="102" t="s">
        <v>5</v>
      </c>
      <c r="F11" s="197">
        <f t="shared" si="0"/>
        <v>5</v>
      </c>
      <c r="G11" s="197">
        <f t="shared" si="1"/>
        <v>7</v>
      </c>
      <c r="I11" s="202">
        <v>4</v>
      </c>
      <c r="J11" s="198" t="s">
        <v>1247</v>
      </c>
      <c r="K11" s="203" t="s">
        <v>1248</v>
      </c>
    </row>
    <row r="12" spans="1:13" x14ac:dyDescent="0.25">
      <c r="A12" s="23" t="s">
        <v>136</v>
      </c>
      <c r="B12" s="60" t="s">
        <v>137</v>
      </c>
      <c r="C12" s="102" t="s">
        <v>26</v>
      </c>
      <c r="D12" s="104" t="s">
        <v>44</v>
      </c>
      <c r="F12" s="197">
        <f t="shared" si="0"/>
        <v>8</v>
      </c>
      <c r="G12" s="197" t="str">
        <f t="shared" si="1"/>
        <v/>
      </c>
      <c r="I12" s="202">
        <v>5</v>
      </c>
      <c r="J12" s="198" t="s">
        <v>27</v>
      </c>
      <c r="K12" s="203" t="s">
        <v>40</v>
      </c>
    </row>
    <row r="13" spans="1:13" x14ac:dyDescent="0.25">
      <c r="A13" s="23" t="s">
        <v>176</v>
      </c>
      <c r="B13" s="60" t="s">
        <v>23</v>
      </c>
      <c r="C13" s="102" t="s">
        <v>26</v>
      </c>
      <c r="D13" s="104" t="s">
        <v>44</v>
      </c>
      <c r="F13" s="197">
        <f t="shared" si="0"/>
        <v>8</v>
      </c>
      <c r="G13" s="197" t="str">
        <f t="shared" si="1"/>
        <v/>
      </c>
      <c r="I13" s="202">
        <v>6</v>
      </c>
      <c r="J13" s="198" t="s">
        <v>28</v>
      </c>
      <c r="K13" s="203" t="s">
        <v>6</v>
      </c>
    </row>
    <row r="14" spans="1:13" x14ac:dyDescent="0.25">
      <c r="A14" s="23" t="s">
        <v>1119</v>
      </c>
      <c r="B14" s="60" t="s">
        <v>1120</v>
      </c>
      <c r="C14" s="102" t="s">
        <v>24</v>
      </c>
      <c r="D14" s="102" t="s">
        <v>22</v>
      </c>
      <c r="F14" s="197">
        <f t="shared" si="0"/>
        <v>7</v>
      </c>
      <c r="G14" s="197">
        <f>IFERROR(INDEX($I$8:$I$18,MATCH(D14,$K$8:$K$18,0)),"")</f>
        <v>9</v>
      </c>
      <c r="I14" s="202">
        <v>7</v>
      </c>
      <c r="J14" s="198" t="s">
        <v>24</v>
      </c>
      <c r="K14" s="203" t="s">
        <v>5</v>
      </c>
    </row>
    <row r="15" spans="1:13" x14ac:dyDescent="0.25">
      <c r="C15" s="102"/>
      <c r="D15" s="102"/>
      <c r="I15" s="202">
        <v>8</v>
      </c>
      <c r="J15" s="198" t="s">
        <v>26</v>
      </c>
      <c r="K15" s="203" t="s">
        <v>19</v>
      </c>
    </row>
    <row r="16" spans="1:13" x14ac:dyDescent="0.25">
      <c r="A16" s="58" t="s">
        <v>7</v>
      </c>
      <c r="C16" s="103" t="str">
        <f>INDEX($J$8:$J$18,MATCH(F16,$I$8:$I$18,0))</f>
        <v>A-</v>
      </c>
      <c r="D16" s="103" t="str">
        <f>INDEX($K$8:$K$18,MATCH(G16,$I$8:$I$18,0))</f>
        <v>A3</v>
      </c>
      <c r="F16" s="197">
        <f>ROUND(AVERAGE(F8:F14),0)</f>
        <v>7</v>
      </c>
      <c r="G16" s="197">
        <f>ROUND(AVERAGE(G8:G14),0)</f>
        <v>7</v>
      </c>
      <c r="I16" s="202">
        <v>9</v>
      </c>
      <c r="J16" s="198" t="s">
        <v>25</v>
      </c>
      <c r="K16" s="203" t="s">
        <v>22</v>
      </c>
    </row>
    <row r="17" spans="1:12" x14ac:dyDescent="0.25">
      <c r="A17" s="58" t="s">
        <v>1</v>
      </c>
      <c r="C17" s="103" t="str">
        <f>INDEX($J$8:$J$18,MATCH(F17,$I$8:$I$18,0))</f>
        <v>A-</v>
      </c>
      <c r="D17" s="103" t="str">
        <f>INDEX($K$8:$K$18,MATCH(G17,$I$8:$I$18,0))</f>
        <v>A3</v>
      </c>
      <c r="F17" s="197">
        <f>ROUND(MEDIAN(F8:F14),0)</f>
        <v>7</v>
      </c>
      <c r="G17" s="197">
        <f>ROUND(MEDIAN(G8:G14),0)</f>
        <v>7</v>
      </c>
      <c r="I17" s="202">
        <v>10</v>
      </c>
      <c r="J17" s="198" t="s">
        <v>1254</v>
      </c>
      <c r="K17" s="203" t="s">
        <v>1253</v>
      </c>
    </row>
    <row r="18" spans="1:12" x14ac:dyDescent="0.25">
      <c r="I18" s="204">
        <v>11</v>
      </c>
      <c r="J18" s="205" t="s">
        <v>1255</v>
      </c>
      <c r="K18" s="206" t="s">
        <v>1252</v>
      </c>
    </row>
    <row r="19" spans="1:12" x14ac:dyDescent="0.25">
      <c r="A19" s="23" t="s">
        <v>1106</v>
      </c>
      <c r="C19" s="102" t="s">
        <v>26</v>
      </c>
      <c r="D19" s="104" t="s">
        <v>44</v>
      </c>
    </row>
    <row r="21" spans="1:12" x14ac:dyDescent="0.25">
      <c r="A21" s="97" t="s">
        <v>101</v>
      </c>
      <c r="B21" s="105"/>
    </row>
    <row r="22" spans="1:12" x14ac:dyDescent="0.25">
      <c r="A22" s="23" t="s">
        <v>1327</v>
      </c>
      <c r="L22" s="106"/>
    </row>
    <row r="23" spans="1:12" x14ac:dyDescent="0.25">
      <c r="A23" s="23" t="s">
        <v>1246</v>
      </c>
    </row>
    <row r="24" spans="1:12" x14ac:dyDescent="0.25">
      <c r="A24" s="146"/>
    </row>
  </sheetData>
  <sortState ref="I8:K16">
    <sortCondition ref="I8:I16"/>
  </sortState>
  <phoneticPr fontId="0" type="noConversion"/>
  <printOptions horizontalCentered="1"/>
  <pageMargins left="0.7" right="0.7" top="1.25" bottom="0.75" header="0.3" footer="0.3"/>
  <pageSetup firstPageNumber="2" orientation="portrait" useFirstPageNumber="1" r:id="rId1"/>
  <headerFooter alignWithMargins="0">
    <oddHeader>&amp;R&amp;K01+000Docket No. UG-17____
Cascade Natural Gas Corp.&amp;K000000
Exhibit No.___(JSG-2)
Schedule 3
Page &amp;P of 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81"/>
  <sheetViews>
    <sheetView view="pageBreakPreview" topLeftCell="A49" zoomScale="70" zoomScaleNormal="80" zoomScaleSheetLayoutView="70" zoomScalePageLayoutView="60" workbookViewId="0">
      <selection activeCell="J8" sqref="J8"/>
    </sheetView>
  </sheetViews>
  <sheetFormatPr defaultRowHeight="15.75" x14ac:dyDescent="0.25"/>
  <cols>
    <col min="1" max="1" width="35.625" style="23" customWidth="1"/>
    <col min="2" max="8" width="12.625" style="23" customWidth="1"/>
    <col min="9" max="9" width="9" style="23"/>
    <col min="10" max="16384" width="9" style="6"/>
  </cols>
  <sheetData>
    <row r="1" spans="1:9" s="87" customFormat="1" ht="20.25" x14ac:dyDescent="0.3">
      <c r="A1" s="24" t="s">
        <v>1107</v>
      </c>
      <c r="B1" s="76"/>
      <c r="C1" s="76"/>
      <c r="D1" s="76"/>
      <c r="E1" s="76"/>
      <c r="F1" s="76"/>
      <c r="G1" s="76"/>
      <c r="H1" s="76"/>
      <c r="I1" s="278"/>
    </row>
    <row r="2" spans="1:9" s="87" customFormat="1" x14ac:dyDescent="0.25">
      <c r="A2" s="278"/>
      <c r="B2" s="278"/>
      <c r="C2" s="278"/>
      <c r="D2" s="278"/>
      <c r="E2" s="278"/>
      <c r="F2" s="278"/>
      <c r="G2" s="278"/>
      <c r="H2" s="278"/>
      <c r="I2" s="278"/>
    </row>
    <row r="3" spans="1:9" s="87" customFormat="1" ht="18.75" x14ac:dyDescent="0.3">
      <c r="A3" s="30" t="s">
        <v>32</v>
      </c>
      <c r="B3" s="76"/>
      <c r="C3" s="76"/>
      <c r="D3" s="76"/>
      <c r="E3" s="76"/>
      <c r="F3" s="76"/>
      <c r="G3" s="76"/>
      <c r="H3" s="76"/>
      <c r="I3" s="278"/>
    </row>
    <row r="4" spans="1:9" s="87" customFormat="1" ht="18.75" x14ac:dyDescent="0.3">
      <c r="A4" s="68" t="s">
        <v>41</v>
      </c>
      <c r="B4" s="76"/>
      <c r="C4" s="76"/>
      <c r="D4" s="76"/>
      <c r="E4" s="76"/>
      <c r="F4" s="76"/>
      <c r="G4" s="76"/>
      <c r="H4" s="76"/>
      <c r="I4" s="278"/>
    </row>
    <row r="5" spans="1:9" s="87" customFormat="1" ht="18.75" x14ac:dyDescent="0.3">
      <c r="A5" s="34" t="s">
        <v>1328</v>
      </c>
      <c r="B5" s="76"/>
      <c r="C5" s="76"/>
      <c r="D5" s="76"/>
      <c r="E5" s="76"/>
      <c r="F5" s="76"/>
      <c r="G5" s="76"/>
      <c r="H5" s="76"/>
      <c r="I5" s="278"/>
    </row>
    <row r="6" spans="1:9" ht="16.5" thickBot="1" x14ac:dyDescent="0.3"/>
    <row r="7" spans="1:9" x14ac:dyDescent="0.25">
      <c r="A7" s="279"/>
      <c r="B7" s="279"/>
      <c r="C7" s="279"/>
      <c r="D7" s="279"/>
      <c r="E7" s="279"/>
      <c r="F7" s="279"/>
      <c r="G7" s="279"/>
      <c r="H7" s="280" t="s">
        <v>7</v>
      </c>
    </row>
    <row r="8" spans="1:9" x14ac:dyDescent="0.25">
      <c r="A8" s="105"/>
      <c r="B8" s="105"/>
      <c r="C8" s="105"/>
      <c r="D8" s="105"/>
      <c r="E8" s="105"/>
      <c r="F8" s="105"/>
      <c r="G8" s="105"/>
      <c r="H8" s="138" t="s">
        <v>8</v>
      </c>
    </row>
    <row r="9" spans="1:9" x14ac:dyDescent="0.25">
      <c r="A9" s="136" t="s">
        <v>132</v>
      </c>
      <c r="B9" s="136" t="s">
        <v>133</v>
      </c>
      <c r="C9" s="97"/>
      <c r="D9" s="97"/>
      <c r="E9" s="97"/>
      <c r="F9" s="97"/>
      <c r="G9" s="97"/>
      <c r="H9" s="136" t="s">
        <v>9</v>
      </c>
    </row>
    <row r="11" spans="1:9" x14ac:dyDescent="0.25">
      <c r="A11" s="23" t="s">
        <v>111</v>
      </c>
      <c r="B11" s="60" t="s">
        <v>135</v>
      </c>
      <c r="H11" s="26">
        <f>INDEX($H$25:$H$79, MATCH(B11, $B$25:$B$79,0)+6)</f>
        <v>2.3804803073309167E-2</v>
      </c>
    </row>
    <row r="12" spans="1:9" x14ac:dyDescent="0.25">
      <c r="A12" s="23" t="s">
        <v>175</v>
      </c>
      <c r="B12" s="60" t="s">
        <v>20</v>
      </c>
      <c r="H12" s="26">
        <f t="shared" ref="H12:H16" si="0">INDEX($H$25:$H$79, MATCH(B12, $B$25:$B$79,0)+6)</f>
        <v>2.7615699328992643E-2</v>
      </c>
    </row>
    <row r="13" spans="1:9" x14ac:dyDescent="0.25">
      <c r="A13" s="23" t="s">
        <v>63</v>
      </c>
      <c r="B13" s="60" t="s">
        <v>780</v>
      </c>
      <c r="H13" s="26">
        <f t="shared" si="0"/>
        <v>2.9835808814806134E-2</v>
      </c>
    </row>
    <row r="14" spans="1:9" x14ac:dyDescent="0.25">
      <c r="A14" s="23" t="s">
        <v>106</v>
      </c>
      <c r="B14" s="60" t="s">
        <v>10</v>
      </c>
      <c r="H14" s="26">
        <f t="shared" si="0"/>
        <v>3.1969022227061349E-2</v>
      </c>
    </row>
    <row r="15" spans="1:9" x14ac:dyDescent="0.25">
      <c r="A15" s="23" t="s">
        <v>136</v>
      </c>
      <c r="B15" s="60" t="s">
        <v>137</v>
      </c>
      <c r="H15" s="26">
        <f t="shared" si="0"/>
        <v>3.2202387040744331E-2</v>
      </c>
    </row>
    <row r="16" spans="1:9" x14ac:dyDescent="0.25">
      <c r="A16" s="23" t="s">
        <v>176</v>
      </c>
      <c r="B16" s="60" t="s">
        <v>23</v>
      </c>
      <c r="H16" s="26">
        <f t="shared" si="0"/>
        <v>2.2709978374208285E-2</v>
      </c>
    </row>
    <row r="17" spans="1:11" x14ac:dyDescent="0.25">
      <c r="A17" s="23" t="s">
        <v>1119</v>
      </c>
      <c r="B17" s="60" t="s">
        <v>1120</v>
      </c>
      <c r="H17" s="26">
        <f>INDEX($H$25:$H$79, MATCH(B17, $B$25:$B$79,0)+6)</f>
        <v>3.1895164698633106E-2</v>
      </c>
    </row>
    <row r="18" spans="1:11" x14ac:dyDescent="0.25">
      <c r="B18" s="60"/>
      <c r="H18" s="26"/>
    </row>
    <row r="19" spans="1:11" x14ac:dyDescent="0.25">
      <c r="A19" s="58" t="s">
        <v>7</v>
      </c>
      <c r="H19" s="69">
        <f>AVERAGE(H11:H17)</f>
        <v>2.8576123365393575E-2</v>
      </c>
    </row>
    <row r="20" spans="1:11" x14ac:dyDescent="0.25">
      <c r="A20" s="58" t="s">
        <v>1</v>
      </c>
      <c r="H20" s="69">
        <f>MEDIAN(H11:H17)</f>
        <v>2.9835808814806134E-2</v>
      </c>
    </row>
    <row r="22" spans="1:11" x14ac:dyDescent="0.25">
      <c r="A22" s="281"/>
      <c r="B22" s="281"/>
      <c r="C22" s="281"/>
      <c r="D22" s="282" t="s">
        <v>72</v>
      </c>
      <c r="E22" s="282"/>
      <c r="F22" s="282"/>
      <c r="G22" s="283" t="s">
        <v>131</v>
      </c>
      <c r="H22" s="283" t="s">
        <v>8</v>
      </c>
    </row>
    <row r="23" spans="1:11" x14ac:dyDescent="0.25">
      <c r="A23" s="97"/>
      <c r="B23" s="97"/>
      <c r="C23" s="97"/>
      <c r="D23" s="136" t="s">
        <v>2</v>
      </c>
      <c r="E23" s="136" t="s">
        <v>0</v>
      </c>
      <c r="F23" s="136" t="s">
        <v>7</v>
      </c>
      <c r="G23" s="136" t="s">
        <v>8</v>
      </c>
      <c r="H23" s="136" t="s">
        <v>9</v>
      </c>
    </row>
    <row r="24" spans="1:11" x14ac:dyDescent="0.25">
      <c r="D24" s="43"/>
    </row>
    <row r="25" spans="1:11" x14ac:dyDescent="0.25">
      <c r="A25" s="23" t="s">
        <v>111</v>
      </c>
      <c r="B25" s="60" t="s">
        <v>135</v>
      </c>
      <c r="C25" s="73">
        <v>42675</v>
      </c>
      <c r="D25" s="45">
        <v>70.47</v>
      </c>
      <c r="E25" s="45">
        <v>74.150000000000006</v>
      </c>
      <c r="F25" s="45">
        <f>AVERAGE(D25:E25)</f>
        <v>72.31</v>
      </c>
      <c r="G25" s="45">
        <v>1.8</v>
      </c>
      <c r="H25" s="70">
        <f>G25/F25</f>
        <v>2.4892822569492462E-2</v>
      </c>
    </row>
    <row r="26" spans="1:11" x14ac:dyDescent="0.25">
      <c r="C26" s="73">
        <v>42705</v>
      </c>
      <c r="D26" s="46">
        <v>70.16</v>
      </c>
      <c r="E26" s="46">
        <v>74.73</v>
      </c>
      <c r="F26" s="46">
        <f>AVERAGE(D26:E26)</f>
        <v>72.444999999999993</v>
      </c>
      <c r="G26" s="46">
        <v>1.8</v>
      </c>
      <c r="H26" s="70">
        <f t="shared" ref="H26:H30" si="1">G26/F26</f>
        <v>2.4846435226723723E-2</v>
      </c>
      <c r="K26" s="284"/>
    </row>
    <row r="27" spans="1:11" x14ac:dyDescent="0.25">
      <c r="C27" s="73">
        <v>42736</v>
      </c>
      <c r="D27" s="46">
        <v>73.209999999999994</v>
      </c>
      <c r="E27" s="46">
        <v>76.180000000000007</v>
      </c>
      <c r="F27" s="46">
        <f t="shared" ref="F27:F30" si="2">AVERAGE(D27:E27)</f>
        <v>74.694999999999993</v>
      </c>
      <c r="G27" s="46">
        <v>1.8</v>
      </c>
      <c r="H27" s="70">
        <f t="shared" si="1"/>
        <v>2.4097998527344539E-2</v>
      </c>
      <c r="K27" s="284"/>
    </row>
    <row r="28" spans="1:11" x14ac:dyDescent="0.25">
      <c r="C28" s="73">
        <v>42767</v>
      </c>
      <c r="D28" s="46">
        <v>74.56</v>
      </c>
      <c r="E28" s="46">
        <v>78.290000000000006</v>
      </c>
      <c r="F28" s="46">
        <f t="shared" si="2"/>
        <v>76.425000000000011</v>
      </c>
      <c r="G28" s="46">
        <v>1.8</v>
      </c>
      <c r="H28" s="70">
        <f t="shared" si="1"/>
        <v>2.3552502453385669E-2</v>
      </c>
      <c r="K28" s="284"/>
    </row>
    <row r="29" spans="1:11" x14ac:dyDescent="0.25">
      <c r="C29" s="73">
        <v>42795</v>
      </c>
      <c r="D29" s="46">
        <v>76.25</v>
      </c>
      <c r="E29" s="46">
        <v>80.400000000000006</v>
      </c>
      <c r="F29" s="46">
        <f t="shared" si="2"/>
        <v>78.325000000000003</v>
      </c>
      <c r="G29" s="46">
        <v>1.8</v>
      </c>
      <c r="H29" s="70">
        <f t="shared" si="1"/>
        <v>2.2981168209383975E-2</v>
      </c>
      <c r="K29" s="284"/>
    </row>
    <row r="30" spans="1:11" x14ac:dyDescent="0.25">
      <c r="C30" s="73">
        <v>42826</v>
      </c>
      <c r="D30" s="46">
        <v>78.900000000000006</v>
      </c>
      <c r="E30" s="46">
        <v>81.400000000000006</v>
      </c>
      <c r="F30" s="46">
        <f t="shared" si="2"/>
        <v>80.150000000000006</v>
      </c>
      <c r="G30" s="46">
        <v>1.8</v>
      </c>
      <c r="H30" s="71">
        <f t="shared" si="1"/>
        <v>2.2457891453524639E-2</v>
      </c>
      <c r="K30" s="284"/>
    </row>
    <row r="31" spans="1:11" x14ac:dyDescent="0.25">
      <c r="D31" s="46"/>
      <c r="E31" s="46"/>
      <c r="H31" s="72">
        <f>AVERAGE(H25:H30)</f>
        <v>2.3804803073309167E-2</v>
      </c>
      <c r="K31" s="284"/>
    </row>
    <row r="32" spans="1:11" x14ac:dyDescent="0.25">
      <c r="D32" s="46"/>
      <c r="E32" s="46"/>
    </row>
    <row r="33" spans="1:8" x14ac:dyDescent="0.25">
      <c r="A33" s="23" t="s">
        <v>175</v>
      </c>
      <c r="B33" s="60" t="s">
        <v>20</v>
      </c>
      <c r="C33" s="73">
        <f t="shared" ref="C33:C38" si="3">C25</f>
        <v>42675</v>
      </c>
      <c r="D33" s="45">
        <v>32.25</v>
      </c>
      <c r="E33" s="45">
        <v>35.299999999999997</v>
      </c>
      <c r="F33" s="45">
        <f>AVERAGE(D33:E33)</f>
        <v>33.774999999999999</v>
      </c>
      <c r="G33" s="45">
        <v>1.02</v>
      </c>
      <c r="H33" s="26">
        <f>G33/F33</f>
        <v>3.0199851961509993E-2</v>
      </c>
    </row>
    <row r="34" spans="1:8" x14ac:dyDescent="0.25">
      <c r="C34" s="73">
        <f t="shared" si="3"/>
        <v>42705</v>
      </c>
      <c r="D34" s="46">
        <v>33.950000000000003</v>
      </c>
      <c r="E34" s="46">
        <v>37</v>
      </c>
      <c r="F34" s="46">
        <f t="shared" ref="F34:F38" si="4">AVERAGE(D34:E34)</f>
        <v>35.475000000000001</v>
      </c>
      <c r="G34" s="46">
        <v>1.02</v>
      </c>
      <c r="H34" s="26">
        <f t="shared" ref="H34:H38" si="5">G34/F34</f>
        <v>2.8752642706131079E-2</v>
      </c>
    </row>
    <row r="35" spans="1:8" x14ac:dyDescent="0.25">
      <c r="C35" s="73">
        <f t="shared" si="3"/>
        <v>42736</v>
      </c>
      <c r="D35" s="46">
        <v>34.25</v>
      </c>
      <c r="E35" s="46">
        <v>37.700000000000003</v>
      </c>
      <c r="F35" s="46">
        <f t="shared" si="4"/>
        <v>35.975000000000001</v>
      </c>
      <c r="G35" s="46">
        <v>1.02</v>
      </c>
      <c r="H35" s="26">
        <f t="shared" si="5"/>
        <v>2.8353022932592079E-2</v>
      </c>
    </row>
    <row r="36" spans="1:8" x14ac:dyDescent="0.25">
      <c r="C36" s="73">
        <f t="shared" si="3"/>
        <v>42767</v>
      </c>
      <c r="D36" s="46">
        <v>37.1</v>
      </c>
      <c r="E36" s="46">
        <v>39.5</v>
      </c>
      <c r="F36" s="46">
        <f t="shared" si="4"/>
        <v>38.299999999999997</v>
      </c>
      <c r="G36" s="46">
        <v>1.02</v>
      </c>
      <c r="H36" s="26">
        <f t="shared" si="5"/>
        <v>2.6631853785900786E-2</v>
      </c>
    </row>
    <row r="37" spans="1:8" x14ac:dyDescent="0.25">
      <c r="C37" s="73">
        <f t="shared" si="3"/>
        <v>42795</v>
      </c>
      <c r="D37" s="46">
        <v>37.85</v>
      </c>
      <c r="E37" s="46">
        <v>39.75</v>
      </c>
      <c r="F37" s="46">
        <f t="shared" si="4"/>
        <v>38.799999999999997</v>
      </c>
      <c r="G37" s="46">
        <v>1.02</v>
      </c>
      <c r="H37" s="26">
        <f t="shared" si="5"/>
        <v>2.6288659793814437E-2</v>
      </c>
    </row>
    <row r="38" spans="1:8" x14ac:dyDescent="0.25">
      <c r="C38" s="73">
        <f t="shared" si="3"/>
        <v>42826</v>
      </c>
      <c r="D38" s="46">
        <v>39.15</v>
      </c>
      <c r="E38" s="46">
        <v>40.950000000000003</v>
      </c>
      <c r="F38" s="46">
        <f t="shared" si="4"/>
        <v>40.049999999999997</v>
      </c>
      <c r="G38" s="46">
        <v>1.02</v>
      </c>
      <c r="H38" s="71">
        <f t="shared" si="5"/>
        <v>2.5468164794007493E-2</v>
      </c>
    </row>
    <row r="39" spans="1:8" x14ac:dyDescent="0.25">
      <c r="D39" s="46"/>
      <c r="E39" s="46"/>
      <c r="H39" s="72">
        <f>AVERAGE(H33:H38)</f>
        <v>2.7615699328992643E-2</v>
      </c>
    </row>
    <row r="40" spans="1:8" x14ac:dyDescent="0.25">
      <c r="D40" s="46"/>
      <c r="E40" s="46"/>
      <c r="H40" s="72"/>
    </row>
    <row r="41" spans="1:8" x14ac:dyDescent="0.25">
      <c r="A41" s="23" t="s">
        <v>63</v>
      </c>
      <c r="B41" s="60" t="s">
        <v>780</v>
      </c>
      <c r="C41" s="73">
        <f t="shared" ref="C41:C46" si="6">C25</f>
        <v>42675</v>
      </c>
      <c r="D41" s="45">
        <v>21.41</v>
      </c>
      <c r="E41" s="45">
        <v>22.58</v>
      </c>
      <c r="F41" s="45">
        <f>AVERAGE(D41:E41)</f>
        <v>21.994999999999997</v>
      </c>
      <c r="G41" s="45">
        <v>0.66</v>
      </c>
      <c r="H41" s="26">
        <f>G41/F41</f>
        <v>3.0006819731757221E-2</v>
      </c>
    </row>
    <row r="42" spans="1:8" x14ac:dyDescent="0.25">
      <c r="C42" s="73">
        <f t="shared" si="6"/>
        <v>42705</v>
      </c>
      <c r="D42" s="46">
        <v>21.47</v>
      </c>
      <c r="E42" s="46">
        <v>22.43</v>
      </c>
      <c r="F42" s="46">
        <f t="shared" ref="F42:F45" si="7">AVERAGE(D42:E42)</f>
        <v>21.95</v>
      </c>
      <c r="G42" s="46">
        <v>0.66</v>
      </c>
      <c r="H42" s="26">
        <f t="shared" ref="H42:H45" si="8">G42/F42</f>
        <v>3.0068337129840549E-2</v>
      </c>
    </row>
    <row r="43" spans="1:8" x14ac:dyDescent="0.25">
      <c r="C43" s="73">
        <f t="shared" si="6"/>
        <v>42736</v>
      </c>
      <c r="D43" s="46">
        <v>21.84</v>
      </c>
      <c r="E43" s="46">
        <v>22.68</v>
      </c>
      <c r="F43" s="46">
        <f t="shared" si="7"/>
        <v>22.259999999999998</v>
      </c>
      <c r="G43" s="46">
        <v>0.66</v>
      </c>
      <c r="H43" s="26">
        <f t="shared" si="8"/>
        <v>2.964959568733154E-2</v>
      </c>
    </row>
    <row r="44" spans="1:8" x14ac:dyDescent="0.25">
      <c r="C44" s="73">
        <f t="shared" si="6"/>
        <v>42767</v>
      </c>
      <c r="D44" s="46">
        <v>21.98</v>
      </c>
      <c r="E44" s="46">
        <v>24.01</v>
      </c>
      <c r="F44" s="46">
        <f t="shared" si="7"/>
        <v>22.995000000000001</v>
      </c>
      <c r="G44" s="46">
        <v>0.7</v>
      </c>
      <c r="H44" s="26">
        <f t="shared" si="8"/>
        <v>3.0441400304414001E-2</v>
      </c>
    </row>
    <row r="45" spans="1:8" x14ac:dyDescent="0.25">
      <c r="C45" s="73">
        <f t="shared" si="6"/>
        <v>42795</v>
      </c>
      <c r="D45" s="46">
        <v>22.99</v>
      </c>
      <c r="E45" s="46">
        <v>24.09</v>
      </c>
      <c r="F45" s="46">
        <f t="shared" si="7"/>
        <v>23.54</v>
      </c>
      <c r="G45" s="46">
        <v>0.7</v>
      </c>
      <c r="H45" s="26">
        <f t="shared" si="8"/>
        <v>2.9736618521665249E-2</v>
      </c>
    </row>
    <row r="46" spans="1:8" x14ac:dyDescent="0.25">
      <c r="C46" s="73">
        <f t="shared" si="6"/>
        <v>42826</v>
      </c>
      <c r="D46" s="46">
        <v>23.66</v>
      </c>
      <c r="E46" s="46">
        <v>24.43</v>
      </c>
      <c r="F46" s="46">
        <f>AVERAGE(D46:E46)</f>
        <v>24.045000000000002</v>
      </c>
      <c r="G46" s="46">
        <v>0.7</v>
      </c>
      <c r="H46" s="71">
        <f>G46/F46</f>
        <v>2.9112081513828235E-2</v>
      </c>
    </row>
    <row r="47" spans="1:8" x14ac:dyDescent="0.25">
      <c r="D47" s="46"/>
      <c r="E47" s="46"/>
      <c r="H47" s="72">
        <f>AVERAGE(H41:H46)</f>
        <v>2.9835808814806134E-2</v>
      </c>
    </row>
    <row r="48" spans="1:8" x14ac:dyDescent="0.25">
      <c r="D48" s="46"/>
      <c r="E48" s="46"/>
    </row>
    <row r="49" spans="1:8" x14ac:dyDescent="0.25">
      <c r="A49" s="23" t="s">
        <v>106</v>
      </c>
      <c r="B49" s="60" t="s">
        <v>10</v>
      </c>
      <c r="C49" s="73">
        <f t="shared" ref="C49:C54" si="9">C25</f>
        <v>42675</v>
      </c>
      <c r="D49" s="45">
        <v>54.85</v>
      </c>
      <c r="E49" s="45">
        <v>59.65</v>
      </c>
      <c r="F49" s="45">
        <f>AVERAGE(D49:E49)</f>
        <v>57.25</v>
      </c>
      <c r="G49" s="45">
        <v>1.88</v>
      </c>
      <c r="H49" s="26">
        <f>G49/F49</f>
        <v>3.2838427947598253E-2</v>
      </c>
    </row>
    <row r="50" spans="1:8" x14ac:dyDescent="0.25">
      <c r="C50" s="73">
        <f t="shared" si="9"/>
        <v>42705</v>
      </c>
      <c r="D50" s="46">
        <v>56</v>
      </c>
      <c r="E50" s="46">
        <v>61.5</v>
      </c>
      <c r="F50" s="46">
        <f t="shared" ref="F50:F54" si="10">AVERAGE(D50:E50)</f>
        <v>58.75</v>
      </c>
      <c r="G50" s="46">
        <v>1.88</v>
      </c>
      <c r="H50" s="26">
        <f t="shared" ref="H50:H54" si="11">G50/F50</f>
        <v>3.2000000000000001E-2</v>
      </c>
    </row>
    <row r="51" spans="1:8" x14ac:dyDescent="0.25">
      <c r="C51" s="73">
        <f t="shared" si="9"/>
        <v>42736</v>
      </c>
      <c r="D51" s="46">
        <v>57.65</v>
      </c>
      <c r="E51" s="46">
        <v>60.55</v>
      </c>
      <c r="F51" s="46">
        <f t="shared" si="10"/>
        <v>59.099999999999994</v>
      </c>
      <c r="G51" s="46">
        <v>1.88</v>
      </c>
      <c r="H51" s="26">
        <f t="shared" si="11"/>
        <v>3.1810490693739424E-2</v>
      </c>
    </row>
    <row r="52" spans="1:8" x14ac:dyDescent="0.25">
      <c r="C52" s="73">
        <f t="shared" si="9"/>
        <v>42767</v>
      </c>
      <c r="D52" s="46">
        <v>57.45</v>
      </c>
      <c r="E52" s="46">
        <v>61.4</v>
      </c>
      <c r="F52" s="46">
        <f t="shared" si="10"/>
        <v>59.424999999999997</v>
      </c>
      <c r="G52" s="46">
        <v>1.88</v>
      </c>
      <c r="H52" s="26">
        <f t="shared" si="11"/>
        <v>3.1636516617585188E-2</v>
      </c>
    </row>
    <row r="53" spans="1:8" x14ac:dyDescent="0.25">
      <c r="C53" s="73">
        <f t="shared" si="9"/>
        <v>42795</v>
      </c>
      <c r="D53" s="46">
        <v>56.85</v>
      </c>
      <c r="E53" s="46">
        <v>60.9</v>
      </c>
      <c r="F53" s="46">
        <f t="shared" si="10"/>
        <v>58.875</v>
      </c>
      <c r="G53" s="46">
        <v>1.88</v>
      </c>
      <c r="H53" s="26">
        <f t="shared" si="11"/>
        <v>3.1932059447983011E-2</v>
      </c>
    </row>
    <row r="54" spans="1:8" x14ac:dyDescent="0.25">
      <c r="C54" s="73">
        <f t="shared" si="9"/>
        <v>42826</v>
      </c>
      <c r="D54" s="46">
        <v>58.5</v>
      </c>
      <c r="E54" s="46">
        <v>60.5</v>
      </c>
      <c r="F54" s="46">
        <f t="shared" si="10"/>
        <v>59.5</v>
      </c>
      <c r="G54" s="46">
        <v>1.88</v>
      </c>
      <c r="H54" s="71">
        <f t="shared" si="11"/>
        <v>3.1596638655462181E-2</v>
      </c>
    </row>
    <row r="55" spans="1:8" x14ac:dyDescent="0.25">
      <c r="D55" s="46"/>
      <c r="E55" s="46"/>
      <c r="H55" s="72">
        <f>AVERAGE(H49:H54)</f>
        <v>3.1969022227061349E-2</v>
      </c>
    </row>
    <row r="56" spans="1:8" x14ac:dyDescent="0.25">
      <c r="D56" s="46"/>
      <c r="E56" s="46"/>
    </row>
    <row r="57" spans="1:8" x14ac:dyDescent="0.25">
      <c r="A57" s="23" t="s">
        <v>136</v>
      </c>
      <c r="B57" s="60" t="s">
        <v>137</v>
      </c>
      <c r="C57" s="73">
        <f t="shared" ref="C57:C62" si="12">C25</f>
        <v>42675</v>
      </c>
      <c r="D57" s="45">
        <v>28.22</v>
      </c>
      <c r="E57" s="45">
        <v>33.85</v>
      </c>
      <c r="F57" s="45">
        <f>AVERAGE(D57:E57)</f>
        <v>31.035</v>
      </c>
      <c r="G57" s="45">
        <v>1.0549999999999999</v>
      </c>
      <c r="H57" s="26">
        <f>G57/F57</f>
        <v>3.399387787981311E-2</v>
      </c>
    </row>
    <row r="58" spans="1:8" x14ac:dyDescent="0.25">
      <c r="C58" s="73">
        <f t="shared" si="12"/>
        <v>42705</v>
      </c>
      <c r="D58" s="46">
        <v>32.700000000000003</v>
      </c>
      <c r="E58" s="46">
        <v>34.68</v>
      </c>
      <c r="F58" s="46">
        <f t="shared" ref="F58:F62" si="13">AVERAGE(D58:E58)</f>
        <v>33.69</v>
      </c>
      <c r="G58" s="46">
        <v>1.0900000000000001</v>
      </c>
      <c r="H58" s="26">
        <f t="shared" ref="H58:H62" si="14">G58/F58</f>
        <v>3.2353814188186412E-2</v>
      </c>
    </row>
    <row r="59" spans="1:8" x14ac:dyDescent="0.25">
      <c r="C59" s="73">
        <f t="shared" si="12"/>
        <v>42736</v>
      </c>
      <c r="D59" s="46">
        <v>31.5</v>
      </c>
      <c r="E59" s="46">
        <v>34.21</v>
      </c>
      <c r="F59" s="46">
        <f>AVERAGE(D59:E59)</f>
        <v>32.855000000000004</v>
      </c>
      <c r="G59" s="46">
        <v>1.0900000000000001</v>
      </c>
      <c r="H59" s="26">
        <f t="shared" si="14"/>
        <v>3.3176076700654387E-2</v>
      </c>
    </row>
    <row r="60" spans="1:8" x14ac:dyDescent="0.25">
      <c r="C60" s="73">
        <f t="shared" si="12"/>
        <v>42767</v>
      </c>
      <c r="D60" s="46">
        <v>32.520000000000003</v>
      </c>
      <c r="E60" s="46">
        <v>35.020000000000003</v>
      </c>
      <c r="F60" s="46">
        <f t="shared" si="13"/>
        <v>33.770000000000003</v>
      </c>
      <c r="G60" s="46">
        <v>1.0900000000000001</v>
      </c>
      <c r="H60" s="26">
        <f t="shared" si="14"/>
        <v>3.2277169084986672E-2</v>
      </c>
    </row>
    <row r="61" spans="1:8" x14ac:dyDescent="0.25">
      <c r="C61" s="73">
        <f t="shared" si="12"/>
        <v>42795</v>
      </c>
      <c r="D61" s="46">
        <v>32.93</v>
      </c>
      <c r="E61" s="46">
        <v>35.75</v>
      </c>
      <c r="F61" s="46">
        <f t="shared" si="13"/>
        <v>34.340000000000003</v>
      </c>
      <c r="G61" s="46">
        <v>1.0900000000000001</v>
      </c>
      <c r="H61" s="26">
        <f t="shared" si="14"/>
        <v>3.1741409435061152E-2</v>
      </c>
    </row>
    <row r="62" spans="1:8" x14ac:dyDescent="0.25">
      <c r="C62" s="73">
        <f t="shared" si="12"/>
        <v>42826</v>
      </c>
      <c r="D62" s="46">
        <v>35.35</v>
      </c>
      <c r="E62" s="46">
        <v>38.119999999999997</v>
      </c>
      <c r="F62" s="46">
        <f t="shared" si="13"/>
        <v>36.734999999999999</v>
      </c>
      <c r="G62" s="46">
        <v>1.0900000000000001</v>
      </c>
      <c r="H62" s="71">
        <f t="shared" si="14"/>
        <v>2.967197495576426E-2</v>
      </c>
    </row>
    <row r="63" spans="1:8" x14ac:dyDescent="0.25">
      <c r="D63" s="46"/>
      <c r="E63" s="46"/>
      <c r="H63" s="72">
        <f>AVERAGE(H57:H62)</f>
        <v>3.2202387040744331E-2</v>
      </c>
    </row>
    <row r="64" spans="1:8" x14ac:dyDescent="0.25">
      <c r="D64" s="46"/>
      <c r="E64" s="46"/>
    </row>
    <row r="65" spans="1:8" x14ac:dyDescent="0.25">
      <c r="A65" s="23" t="s">
        <v>176</v>
      </c>
      <c r="B65" s="60" t="s">
        <v>23</v>
      </c>
      <c r="C65" s="73">
        <f t="shared" ref="C65:C70" si="15">C25</f>
        <v>42675</v>
      </c>
      <c r="D65" s="45">
        <v>70.47</v>
      </c>
      <c r="E65" s="45">
        <v>76.2</v>
      </c>
      <c r="F65" s="45">
        <f>AVERAGE(D65:E65)</f>
        <v>73.335000000000008</v>
      </c>
      <c r="G65" s="45">
        <v>1.8</v>
      </c>
      <c r="H65" s="26">
        <f>G65/F65</f>
        <v>2.4544896706893023E-2</v>
      </c>
    </row>
    <row r="66" spans="1:8" x14ac:dyDescent="0.25">
      <c r="C66" s="73">
        <f t="shared" si="15"/>
        <v>42705</v>
      </c>
      <c r="D66" s="46">
        <v>73.33</v>
      </c>
      <c r="E66" s="46">
        <v>76.64</v>
      </c>
      <c r="F66" s="46">
        <f t="shared" ref="F66:F70" si="16">AVERAGE(D66:E66)</f>
        <v>74.984999999999999</v>
      </c>
      <c r="G66" s="46">
        <v>1.8</v>
      </c>
      <c r="H66" s="26">
        <f t="shared" ref="H66:H70" si="17">G66/F66</f>
        <v>2.400480096019204E-2</v>
      </c>
    </row>
    <row r="67" spans="1:8" x14ac:dyDescent="0.25">
      <c r="C67" s="73">
        <f t="shared" si="15"/>
        <v>42736</v>
      </c>
      <c r="D67" s="46">
        <v>76.02</v>
      </c>
      <c r="E67" s="46">
        <v>80.569999999999993</v>
      </c>
      <c r="F67" s="46">
        <f t="shared" si="16"/>
        <v>78.294999999999987</v>
      </c>
      <c r="G67" s="46">
        <v>1.8</v>
      </c>
      <c r="H67" s="26">
        <f t="shared" si="17"/>
        <v>2.298997381697427E-2</v>
      </c>
    </row>
    <row r="68" spans="1:8" x14ac:dyDescent="0.25">
      <c r="C68" s="73">
        <f t="shared" si="15"/>
        <v>42767</v>
      </c>
      <c r="D68" s="46">
        <v>78.930000000000007</v>
      </c>
      <c r="E68" s="46">
        <v>85.54</v>
      </c>
      <c r="F68" s="46">
        <f t="shared" si="16"/>
        <v>82.235000000000014</v>
      </c>
      <c r="G68" s="46">
        <v>1.8</v>
      </c>
      <c r="H68" s="26">
        <f t="shared" si="17"/>
        <v>2.1888490302182765E-2</v>
      </c>
    </row>
    <row r="69" spans="1:8" x14ac:dyDescent="0.25">
      <c r="C69" s="73">
        <f t="shared" si="15"/>
        <v>42795</v>
      </c>
      <c r="D69" s="46">
        <v>81.63</v>
      </c>
      <c r="E69" s="46">
        <v>86.27</v>
      </c>
      <c r="F69" s="46">
        <f t="shared" si="16"/>
        <v>83.949999999999989</v>
      </c>
      <c r="G69" s="46">
        <v>1.8</v>
      </c>
      <c r="H69" s="26">
        <f t="shared" si="17"/>
        <v>2.1441334127456822E-2</v>
      </c>
    </row>
    <row r="70" spans="1:8" x14ac:dyDescent="0.25">
      <c r="C70" s="73">
        <f t="shared" si="15"/>
        <v>42826</v>
      </c>
      <c r="D70" s="46">
        <v>83.13</v>
      </c>
      <c r="E70" s="46">
        <v>85.17</v>
      </c>
      <c r="F70" s="46">
        <f t="shared" si="16"/>
        <v>84.15</v>
      </c>
      <c r="G70" s="46">
        <v>1.8</v>
      </c>
      <c r="H70" s="71">
        <f t="shared" si="17"/>
        <v>2.1390374331550801E-2</v>
      </c>
    </row>
    <row r="71" spans="1:8" x14ac:dyDescent="0.25">
      <c r="D71" s="46"/>
      <c r="E71" s="46"/>
      <c r="H71" s="72">
        <f>AVERAGE(H65:H70)</f>
        <v>2.2709978374208285E-2</v>
      </c>
    </row>
    <row r="72" spans="1:8" x14ac:dyDescent="0.25">
      <c r="D72" s="46"/>
      <c r="E72" s="46"/>
      <c r="H72" s="72"/>
    </row>
    <row r="73" spans="1:8" x14ac:dyDescent="0.25">
      <c r="A73" s="23" t="s">
        <v>1119</v>
      </c>
      <c r="B73" s="60" t="s">
        <v>1120</v>
      </c>
      <c r="C73" s="73">
        <f t="shared" ref="C73:C78" si="18">C25</f>
        <v>42675</v>
      </c>
      <c r="D73" s="45">
        <v>60.75</v>
      </c>
      <c r="E73" s="45">
        <v>66.25</v>
      </c>
      <c r="F73" s="45">
        <f>AVERAGE(D73:E73)</f>
        <v>63.5</v>
      </c>
      <c r="G73" s="45">
        <v>1.96</v>
      </c>
      <c r="H73" s="26">
        <f>G73/F73</f>
        <v>3.0866141732283463E-2</v>
      </c>
    </row>
    <row r="74" spans="1:8" x14ac:dyDescent="0.25">
      <c r="C74" s="73">
        <f t="shared" si="18"/>
        <v>42705</v>
      </c>
      <c r="D74" s="46">
        <v>62.95</v>
      </c>
      <c r="E74" s="46">
        <v>65.05</v>
      </c>
      <c r="F74" s="46">
        <f>AVERAGE(D74:E74)</f>
        <v>64</v>
      </c>
      <c r="G74" s="46">
        <v>2.1</v>
      </c>
      <c r="H74" s="26">
        <f t="shared" ref="H74:H78" si="19">G74/F74</f>
        <v>3.2812500000000001E-2</v>
      </c>
    </row>
    <row r="75" spans="1:8" x14ac:dyDescent="0.25">
      <c r="C75" s="73">
        <f t="shared" si="18"/>
        <v>42736</v>
      </c>
      <c r="D75" s="46">
        <v>63.7</v>
      </c>
      <c r="E75" s="46">
        <v>65.599999999999994</v>
      </c>
      <c r="F75" s="46">
        <f t="shared" ref="F75:F78" si="20">AVERAGE(D75:E75)</f>
        <v>64.650000000000006</v>
      </c>
      <c r="G75" s="46">
        <v>2.1</v>
      </c>
      <c r="H75" s="26">
        <f t="shared" si="19"/>
        <v>3.248259860788863E-2</v>
      </c>
    </row>
    <row r="76" spans="1:8" x14ac:dyDescent="0.25">
      <c r="C76" s="73">
        <f t="shared" si="18"/>
        <v>42767</v>
      </c>
      <c r="D76" s="46">
        <v>62.6</v>
      </c>
      <c r="E76" s="46">
        <v>66.099999999999994</v>
      </c>
      <c r="F76" s="46">
        <f t="shared" si="20"/>
        <v>64.349999999999994</v>
      </c>
      <c r="G76" s="46">
        <v>2.1</v>
      </c>
      <c r="H76" s="26">
        <f t="shared" si="19"/>
        <v>3.2634032634032639E-2</v>
      </c>
    </row>
    <row r="77" spans="1:8" x14ac:dyDescent="0.25">
      <c r="C77" s="73">
        <f t="shared" si="18"/>
        <v>42795</v>
      </c>
      <c r="D77" s="46">
        <v>63.9</v>
      </c>
      <c r="E77" s="46">
        <v>67.5</v>
      </c>
      <c r="F77" s="46">
        <f t="shared" si="20"/>
        <v>65.7</v>
      </c>
      <c r="G77" s="46">
        <v>2.1</v>
      </c>
      <c r="H77" s="26">
        <f t="shared" si="19"/>
        <v>3.1963470319634701E-2</v>
      </c>
    </row>
    <row r="78" spans="1:8" x14ac:dyDescent="0.25">
      <c r="C78" s="73">
        <f t="shared" si="18"/>
        <v>42826</v>
      </c>
      <c r="D78" s="46">
        <v>67.400000000000006</v>
      </c>
      <c r="E78" s="46">
        <v>69.8</v>
      </c>
      <c r="F78" s="46">
        <f t="shared" si="20"/>
        <v>68.599999999999994</v>
      </c>
      <c r="G78" s="46">
        <v>2.1</v>
      </c>
      <c r="H78" s="71">
        <f t="shared" si="19"/>
        <v>3.0612244897959186E-2</v>
      </c>
    </row>
    <row r="79" spans="1:8" x14ac:dyDescent="0.25">
      <c r="D79" s="46"/>
      <c r="E79" s="46"/>
      <c r="H79" s="72">
        <f>AVERAGE(H73:H78)</f>
        <v>3.1895164698633106E-2</v>
      </c>
    </row>
    <row r="80" spans="1:8" x14ac:dyDescent="0.25">
      <c r="D80" s="46"/>
      <c r="E80" s="46"/>
    </row>
    <row r="81" spans="1:1" x14ac:dyDescent="0.25">
      <c r="A81" s="23" t="s">
        <v>165</v>
      </c>
    </row>
  </sheetData>
  <sortState ref="A11:H17">
    <sortCondition ref="A11"/>
  </sortState>
  <phoneticPr fontId="0" type="noConversion"/>
  <printOptions horizontalCentered="1"/>
  <pageMargins left="0.25" right="0.25" top="0.75" bottom="0.62" header="0.3" footer="0.3"/>
  <pageSetup scale="55" orientation="portrait" useFirstPageNumber="1" r:id="rId1"/>
  <headerFooter alignWithMargins="0">
    <oddHeader>&amp;R&amp;K000000Docket No. UG-17____
Cascade Natural Gas Corp.
Exhibit No.___(JSG-2)
Schedule 4
Page &amp;P of 6</oddHeader>
  </headerFooter>
  <ignoredErrors>
    <ignoredError sqref="F25 F26:F30"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46"/>
  <sheetViews>
    <sheetView view="pageBreakPreview" zoomScaleNormal="100" zoomScaleSheetLayoutView="100" workbookViewId="0">
      <selection activeCell="E3" sqref="E3"/>
    </sheetView>
  </sheetViews>
  <sheetFormatPr defaultRowHeight="15.75" x14ac:dyDescent="0.25"/>
  <cols>
    <col min="1" max="1" width="30.625" customWidth="1"/>
    <col min="2" max="5" width="15.625" customWidth="1"/>
  </cols>
  <sheetData>
    <row r="1" spans="1:7" ht="20.25" x14ac:dyDescent="0.3">
      <c r="A1" s="24" t="s">
        <v>1105</v>
      </c>
      <c r="B1" s="1"/>
      <c r="C1" s="1"/>
      <c r="D1" s="1"/>
      <c r="E1" s="1"/>
      <c r="F1" s="52"/>
      <c r="G1" s="52"/>
    </row>
    <row r="3" spans="1:7" ht="18.75" x14ac:dyDescent="0.3">
      <c r="A3" s="8" t="s">
        <v>32</v>
      </c>
      <c r="B3" s="1"/>
      <c r="C3" s="1"/>
      <c r="D3" s="1"/>
      <c r="E3" s="1"/>
    </row>
    <row r="4" spans="1:7" ht="18.75" x14ac:dyDescent="0.3">
      <c r="A4" s="25" t="s">
        <v>1038</v>
      </c>
      <c r="B4" s="1"/>
      <c r="C4" s="1"/>
      <c r="D4" s="1"/>
      <c r="E4" s="1"/>
    </row>
    <row r="5" spans="1:7" ht="16.5" thickBot="1" x14ac:dyDescent="0.3"/>
    <row r="6" spans="1:7" x14ac:dyDescent="0.25">
      <c r="A6" s="31"/>
      <c r="B6" s="31"/>
      <c r="C6" s="56" t="s">
        <v>120</v>
      </c>
      <c r="D6" s="57" t="s">
        <v>120</v>
      </c>
      <c r="E6" s="31"/>
    </row>
    <row r="7" spans="1:7" ht="31.5" x14ac:dyDescent="0.25">
      <c r="A7" s="10" t="s">
        <v>132</v>
      </c>
      <c r="B7" s="10" t="s">
        <v>133</v>
      </c>
      <c r="C7" s="66" t="s">
        <v>1036</v>
      </c>
      <c r="D7" s="66" t="s">
        <v>1035</v>
      </c>
      <c r="E7" s="13" t="s">
        <v>43</v>
      </c>
      <c r="G7" s="27"/>
    </row>
    <row r="8" spans="1:7" x14ac:dyDescent="0.25">
      <c r="C8" s="29"/>
      <c r="D8" s="29"/>
    </row>
    <row r="9" spans="1:7" x14ac:dyDescent="0.25">
      <c r="A9" s="29" t="s">
        <v>111</v>
      </c>
      <c r="B9" s="49" t="s">
        <v>135</v>
      </c>
      <c r="C9" s="61">
        <v>7.0000000000000007E-2</v>
      </c>
      <c r="D9" s="61">
        <v>6.9000000000000006E-2</v>
      </c>
      <c r="E9" s="3">
        <f t="shared" ref="E9:E15" si="0">C9*(1/2)+D9*(1/2)</f>
        <v>6.9500000000000006E-2</v>
      </c>
      <c r="G9" s="17"/>
    </row>
    <row r="10" spans="1:7" x14ac:dyDescent="0.25">
      <c r="A10" s="23" t="s">
        <v>175</v>
      </c>
      <c r="B10" s="60" t="s">
        <v>20</v>
      </c>
      <c r="C10" s="26">
        <v>0.06</v>
      </c>
      <c r="D10" s="61">
        <v>0.06</v>
      </c>
      <c r="E10" s="3">
        <f t="shared" si="0"/>
        <v>0.06</v>
      </c>
      <c r="G10" s="28"/>
    </row>
    <row r="11" spans="1:7" s="52" customFormat="1" x14ac:dyDescent="0.25">
      <c r="A11" s="23" t="s">
        <v>63</v>
      </c>
      <c r="B11" s="60" t="s">
        <v>780</v>
      </c>
      <c r="C11" s="26">
        <v>6.2E-2</v>
      </c>
      <c r="D11" s="61">
        <v>0.08</v>
      </c>
      <c r="E11" s="3">
        <f t="shared" si="0"/>
        <v>7.1000000000000008E-2</v>
      </c>
      <c r="G11" s="28"/>
    </row>
    <row r="12" spans="1:7" s="52" customFormat="1" x14ac:dyDescent="0.25">
      <c r="A12" s="29" t="s">
        <v>106</v>
      </c>
      <c r="B12" s="49" t="s">
        <v>10</v>
      </c>
      <c r="C12" s="61">
        <v>4.2999999999999997E-2</v>
      </c>
      <c r="D12" s="61">
        <v>4.4999999999999998E-2</v>
      </c>
      <c r="E12" s="3">
        <f t="shared" si="0"/>
        <v>4.3999999999999997E-2</v>
      </c>
      <c r="G12" s="28"/>
    </row>
    <row r="13" spans="1:7" x14ac:dyDescent="0.25">
      <c r="A13" s="29" t="s">
        <v>136</v>
      </c>
      <c r="B13" s="49" t="s">
        <v>137</v>
      </c>
      <c r="C13" s="61">
        <v>0.1</v>
      </c>
      <c r="D13" s="61">
        <v>0.06</v>
      </c>
      <c r="E13" s="3">
        <f t="shared" si="0"/>
        <v>0.08</v>
      </c>
      <c r="G13" s="28"/>
    </row>
    <row r="14" spans="1:7" x14ac:dyDescent="0.25">
      <c r="A14" s="29" t="s">
        <v>176</v>
      </c>
      <c r="B14" s="49" t="s">
        <v>23</v>
      </c>
      <c r="C14" s="26">
        <v>0.05</v>
      </c>
      <c r="D14" s="61">
        <v>0.04</v>
      </c>
      <c r="E14" s="3">
        <f t="shared" si="0"/>
        <v>4.4999999999999998E-2</v>
      </c>
      <c r="G14" s="28"/>
    </row>
    <row r="15" spans="1:7" x14ac:dyDescent="0.25">
      <c r="A15" s="29" t="s">
        <v>1119</v>
      </c>
      <c r="B15" s="49" t="s">
        <v>1120</v>
      </c>
      <c r="C15" s="61">
        <v>4.1000000000000002E-2</v>
      </c>
      <c r="D15" s="61">
        <v>4.0500000000000001E-2</v>
      </c>
      <c r="E15" s="3">
        <f t="shared" si="0"/>
        <v>4.0750000000000001E-2</v>
      </c>
    </row>
    <row r="16" spans="1:7" s="17" customFormat="1" x14ac:dyDescent="0.25">
      <c r="B16" s="5"/>
      <c r="E16" s="3"/>
    </row>
    <row r="17" spans="1:7" x14ac:dyDescent="0.25">
      <c r="A17" s="2" t="s">
        <v>7</v>
      </c>
      <c r="C17" s="14">
        <f>AVERAGE(C9:C15)</f>
        <v>6.0857142857142846E-2</v>
      </c>
      <c r="D17" s="14">
        <f>AVERAGE(D9:D15)</f>
        <v>5.6357142857142849E-2</v>
      </c>
      <c r="E17" s="14">
        <f>AVERAGE(E9:E15)</f>
        <v>5.8607142857142858E-2</v>
      </c>
      <c r="G17" s="14"/>
    </row>
    <row r="18" spans="1:7" x14ac:dyDescent="0.25">
      <c r="A18" s="2" t="s">
        <v>1</v>
      </c>
      <c r="C18" s="14">
        <f>MEDIAN(C9:C15)</f>
        <v>0.06</v>
      </c>
      <c r="D18" s="14">
        <f>MEDIAN(D9:D15)</f>
        <v>0.06</v>
      </c>
      <c r="E18" s="14">
        <f>MEDIAN(E9:E15)</f>
        <v>0.06</v>
      </c>
      <c r="G18" s="14"/>
    </row>
    <row r="20" spans="1:7" x14ac:dyDescent="0.25">
      <c r="A20" s="29" t="s">
        <v>1329</v>
      </c>
    </row>
    <row r="46" spans="5:5" ht="17.25" x14ac:dyDescent="0.3">
      <c r="E46" s="74"/>
    </row>
  </sheetData>
  <phoneticPr fontId="0" type="noConversion"/>
  <printOptions horizontalCentered="1"/>
  <pageMargins left="0.7" right="0.7" top="1.25" bottom="0.75" header="0.3" footer="0.3"/>
  <pageSetup scale="90" firstPageNumber="2" orientation="portrait" useFirstPageNumber="1" r:id="rId1"/>
  <headerFooter alignWithMargins="0">
    <oddHeader>&amp;R&amp;K000000Docket No. UG-17____
Cascade Natural Gas Corp.
Exhibit No.___(JSG-2)
Schedule 4
Page &amp;P of 6</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AD6FECE5C8FA7409894934ACB0820DA" ma:contentTypeVersion="104" ma:contentTypeDescription="" ma:contentTypeScope="" ma:versionID="c44b8f85c254202c3ba016277588964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2017-07-31T07:00:00+00:00</OpenedDate>
    <Date1 xmlns="dc463f71-b30c-4ab2-9473-d307f9d35888">2017-07-31T07:00:00+00:00</Date1>
    <IsDocumentOrder xmlns="dc463f71-b30c-4ab2-9473-d307f9d35888" xsi:nil="true"/>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170855</DocketNumber>
    <DelegatedOrder xmlns="dc463f71-b30c-4ab2-9473-d307f9d35888">false</DelegatedOrder>
    <SignificantOrder xmlns="dc463f71-b30c-4ab2-9473-d307f9d35888">false</SignificantOrder>
  </documentManagement>
</p:properties>
</file>

<file path=customXml/itemProps1.xml><?xml version="1.0" encoding="utf-8"?>
<ds:datastoreItem xmlns:ds="http://schemas.openxmlformats.org/officeDocument/2006/customXml" ds:itemID="{A25139FE-3452-4147-B126-0DDAC6CFC38C}"/>
</file>

<file path=customXml/itemProps2.xml><?xml version="1.0" encoding="utf-8"?>
<ds:datastoreItem xmlns:ds="http://schemas.openxmlformats.org/officeDocument/2006/customXml" ds:itemID="{248C78CD-C3E3-46C5-B7E1-F37C36375BFE}"/>
</file>

<file path=customXml/itemProps3.xml><?xml version="1.0" encoding="utf-8"?>
<ds:datastoreItem xmlns:ds="http://schemas.openxmlformats.org/officeDocument/2006/customXml" ds:itemID="{AC5DCA32-9E14-4A4E-A13A-F774F83826B7}"/>
</file>

<file path=customXml/itemProps4.xml><?xml version="1.0" encoding="utf-8"?>
<ds:datastoreItem xmlns:ds="http://schemas.openxmlformats.org/officeDocument/2006/customXml" ds:itemID="{91C08273-059E-4CF1-B4CA-2437ED35B3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22</vt:i4>
      </vt:variant>
    </vt:vector>
  </HeadingPairs>
  <TitlesOfParts>
    <vt:vector size="41" baseType="lpstr">
      <vt:lpstr>Cover Page</vt:lpstr>
      <vt:lpstr>Sched 1 Econ Stats</vt:lpstr>
      <vt:lpstr>Sched 1 Bond Yields</vt:lpstr>
      <vt:lpstr>Sched 2 Flot Cost</vt:lpstr>
      <vt:lpstr>Sched 3 Size</vt:lpstr>
      <vt:lpstr>Sched 3 Credit Ratings</vt:lpstr>
      <vt:lpstr>Sched 4 Div Yld</vt:lpstr>
      <vt:lpstr>Sched 4 Earnings Growth</vt:lpstr>
      <vt:lpstr>Sched 4 Sust Growth</vt:lpstr>
      <vt:lpstr>Sched 4 Blended Growth</vt:lpstr>
      <vt:lpstr>Sched 4 DCF Basic</vt:lpstr>
      <vt:lpstr>Sched 4 DCF Blended</vt:lpstr>
      <vt:lpstr>Sched 5 Risk Premium</vt:lpstr>
      <vt:lpstr>Sched 6 Market DCF</vt:lpstr>
      <vt:lpstr>Sched 7 Beta</vt:lpstr>
      <vt:lpstr>Sched 8 CAPM </vt:lpstr>
      <vt:lpstr>Sched 8 CAPM Size Premium</vt:lpstr>
      <vt:lpstr>Sched 9 Decoupling</vt:lpstr>
      <vt:lpstr>Sched 10 Capital Structure</vt:lpstr>
      <vt:lpstr>'Sched 1 Bond Yields'!Print_Area</vt:lpstr>
      <vt:lpstr>'Sched 1 Econ Stats'!Print_Area</vt:lpstr>
      <vt:lpstr>'Sched 10 Capital Structure'!Print_Area</vt:lpstr>
      <vt:lpstr>'Sched 2 Flot Cost'!Print_Area</vt:lpstr>
      <vt:lpstr>'Sched 3 Credit Ratings'!Print_Area</vt:lpstr>
      <vt:lpstr>'Sched 3 Size'!Print_Area</vt:lpstr>
      <vt:lpstr>'Sched 4 Blended Growth'!Print_Area</vt:lpstr>
      <vt:lpstr>'Sched 4 DCF Basic'!Print_Area</vt:lpstr>
      <vt:lpstr>'Sched 4 DCF Blended'!Print_Area</vt:lpstr>
      <vt:lpstr>'Sched 4 Earnings Growth'!Print_Area</vt:lpstr>
      <vt:lpstr>'Sched 4 Sust Growth'!Print_Area</vt:lpstr>
      <vt:lpstr>'Sched 5 Risk Premium'!Print_Area</vt:lpstr>
      <vt:lpstr>'Sched 6 Market DCF'!Print_Area</vt:lpstr>
      <vt:lpstr>'Sched 7 Beta'!Print_Area</vt:lpstr>
      <vt:lpstr>'Sched 8 CAPM '!Print_Area</vt:lpstr>
      <vt:lpstr>'Sched 8 CAPM Size Premium'!Print_Area</vt:lpstr>
      <vt:lpstr>'Sched 9 Decoupling'!Print_Area</vt:lpstr>
      <vt:lpstr>'Sched 1 Bond Yields'!Print_Titles</vt:lpstr>
      <vt:lpstr>'Sched 2 Flot Cost'!Print_Titles</vt:lpstr>
      <vt:lpstr>'Sched 4 Div Yld'!Print_Titles</vt:lpstr>
      <vt:lpstr>'Sched 5 Risk Premium'!Print_Titles</vt:lpstr>
      <vt:lpstr>'Sched 6 Market DCF'!Print_Titles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Bogdonoff</dc:creator>
  <cp:lastModifiedBy>Cascade Natural Gas</cp:lastModifiedBy>
  <cp:lastPrinted>2017-07-27T17:37:29Z</cp:lastPrinted>
  <dcterms:created xsi:type="dcterms:W3CDTF">2001-03-12T15:25:16Z</dcterms:created>
  <dcterms:modified xsi:type="dcterms:W3CDTF">2017-07-27T17:37:39Z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{F26817B3-C12A-465D-8DA3-53F958B9D600}</vt:lpwstr>
  </property>
  <property fmtid="{D5CDD505-2E9C-101B-9397-08002B2CF9AE}" pid="3" name="ContentTypeId">
    <vt:lpwstr>0x0101006E56B4D1795A2E4DB2F0B01679ED314A006AD6FECE5C8FA7409894934ACB0820DA</vt:lpwstr>
  </property>
  <property fmtid="{D5CDD505-2E9C-101B-9397-08002B2CF9AE}" pid="4" name="_docset_NoMedatataSyncRequired">
    <vt:lpwstr>False</vt:lpwstr>
  </property>
  <property fmtid="{D5CDD505-2E9C-101B-9397-08002B2CF9AE}" pid="5" name="IsEFSEC">
    <vt:bool>false</vt:bool>
  </property>
</Properties>
</file>