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xl/comments5.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5450" windowHeight="11385"/>
  </bookViews>
  <sheets>
    <sheet name="WAID Act vs Budget savings" sheetId="12" r:id="rId1"/>
    <sheet name="WA-Sch91 Bal Projection" sheetId="21" state="hidden" r:id="rId2"/>
    <sheet name="WA-Sch91 Rider Balance" sheetId="9" r:id="rId3"/>
    <sheet name="WA-Sch91 Forecasted-Act Rev" sheetId="1" r:id="rId4"/>
    <sheet name="WA-Sch91 Budget-Act Exp" sheetId="10" r:id="rId5"/>
    <sheet name="WA-Sch191 Bal Projection " sheetId="22" state="hidden" r:id="rId6"/>
    <sheet name="WA-Sch191 Rider Balance" sheetId="3" r:id="rId7"/>
    <sheet name="WA-Sch191 Forecasted-Act Rev" sheetId="7" r:id="rId8"/>
    <sheet name="WA-Sch191 Budget-Act Exp " sheetId="11" r:id="rId9"/>
    <sheet name="ID-Sch91 Bal Projection " sheetId="23" state="hidden" r:id="rId10"/>
    <sheet name="ID-Sch91 Rider Balance" sheetId="2" r:id="rId11"/>
    <sheet name="ID-Sch91 Forecasted-Act Rev" sheetId="20" r:id="rId12"/>
    <sheet name="ID-Sch91 Budget-Act Exp" sheetId="19" r:id="rId13"/>
    <sheet name="ID-Sch191 Bal Projection" sheetId="24" state="hidden" r:id="rId14"/>
    <sheet name="ID-Sch191 Rider Balance" sheetId="4" r:id="rId15"/>
    <sheet name="ID-Sch191 Forecasted-Act Rev" sheetId="18" r:id="rId16"/>
    <sheet name="ID-Sch191 Budget-Act Exp" sheetId="14" r:id="rId17"/>
  </sheets>
  <definedNames>
    <definedName name="DSMFlag" localSheetId="12">'ID-Sch91 Budget-Act Exp'!$F$117</definedName>
    <definedName name="DSMFlag" localSheetId="11">'ID-Sch91 Forecasted-Act Rev'!$E$290</definedName>
    <definedName name="DSMFlag" localSheetId="8">'WA-Sch191 Budget-Act Exp '!$F$117</definedName>
    <definedName name="DSMFlag" localSheetId="4">'WA-Sch91 Budget-Act Exp'!$F$117</definedName>
    <definedName name="DSMFlag" localSheetId="2">'WA-Sch91 Rider Balance'!$F$35</definedName>
    <definedName name="DSMFlag">'WA-Sch91 Forecasted-Act Rev'!$E$286</definedName>
    <definedName name="_xlnm.Print_Area" localSheetId="15">'ID-Sch191 Forecasted-Act Rev'!$A$1:$N$62</definedName>
    <definedName name="_xlnm.Print_Area" localSheetId="11">'ID-Sch91 Forecasted-Act Rev'!$A$1:$N$86</definedName>
    <definedName name="_xlnm.Print_Area" localSheetId="7">'WA-Sch191 Forecasted-Act Rev'!$A$1:$N$66</definedName>
    <definedName name="_xlnm.Print_Area" localSheetId="4">'WA-Sch91 Budget-Act Exp'!$B$1:$O$113</definedName>
    <definedName name="_xlnm.Print_Area" localSheetId="3">'WA-Sch91 Forecasted-Act Rev'!$A$1:$N$90</definedName>
    <definedName name="_xlnm.Print_Titles" localSheetId="14">'ID-Sch191 Rider Balance'!$A:$B</definedName>
    <definedName name="_xlnm.Print_Titles" localSheetId="10">'ID-Sch91 Rider Balance'!$A:$B</definedName>
    <definedName name="_xlnm.Print_Titles" localSheetId="6">'WA-Sch191 Rider Balance'!$A:$B</definedName>
    <definedName name="_xlnm.Print_Titles" localSheetId="2">'WA-Sch91 Rider Balance'!$A:$B</definedName>
  </definedNames>
  <calcPr calcId="125725"/>
</workbook>
</file>

<file path=xl/calcChain.xml><?xml version="1.0" encoding="utf-8"?>
<calcChain xmlns="http://schemas.openxmlformats.org/spreadsheetml/2006/main">
  <c r="K62" i="20"/>
  <c r="K57"/>
  <c r="K58"/>
  <c r="M55" i="18" l="1"/>
  <c r="M54"/>
  <c r="M53"/>
  <c r="M52"/>
  <c r="M48"/>
  <c r="M46"/>
  <c r="M47"/>
  <c r="M17"/>
  <c r="M71" i="20"/>
  <c r="M70"/>
  <c r="M69"/>
  <c r="M68"/>
  <c r="M67"/>
  <c r="M66"/>
  <c r="M62"/>
  <c r="M28"/>
  <c r="M61"/>
  <c r="M60"/>
  <c r="M59"/>
  <c r="M58"/>
  <c r="M57"/>
  <c r="M56"/>
  <c r="L56"/>
  <c r="L57"/>
  <c r="L58"/>
  <c r="L60"/>
  <c r="L61"/>
  <c r="L62"/>
  <c r="K61"/>
  <c r="K60"/>
  <c r="K59"/>
  <c r="K56"/>
  <c r="M25"/>
  <c r="M24"/>
  <c r="M21"/>
  <c r="M20"/>
  <c r="M57" i="7"/>
  <c r="M56"/>
  <c r="M55"/>
  <c r="M54"/>
  <c r="M50"/>
  <c r="M49"/>
  <c r="M48"/>
  <c r="M47"/>
  <c r="M19"/>
  <c r="M18"/>
  <c r="M17"/>
  <c r="M58" i="1"/>
  <c r="M57"/>
  <c r="M56"/>
  <c r="M55"/>
  <c r="M54"/>
  <c r="M53"/>
  <c r="M26"/>
  <c r="M23" l="1"/>
  <c r="M22"/>
  <c r="M20"/>
  <c r="M19"/>
  <c r="O65" i="14"/>
  <c r="O64"/>
  <c r="O63"/>
  <c r="O62"/>
  <c r="O61"/>
  <c r="O60"/>
  <c r="O59"/>
  <c r="O55"/>
  <c r="O54"/>
  <c r="O53"/>
  <c r="O52"/>
  <c r="O51"/>
  <c r="O50"/>
  <c r="O49"/>
  <c r="O41"/>
  <c r="O40"/>
  <c r="O39"/>
  <c r="G31" i="12"/>
  <c r="G27"/>
  <c r="G22"/>
  <c r="G25"/>
  <c r="G20"/>
  <c r="L55" i="18"/>
  <c r="L54"/>
  <c r="L53"/>
  <c r="L52"/>
  <c r="K55"/>
  <c r="K54"/>
  <c r="K53"/>
  <c r="K52"/>
  <c r="L46" l="1"/>
  <c r="L28" i="20"/>
  <c r="L50" i="7"/>
  <c r="L49"/>
  <c r="L48"/>
  <c r="L47"/>
  <c r="L17" i="18" l="1"/>
  <c r="L25" i="20"/>
  <c r="L24"/>
  <c r="L22"/>
  <c r="L21"/>
  <c r="L20"/>
  <c r="L19" i="7"/>
  <c r="L18"/>
  <c r="L17"/>
  <c r="L26" i="1"/>
  <c r="L23"/>
  <c r="L22"/>
  <c r="L20"/>
  <c r="L19"/>
  <c r="K28" i="20"/>
  <c r="K50" i="7"/>
  <c r="K49"/>
  <c r="K48"/>
  <c r="K47"/>
  <c r="K26" i="1"/>
  <c r="N98" i="19" l="1"/>
  <c r="N97"/>
  <c r="N96"/>
  <c r="N95"/>
  <c r="N94"/>
  <c r="N93"/>
  <c r="N92"/>
  <c r="N88"/>
  <c r="N87"/>
  <c r="N86"/>
  <c r="N85"/>
  <c r="N84"/>
  <c r="N83"/>
  <c r="N82"/>
  <c r="N78"/>
  <c r="N77"/>
  <c r="N76"/>
  <c r="N75"/>
  <c r="N74"/>
  <c r="N73"/>
  <c r="N72"/>
  <c r="M98"/>
  <c r="M97"/>
  <c r="M96"/>
  <c r="M95"/>
  <c r="M94"/>
  <c r="M93"/>
  <c r="M92"/>
  <c r="M88"/>
  <c r="M87"/>
  <c r="M86"/>
  <c r="M85"/>
  <c r="M84"/>
  <c r="M83"/>
  <c r="M82"/>
  <c r="M78"/>
  <c r="M77"/>
  <c r="M76"/>
  <c r="M75"/>
  <c r="M74"/>
  <c r="M73"/>
  <c r="M72"/>
  <c r="L98"/>
  <c r="L97"/>
  <c r="L96"/>
  <c r="L95"/>
  <c r="L94"/>
  <c r="L93"/>
  <c r="L92"/>
  <c r="L88"/>
  <c r="L87"/>
  <c r="L86"/>
  <c r="L85"/>
  <c r="L84"/>
  <c r="L83"/>
  <c r="L82"/>
  <c r="L78"/>
  <c r="L77"/>
  <c r="L76"/>
  <c r="L75"/>
  <c r="L74"/>
  <c r="L73"/>
  <c r="L72"/>
  <c r="K101"/>
  <c r="K99"/>
  <c r="K98"/>
  <c r="K97"/>
  <c r="K96"/>
  <c r="K95"/>
  <c r="K94"/>
  <c r="K93"/>
  <c r="K92"/>
  <c r="K89"/>
  <c r="K88"/>
  <c r="K87"/>
  <c r="K86"/>
  <c r="K85"/>
  <c r="K84"/>
  <c r="K83"/>
  <c r="K82"/>
  <c r="K79"/>
  <c r="K78"/>
  <c r="K77"/>
  <c r="K76"/>
  <c r="K75"/>
  <c r="K74"/>
  <c r="K73"/>
  <c r="K72"/>
  <c r="K92" i="14"/>
  <c r="K74"/>
  <c r="K73"/>
  <c r="K72"/>
  <c r="K66"/>
  <c r="N98"/>
  <c r="M98"/>
  <c r="L98"/>
  <c r="K98"/>
  <c r="N97"/>
  <c r="M97"/>
  <c r="L97"/>
  <c r="K97"/>
  <c r="N96"/>
  <c r="M96"/>
  <c r="L96"/>
  <c r="K96"/>
  <c r="N95"/>
  <c r="M95"/>
  <c r="L95"/>
  <c r="K95"/>
  <c r="N94"/>
  <c r="M94"/>
  <c r="L94"/>
  <c r="K94"/>
  <c r="N93"/>
  <c r="M93"/>
  <c r="L93"/>
  <c r="K93"/>
  <c r="N92"/>
  <c r="M92"/>
  <c r="L92"/>
  <c r="N88"/>
  <c r="M88"/>
  <c r="L88"/>
  <c r="K88"/>
  <c r="N87"/>
  <c r="M87"/>
  <c r="L87"/>
  <c r="K87"/>
  <c r="N86"/>
  <c r="M86"/>
  <c r="L86"/>
  <c r="K86"/>
  <c r="N85"/>
  <c r="M85"/>
  <c r="L85"/>
  <c r="K85"/>
  <c r="N84"/>
  <c r="M84"/>
  <c r="L84"/>
  <c r="K84"/>
  <c r="N83"/>
  <c r="M83"/>
  <c r="L83"/>
  <c r="K83"/>
  <c r="N82"/>
  <c r="M82"/>
  <c r="L82"/>
  <c r="K82"/>
  <c r="N78"/>
  <c r="M78"/>
  <c r="L78"/>
  <c r="K78"/>
  <c r="N77"/>
  <c r="M77"/>
  <c r="L77"/>
  <c r="K77"/>
  <c r="N76"/>
  <c r="M76"/>
  <c r="L76"/>
  <c r="K76"/>
  <c r="N75"/>
  <c r="M75"/>
  <c r="L75"/>
  <c r="K75"/>
  <c r="N74"/>
  <c r="M74"/>
  <c r="L74"/>
  <c r="N73"/>
  <c r="M73"/>
  <c r="L73"/>
  <c r="N72"/>
  <c r="M72"/>
  <c r="L72"/>
  <c r="N98" i="11"/>
  <c r="N97"/>
  <c r="N96"/>
  <c r="N95"/>
  <c r="N94"/>
  <c r="N93"/>
  <c r="N92"/>
  <c r="N88"/>
  <c r="N87"/>
  <c r="N86"/>
  <c r="N85"/>
  <c r="N84"/>
  <c r="N83"/>
  <c r="N82"/>
  <c r="N78"/>
  <c r="N77"/>
  <c r="N76"/>
  <c r="N75"/>
  <c r="N74"/>
  <c r="N73"/>
  <c r="N72"/>
  <c r="M98"/>
  <c r="M97"/>
  <c r="M96"/>
  <c r="M95"/>
  <c r="M94"/>
  <c r="M93"/>
  <c r="M92"/>
  <c r="M88"/>
  <c r="M87"/>
  <c r="M86"/>
  <c r="M85"/>
  <c r="M84"/>
  <c r="M83"/>
  <c r="M82"/>
  <c r="M78"/>
  <c r="M77"/>
  <c r="M76"/>
  <c r="M75"/>
  <c r="M74"/>
  <c r="M73"/>
  <c r="M72"/>
  <c r="L98"/>
  <c r="L97"/>
  <c r="L96"/>
  <c r="L95"/>
  <c r="L94"/>
  <c r="L93"/>
  <c r="L92"/>
  <c r="L88"/>
  <c r="L87"/>
  <c r="L86"/>
  <c r="L85"/>
  <c r="L84"/>
  <c r="L83"/>
  <c r="L82"/>
  <c r="L78"/>
  <c r="L77"/>
  <c r="L76"/>
  <c r="L75"/>
  <c r="L74"/>
  <c r="L73"/>
  <c r="L72"/>
  <c r="K98"/>
  <c r="K97"/>
  <c r="K96"/>
  <c r="K95"/>
  <c r="K94"/>
  <c r="K93"/>
  <c r="K92"/>
  <c r="K88"/>
  <c r="K87"/>
  <c r="K86"/>
  <c r="K85"/>
  <c r="K84"/>
  <c r="K83"/>
  <c r="K82"/>
  <c r="K78"/>
  <c r="K77"/>
  <c r="K76"/>
  <c r="K75"/>
  <c r="K74"/>
  <c r="K73"/>
  <c r="K72"/>
  <c r="N98" i="10"/>
  <c r="N97"/>
  <c r="N96"/>
  <c r="N95"/>
  <c r="N94"/>
  <c r="N93"/>
  <c r="N92"/>
  <c r="N88"/>
  <c r="N87"/>
  <c r="N86"/>
  <c r="N85"/>
  <c r="N84"/>
  <c r="N83"/>
  <c r="N82"/>
  <c r="N78"/>
  <c r="N77"/>
  <c r="N76"/>
  <c r="N75"/>
  <c r="N74"/>
  <c r="N73"/>
  <c r="N72"/>
  <c r="M98"/>
  <c r="M97"/>
  <c r="M96"/>
  <c r="M95"/>
  <c r="M94"/>
  <c r="M93"/>
  <c r="M92"/>
  <c r="M88"/>
  <c r="M87"/>
  <c r="M86"/>
  <c r="M85"/>
  <c r="M84"/>
  <c r="M83"/>
  <c r="M82"/>
  <c r="M78"/>
  <c r="M77"/>
  <c r="M76"/>
  <c r="M75"/>
  <c r="M74"/>
  <c r="M73"/>
  <c r="M72"/>
  <c r="L98"/>
  <c r="L97"/>
  <c r="L96"/>
  <c r="L95"/>
  <c r="L94"/>
  <c r="L93"/>
  <c r="L92"/>
  <c r="L88"/>
  <c r="L87"/>
  <c r="L86"/>
  <c r="L85"/>
  <c r="L84"/>
  <c r="L83"/>
  <c r="L82"/>
  <c r="L78"/>
  <c r="L77"/>
  <c r="L76"/>
  <c r="L75"/>
  <c r="L74"/>
  <c r="L73"/>
  <c r="L72"/>
  <c r="K98"/>
  <c r="K97"/>
  <c r="K96"/>
  <c r="K95"/>
  <c r="K94"/>
  <c r="K93"/>
  <c r="K92"/>
  <c r="K88"/>
  <c r="K87"/>
  <c r="K86"/>
  <c r="K85"/>
  <c r="K84"/>
  <c r="K83"/>
  <c r="K82"/>
  <c r="K78"/>
  <c r="K77"/>
  <c r="K76"/>
  <c r="K75"/>
  <c r="K74"/>
  <c r="K73"/>
  <c r="K72"/>
  <c r="J55" i="18"/>
  <c r="J54"/>
  <c r="J53"/>
  <c r="J52"/>
  <c r="J48"/>
  <c r="J47"/>
  <c r="J46"/>
  <c r="J45"/>
  <c r="J62" i="20"/>
  <c r="J61"/>
  <c r="J60"/>
  <c r="J59"/>
  <c r="J58"/>
  <c r="J57"/>
  <c r="J56"/>
  <c r="J28"/>
  <c r="L57" i="7"/>
  <c r="L56"/>
  <c r="L55"/>
  <c r="L54"/>
  <c r="K57"/>
  <c r="K56"/>
  <c r="K55"/>
  <c r="K54"/>
  <c r="J57"/>
  <c r="J56"/>
  <c r="J55"/>
  <c r="J54"/>
  <c r="J50"/>
  <c r="J49"/>
  <c r="J48"/>
  <c r="J47"/>
  <c r="J26" i="1"/>
  <c r="I26"/>
  <c r="B5" i="24" l="1"/>
  <c r="B6" s="1"/>
  <c r="B12"/>
  <c r="B5" i="23"/>
  <c r="B6" s="1"/>
  <c r="B12"/>
  <c r="B5" i="22" l="1"/>
  <c r="B6" s="1"/>
  <c r="B12"/>
  <c r="B12" i="21"/>
  <c r="J98" i="14"/>
  <c r="J97"/>
  <c r="J96"/>
  <c r="J95"/>
  <c r="J94"/>
  <c r="J93"/>
  <c r="J92"/>
  <c r="J89"/>
  <c r="J88"/>
  <c r="J87"/>
  <c r="J86"/>
  <c r="J85"/>
  <c r="J84"/>
  <c r="J83"/>
  <c r="J82"/>
  <c r="J78"/>
  <c r="J77"/>
  <c r="J76"/>
  <c r="J75"/>
  <c r="J74"/>
  <c r="J73"/>
  <c r="J72"/>
  <c r="J99" i="19"/>
  <c r="J98"/>
  <c r="J97"/>
  <c r="J96"/>
  <c r="J95"/>
  <c r="J94"/>
  <c r="J93"/>
  <c r="J92"/>
  <c r="J89"/>
  <c r="J88"/>
  <c r="J87"/>
  <c r="J86"/>
  <c r="J85"/>
  <c r="J84"/>
  <c r="J83"/>
  <c r="J82"/>
  <c r="J78"/>
  <c r="J77"/>
  <c r="J76"/>
  <c r="J75"/>
  <c r="J74"/>
  <c r="J73"/>
  <c r="J72"/>
  <c r="G21" i="12"/>
  <c r="G23"/>
  <c r="G26"/>
  <c r="G28"/>
  <c r="J8" i="3" l="1"/>
  <c r="J101" i="11"/>
  <c r="J99"/>
  <c r="J98"/>
  <c r="J97"/>
  <c r="J96"/>
  <c r="J95"/>
  <c r="J94"/>
  <c r="J93"/>
  <c r="J92"/>
  <c r="J89"/>
  <c r="J88"/>
  <c r="J87"/>
  <c r="J86"/>
  <c r="J85"/>
  <c r="J84"/>
  <c r="J83"/>
  <c r="J82"/>
  <c r="J79"/>
  <c r="J78"/>
  <c r="J77"/>
  <c r="J76"/>
  <c r="J75"/>
  <c r="J74"/>
  <c r="J73"/>
  <c r="J72"/>
  <c r="J101" i="10"/>
  <c r="J99"/>
  <c r="J98"/>
  <c r="J97"/>
  <c r="J96"/>
  <c r="J95"/>
  <c r="J94"/>
  <c r="J93"/>
  <c r="J92"/>
  <c r="J89"/>
  <c r="J88"/>
  <c r="J87"/>
  <c r="J86"/>
  <c r="J85"/>
  <c r="J84"/>
  <c r="J83"/>
  <c r="J82"/>
  <c r="J79"/>
  <c r="J78"/>
  <c r="J77"/>
  <c r="J76"/>
  <c r="J75"/>
  <c r="J74"/>
  <c r="J73"/>
  <c r="J72"/>
  <c r="I55" i="18" l="1"/>
  <c r="I54"/>
  <c r="I53"/>
  <c r="I52"/>
  <c r="I48"/>
  <c r="I47"/>
  <c r="I46"/>
  <c r="I45"/>
  <c r="I62" i="20"/>
  <c r="I61"/>
  <c r="I60"/>
  <c r="I59"/>
  <c r="I58"/>
  <c r="I57"/>
  <c r="I56"/>
  <c r="I28"/>
  <c r="I56" i="7"/>
  <c r="I55"/>
  <c r="I54"/>
  <c r="I50"/>
  <c r="I57" s="1"/>
  <c r="I49"/>
  <c r="I48"/>
  <c r="I47"/>
  <c r="I98" i="14" l="1"/>
  <c r="I97"/>
  <c r="I96"/>
  <c r="I95"/>
  <c r="I94"/>
  <c r="I93"/>
  <c r="I92"/>
  <c r="I88"/>
  <c r="I87"/>
  <c r="I86"/>
  <c r="I85"/>
  <c r="I84"/>
  <c r="I83"/>
  <c r="I82"/>
  <c r="I78"/>
  <c r="I77"/>
  <c r="I76"/>
  <c r="I75"/>
  <c r="I74"/>
  <c r="I73"/>
  <c r="I72"/>
  <c r="I101" i="11"/>
  <c r="I99"/>
  <c r="I98"/>
  <c r="I97"/>
  <c r="I96"/>
  <c r="I95"/>
  <c r="I94"/>
  <c r="I93"/>
  <c r="I92"/>
  <c r="I89"/>
  <c r="I88"/>
  <c r="I87"/>
  <c r="I86"/>
  <c r="I85"/>
  <c r="I84"/>
  <c r="I83"/>
  <c r="I82"/>
  <c r="I79"/>
  <c r="I78"/>
  <c r="I77"/>
  <c r="I76"/>
  <c r="I75"/>
  <c r="I74"/>
  <c r="I73"/>
  <c r="I72"/>
  <c r="I101" i="19"/>
  <c r="I99"/>
  <c r="I98"/>
  <c r="I97"/>
  <c r="I96"/>
  <c r="I95"/>
  <c r="I94"/>
  <c r="I93"/>
  <c r="I92"/>
  <c r="I89"/>
  <c r="I88"/>
  <c r="I87"/>
  <c r="I86"/>
  <c r="I85"/>
  <c r="I84"/>
  <c r="I83"/>
  <c r="I82"/>
  <c r="I79"/>
  <c r="I78"/>
  <c r="I77"/>
  <c r="I76"/>
  <c r="I75"/>
  <c r="I74"/>
  <c r="I73"/>
  <c r="I72"/>
  <c r="I101" i="10"/>
  <c r="I99"/>
  <c r="I98"/>
  <c r="I97"/>
  <c r="I96"/>
  <c r="I95"/>
  <c r="I94"/>
  <c r="I93"/>
  <c r="I92"/>
  <c r="I89"/>
  <c r="I88"/>
  <c r="I87"/>
  <c r="I86"/>
  <c r="I85"/>
  <c r="I84"/>
  <c r="I83"/>
  <c r="I82"/>
  <c r="I79"/>
  <c r="I78"/>
  <c r="I77"/>
  <c r="I76"/>
  <c r="I75"/>
  <c r="I74"/>
  <c r="I73"/>
  <c r="I72"/>
  <c r="H55" i="18"/>
  <c r="H54"/>
  <c r="H53"/>
  <c r="H52"/>
  <c r="H48"/>
  <c r="H47"/>
  <c r="H46"/>
  <c r="H45"/>
  <c r="H62" i="20"/>
  <c r="H61"/>
  <c r="H60"/>
  <c r="H59"/>
  <c r="H58"/>
  <c r="H57"/>
  <c r="H56"/>
  <c r="H28"/>
  <c r="H57" i="7"/>
  <c r="H56"/>
  <c r="H55"/>
  <c r="H54"/>
  <c r="H50"/>
  <c r="H49"/>
  <c r="H48"/>
  <c r="H47"/>
  <c r="H26" i="1"/>
  <c r="H101" i="10" l="1"/>
  <c r="H99"/>
  <c r="H98"/>
  <c r="H97"/>
  <c r="H96"/>
  <c r="H95"/>
  <c r="H94"/>
  <c r="H93"/>
  <c r="H92"/>
  <c r="H89"/>
  <c r="H88"/>
  <c r="H87"/>
  <c r="H86"/>
  <c r="H85"/>
  <c r="H84"/>
  <c r="H83"/>
  <c r="H82"/>
  <c r="H79"/>
  <c r="H78"/>
  <c r="H77"/>
  <c r="H76"/>
  <c r="H75"/>
  <c r="H74"/>
  <c r="H73"/>
  <c r="H72"/>
  <c r="H98" i="14" l="1"/>
  <c r="H97"/>
  <c r="H96"/>
  <c r="H95"/>
  <c r="H94"/>
  <c r="H93"/>
  <c r="H92"/>
  <c r="H88"/>
  <c r="H87"/>
  <c r="H86"/>
  <c r="H85"/>
  <c r="H84"/>
  <c r="H83"/>
  <c r="H82"/>
  <c r="H78"/>
  <c r="H77"/>
  <c r="H76"/>
  <c r="H75"/>
  <c r="H74"/>
  <c r="H73"/>
  <c r="H72"/>
  <c r="H101" i="19"/>
  <c r="H99"/>
  <c r="H98"/>
  <c r="H97"/>
  <c r="H96"/>
  <c r="H95"/>
  <c r="H94"/>
  <c r="H93"/>
  <c r="H92"/>
  <c r="H89"/>
  <c r="H88"/>
  <c r="H87"/>
  <c r="H86"/>
  <c r="H85"/>
  <c r="H84"/>
  <c r="H83"/>
  <c r="H82"/>
  <c r="H79"/>
  <c r="H78"/>
  <c r="H77"/>
  <c r="H76"/>
  <c r="H75"/>
  <c r="H74"/>
  <c r="H73"/>
  <c r="H72"/>
  <c r="H101" i="11"/>
  <c r="H99"/>
  <c r="H98"/>
  <c r="H97"/>
  <c r="H96"/>
  <c r="H95"/>
  <c r="H94"/>
  <c r="H93"/>
  <c r="H92"/>
  <c r="H89"/>
  <c r="H88"/>
  <c r="H87"/>
  <c r="H86"/>
  <c r="H85"/>
  <c r="H84"/>
  <c r="H83"/>
  <c r="H82"/>
  <c r="H79"/>
  <c r="H78"/>
  <c r="H77"/>
  <c r="H76"/>
  <c r="H75"/>
  <c r="H74"/>
  <c r="H73"/>
  <c r="H72"/>
  <c r="G55" i="18"/>
  <c r="G54"/>
  <c r="G53"/>
  <c r="G52"/>
  <c r="G48"/>
  <c r="G47"/>
  <c r="G46"/>
  <c r="G45"/>
  <c r="G28" i="20"/>
  <c r="G62"/>
  <c r="F62"/>
  <c r="G61"/>
  <c r="G60"/>
  <c r="G59"/>
  <c r="G58"/>
  <c r="G57"/>
  <c r="G56"/>
  <c r="G57" i="7"/>
  <c r="G56"/>
  <c r="G55"/>
  <c r="G54"/>
  <c r="G50"/>
  <c r="G49"/>
  <c r="G48"/>
  <c r="G47"/>
  <c r="G51"/>
  <c r="G26" i="1"/>
  <c r="G30" i="12" l="1"/>
  <c r="F55" i="18" l="1"/>
  <c r="F54"/>
  <c r="F53"/>
  <c r="F52"/>
  <c r="E55"/>
  <c r="E54"/>
  <c r="E53"/>
  <c r="E52"/>
  <c r="D55"/>
  <c r="D54"/>
  <c r="D53"/>
  <c r="D52"/>
  <c r="C55"/>
  <c r="C54"/>
  <c r="C53"/>
  <c r="C52"/>
  <c r="B53"/>
  <c r="B54"/>
  <c r="B55"/>
  <c r="B52"/>
  <c r="F57" i="7"/>
  <c r="F56"/>
  <c r="F55"/>
  <c r="F54"/>
  <c r="E57"/>
  <c r="E56"/>
  <c r="E55"/>
  <c r="E54"/>
  <c r="D57"/>
  <c r="D56"/>
  <c r="D55"/>
  <c r="D54"/>
  <c r="C57"/>
  <c r="C56"/>
  <c r="C55"/>
  <c r="C54"/>
  <c r="B55"/>
  <c r="B56"/>
  <c r="B57"/>
  <c r="B54"/>
  <c r="G98" i="14"/>
  <c r="G97"/>
  <c r="G96"/>
  <c r="G95"/>
  <c r="G94"/>
  <c r="G93"/>
  <c r="G92"/>
  <c r="G88"/>
  <c r="G87"/>
  <c r="G86"/>
  <c r="G85"/>
  <c r="G84"/>
  <c r="G83"/>
  <c r="G82"/>
  <c r="G78"/>
  <c r="G77"/>
  <c r="G76"/>
  <c r="G75"/>
  <c r="G74"/>
  <c r="G73"/>
  <c r="G72"/>
  <c r="G98" i="19"/>
  <c r="G97"/>
  <c r="G96"/>
  <c r="G95"/>
  <c r="G94"/>
  <c r="G93"/>
  <c r="G92"/>
  <c r="G88"/>
  <c r="G87"/>
  <c r="G86"/>
  <c r="G85"/>
  <c r="G84"/>
  <c r="G83"/>
  <c r="G82"/>
  <c r="G78"/>
  <c r="G77"/>
  <c r="G76"/>
  <c r="G75"/>
  <c r="G74"/>
  <c r="G73"/>
  <c r="G72"/>
  <c r="G98" i="11"/>
  <c r="G97"/>
  <c r="G96"/>
  <c r="G95"/>
  <c r="G94"/>
  <c r="G93"/>
  <c r="G92"/>
  <c r="G88"/>
  <c r="G87"/>
  <c r="G86"/>
  <c r="G85"/>
  <c r="G84"/>
  <c r="G83"/>
  <c r="G82"/>
  <c r="G78"/>
  <c r="G77"/>
  <c r="G76"/>
  <c r="G75"/>
  <c r="G74"/>
  <c r="G73"/>
  <c r="G72"/>
  <c r="G101" i="10"/>
  <c r="G99"/>
  <c r="G98"/>
  <c r="G97"/>
  <c r="G96"/>
  <c r="G95"/>
  <c r="G94"/>
  <c r="G93"/>
  <c r="G92"/>
  <c r="G89"/>
  <c r="G88"/>
  <c r="G87"/>
  <c r="G86"/>
  <c r="G85"/>
  <c r="G84"/>
  <c r="G83"/>
  <c r="G82"/>
  <c r="G79"/>
  <c r="G78"/>
  <c r="G77"/>
  <c r="G76"/>
  <c r="G75"/>
  <c r="G74"/>
  <c r="G73"/>
  <c r="G72"/>
  <c r="F48" i="18"/>
  <c r="F47"/>
  <c r="F46"/>
  <c r="F45"/>
  <c r="F61" i="20"/>
  <c r="F60"/>
  <c r="F59"/>
  <c r="F58"/>
  <c r="F57"/>
  <c r="F56"/>
  <c r="F28"/>
  <c r="F26" i="1"/>
  <c r="F12" i="2" l="1"/>
  <c r="F12" i="3"/>
  <c r="F12" i="9"/>
  <c r="F98" i="14"/>
  <c r="F97"/>
  <c r="F96"/>
  <c r="F95"/>
  <c r="F94"/>
  <c r="F93"/>
  <c r="F92"/>
  <c r="F88"/>
  <c r="F87"/>
  <c r="F86"/>
  <c r="F85"/>
  <c r="F84"/>
  <c r="F83"/>
  <c r="F82"/>
  <c r="F78"/>
  <c r="F77"/>
  <c r="F76"/>
  <c r="F75"/>
  <c r="F74"/>
  <c r="F73"/>
  <c r="F72"/>
  <c r="F66" i="19"/>
  <c r="F56"/>
  <c r="F46"/>
  <c r="F98"/>
  <c r="F97"/>
  <c r="F96"/>
  <c r="F95"/>
  <c r="F94"/>
  <c r="F93"/>
  <c r="F92"/>
  <c r="F89"/>
  <c r="F88"/>
  <c r="F87"/>
  <c r="F86"/>
  <c r="F85"/>
  <c r="F84"/>
  <c r="F83"/>
  <c r="F82"/>
  <c r="F79"/>
  <c r="F78"/>
  <c r="F77"/>
  <c r="F76"/>
  <c r="F75"/>
  <c r="F74"/>
  <c r="F73"/>
  <c r="F72"/>
  <c r="F101" i="11"/>
  <c r="F99"/>
  <c r="F98"/>
  <c r="F97"/>
  <c r="F96"/>
  <c r="F95"/>
  <c r="F94"/>
  <c r="F93"/>
  <c r="F92"/>
  <c r="F89"/>
  <c r="F88"/>
  <c r="F87"/>
  <c r="F86"/>
  <c r="F85"/>
  <c r="F84"/>
  <c r="F83"/>
  <c r="F82"/>
  <c r="F79"/>
  <c r="F78"/>
  <c r="F77"/>
  <c r="F76"/>
  <c r="F75"/>
  <c r="F74"/>
  <c r="F73"/>
  <c r="F72"/>
  <c r="F101" i="10"/>
  <c r="F99"/>
  <c r="F98"/>
  <c r="F97"/>
  <c r="F96"/>
  <c r="F95"/>
  <c r="F94"/>
  <c r="F93"/>
  <c r="F92"/>
  <c r="F89"/>
  <c r="F88"/>
  <c r="F87"/>
  <c r="F86"/>
  <c r="F85"/>
  <c r="F84"/>
  <c r="F83"/>
  <c r="F82"/>
  <c r="F79"/>
  <c r="F78"/>
  <c r="F77"/>
  <c r="F76"/>
  <c r="F75"/>
  <c r="F74"/>
  <c r="F73"/>
  <c r="F72"/>
  <c r="H8" i="3"/>
  <c r="F8" i="2"/>
  <c r="F8" i="4"/>
  <c r="E48" i="18"/>
  <c r="E47"/>
  <c r="E46"/>
  <c r="E45"/>
  <c r="E17"/>
  <c r="E28" i="20"/>
  <c r="E62" s="1"/>
  <c r="E24"/>
  <c r="E61"/>
  <c r="E60"/>
  <c r="E59"/>
  <c r="E58"/>
  <c r="E57"/>
  <c r="E56"/>
  <c r="E21"/>
  <c r="E20"/>
  <c r="E19" i="7"/>
  <c r="E18"/>
  <c r="E17"/>
  <c r="E26" i="1"/>
  <c r="E22"/>
  <c r="E53"/>
  <c r="D26"/>
  <c r="E23"/>
  <c r="E20"/>
  <c r="E19"/>
  <c r="I31" i="12" l="1"/>
  <c r="I30"/>
  <c r="I28"/>
  <c r="I27"/>
  <c r="I26"/>
  <c r="I25"/>
  <c r="I23"/>
  <c r="I22"/>
  <c r="I21"/>
  <c r="I20"/>
  <c r="G16"/>
  <c r="I16" s="1"/>
  <c r="G17"/>
  <c r="I17" s="1"/>
  <c r="G18"/>
  <c r="I18" s="1"/>
  <c r="G15"/>
  <c r="I15" s="1"/>
  <c r="G32"/>
  <c r="I32" s="1"/>
  <c r="E32"/>
  <c r="D25"/>
  <c r="D20"/>
  <c r="C25"/>
  <c r="C20"/>
  <c r="C27"/>
  <c r="E28"/>
  <c r="E27"/>
  <c r="E26"/>
  <c r="E25"/>
  <c r="E16"/>
  <c r="E17"/>
  <c r="E18"/>
  <c r="E20"/>
  <c r="E21"/>
  <c r="E22"/>
  <c r="E23"/>
  <c r="E15"/>
  <c r="N7" i="9"/>
  <c r="M7"/>
  <c r="L7"/>
  <c r="K7"/>
  <c r="J7"/>
  <c r="I7"/>
  <c r="H7"/>
  <c r="G7"/>
  <c r="F7"/>
  <c r="E7"/>
  <c r="D7"/>
  <c r="C7"/>
  <c r="M72" i="20"/>
  <c r="L71"/>
  <c r="L70"/>
  <c r="L69"/>
  <c r="L68"/>
  <c r="L67"/>
  <c r="L66"/>
  <c r="K71"/>
  <c r="K70"/>
  <c r="K69"/>
  <c r="K68"/>
  <c r="K67"/>
  <c r="K66"/>
  <c r="J71"/>
  <c r="J70"/>
  <c r="J69"/>
  <c r="J68"/>
  <c r="J67"/>
  <c r="J66"/>
  <c r="I71"/>
  <c r="I70"/>
  <c r="I69"/>
  <c r="I68"/>
  <c r="I67"/>
  <c r="I66"/>
  <c r="I72" s="1"/>
  <c r="H71"/>
  <c r="H70"/>
  <c r="H69"/>
  <c r="H68"/>
  <c r="H67"/>
  <c r="H66"/>
  <c r="H72" s="1"/>
  <c r="G71"/>
  <c r="G70"/>
  <c r="G69"/>
  <c r="G68"/>
  <c r="G67"/>
  <c r="G66"/>
  <c r="G72" s="1"/>
  <c r="F71"/>
  <c r="F70"/>
  <c r="F69"/>
  <c r="F68"/>
  <c r="F67"/>
  <c r="F66"/>
  <c r="E71"/>
  <c r="N71" s="1"/>
  <c r="E70"/>
  <c r="N70" s="1"/>
  <c r="E69"/>
  <c r="E68"/>
  <c r="N68" s="1"/>
  <c r="E67"/>
  <c r="N67" s="1"/>
  <c r="E66"/>
  <c r="E72" s="1"/>
  <c r="D71"/>
  <c r="D70"/>
  <c r="D69"/>
  <c r="D68"/>
  <c r="D67"/>
  <c r="D66"/>
  <c r="D72" s="1"/>
  <c r="C71"/>
  <c r="C70"/>
  <c r="C69"/>
  <c r="C68"/>
  <c r="C67"/>
  <c r="C66"/>
  <c r="C72" s="1"/>
  <c r="B72"/>
  <c r="B67"/>
  <c r="B68"/>
  <c r="B69"/>
  <c r="B70"/>
  <c r="B71"/>
  <c r="B66"/>
  <c r="B29" i="1"/>
  <c r="B30"/>
  <c r="B31"/>
  <c r="B32"/>
  <c r="B33"/>
  <c r="B34"/>
  <c r="C29"/>
  <c r="D29"/>
  <c r="E29"/>
  <c r="F29"/>
  <c r="G29"/>
  <c r="H29"/>
  <c r="I29"/>
  <c r="J29"/>
  <c r="K29"/>
  <c r="L29"/>
  <c r="M29"/>
  <c r="C30"/>
  <c r="D30"/>
  <c r="E30"/>
  <c r="F30"/>
  <c r="G30"/>
  <c r="H30"/>
  <c r="I30"/>
  <c r="J30"/>
  <c r="K30"/>
  <c r="L30"/>
  <c r="M30"/>
  <c r="C31"/>
  <c r="D31"/>
  <c r="E31"/>
  <c r="F31"/>
  <c r="G31"/>
  <c r="H31"/>
  <c r="I31"/>
  <c r="J31"/>
  <c r="K31"/>
  <c r="L31"/>
  <c r="M31"/>
  <c r="C32"/>
  <c r="D32"/>
  <c r="E32"/>
  <c r="F32"/>
  <c r="G32"/>
  <c r="H32"/>
  <c r="I32"/>
  <c r="J32"/>
  <c r="K32"/>
  <c r="L32"/>
  <c r="M32"/>
  <c r="C33"/>
  <c r="D33"/>
  <c r="E33"/>
  <c r="F33"/>
  <c r="G33"/>
  <c r="H33"/>
  <c r="I33"/>
  <c r="J33"/>
  <c r="K33"/>
  <c r="L33"/>
  <c r="M33"/>
  <c r="C34"/>
  <c r="D34"/>
  <c r="E34"/>
  <c r="F34"/>
  <c r="G34"/>
  <c r="H34"/>
  <c r="I34"/>
  <c r="J34"/>
  <c r="K34"/>
  <c r="L34"/>
  <c r="M34"/>
  <c r="L58"/>
  <c r="L57"/>
  <c r="L56"/>
  <c r="L55"/>
  <c r="L54"/>
  <c r="L53"/>
  <c r="K58"/>
  <c r="K57"/>
  <c r="K56"/>
  <c r="K55"/>
  <c r="K54"/>
  <c r="K53"/>
  <c r="J58"/>
  <c r="J57"/>
  <c r="J56"/>
  <c r="J55"/>
  <c r="J54"/>
  <c r="J53"/>
  <c r="I58"/>
  <c r="I57"/>
  <c r="I56"/>
  <c r="I55"/>
  <c r="I54"/>
  <c r="I53"/>
  <c r="H58"/>
  <c r="H57"/>
  <c r="H56"/>
  <c r="H55"/>
  <c r="H54"/>
  <c r="H53"/>
  <c r="G58"/>
  <c r="G57"/>
  <c r="G56"/>
  <c r="G55"/>
  <c r="G54"/>
  <c r="G53"/>
  <c r="F58"/>
  <c r="F57"/>
  <c r="F56"/>
  <c r="F55"/>
  <c r="F54"/>
  <c r="F53"/>
  <c r="N69" i="20" l="1"/>
  <c r="L72"/>
  <c r="K72"/>
  <c r="J72"/>
  <c r="F72"/>
  <c r="N66"/>
  <c r="N72" s="1"/>
  <c r="E58" i="1"/>
  <c r="E57"/>
  <c r="E56"/>
  <c r="E55"/>
  <c r="E54"/>
  <c r="S11" i="4"/>
  <c r="R11"/>
  <c r="Q11"/>
  <c r="P11"/>
  <c r="O11"/>
  <c r="P5"/>
  <c r="N7"/>
  <c r="M7"/>
  <c r="L7"/>
  <c r="K7"/>
  <c r="J7"/>
  <c r="I7"/>
  <c r="H7"/>
  <c r="G7"/>
  <c r="F7"/>
  <c r="E7"/>
  <c r="D7"/>
  <c r="C7"/>
  <c r="N7" i="2"/>
  <c r="M7"/>
  <c r="L7"/>
  <c r="K7"/>
  <c r="J7"/>
  <c r="I7"/>
  <c r="H7"/>
  <c r="G7"/>
  <c r="F7"/>
  <c r="E7"/>
  <c r="D7"/>
  <c r="C7"/>
  <c r="N7" i="3"/>
  <c r="M7"/>
  <c r="L7"/>
  <c r="K7"/>
  <c r="J7"/>
  <c r="I7"/>
  <c r="H7"/>
  <c r="G7"/>
  <c r="F7"/>
  <c r="E7"/>
  <c r="D7"/>
  <c r="C7"/>
  <c r="S7" i="4" l="1"/>
  <c r="Q7"/>
  <c r="O7"/>
  <c r="R7"/>
  <c r="P7"/>
  <c r="S11" i="2"/>
  <c r="R11"/>
  <c r="Q11"/>
  <c r="P11"/>
  <c r="O11"/>
  <c r="S7"/>
  <c r="R7"/>
  <c r="Q7"/>
  <c r="P7"/>
  <c r="O7"/>
  <c r="P5"/>
  <c r="S11" i="3"/>
  <c r="R11"/>
  <c r="Q11"/>
  <c r="P11"/>
  <c r="O11"/>
  <c r="S7"/>
  <c r="R7"/>
  <c r="Q7"/>
  <c r="P7"/>
  <c r="O7"/>
  <c r="P5"/>
  <c r="E12"/>
  <c r="D12"/>
  <c r="C12"/>
  <c r="E12" i="9"/>
  <c r="D12"/>
  <c r="C12"/>
  <c r="M28" i="19"/>
  <c r="L28"/>
  <c r="K28"/>
  <c r="J28"/>
  <c r="I28"/>
  <c r="H28"/>
  <c r="G28"/>
  <c r="F28"/>
  <c r="E28"/>
  <c r="D28"/>
  <c r="C28"/>
  <c r="N28"/>
  <c r="N33"/>
  <c r="M33"/>
  <c r="L33"/>
  <c r="K33"/>
  <c r="J33"/>
  <c r="I33"/>
  <c r="H33"/>
  <c r="G33"/>
  <c r="F33"/>
  <c r="E33"/>
  <c r="D33"/>
  <c r="N29"/>
  <c r="M29"/>
  <c r="L29"/>
  <c r="K29"/>
  <c r="J29"/>
  <c r="I29"/>
  <c r="H29"/>
  <c r="G29"/>
  <c r="F29"/>
  <c r="E29"/>
  <c r="D29"/>
  <c r="N27"/>
  <c r="M27"/>
  <c r="L27"/>
  <c r="K27"/>
  <c r="J27"/>
  <c r="I27"/>
  <c r="H27"/>
  <c r="G27"/>
  <c r="F27"/>
  <c r="E27"/>
  <c r="D27"/>
  <c r="C33"/>
  <c r="C29"/>
  <c r="C27"/>
  <c r="N22"/>
  <c r="M22"/>
  <c r="L22"/>
  <c r="K22"/>
  <c r="J22"/>
  <c r="I22"/>
  <c r="H22"/>
  <c r="G22"/>
  <c r="F22"/>
  <c r="E22"/>
  <c r="D22"/>
  <c r="C22"/>
  <c r="N23"/>
  <c r="M23"/>
  <c r="L23"/>
  <c r="K23"/>
  <c r="J23"/>
  <c r="I23"/>
  <c r="H23"/>
  <c r="G23"/>
  <c r="F23"/>
  <c r="E23"/>
  <c r="D23"/>
  <c r="C23"/>
  <c r="N20"/>
  <c r="M20"/>
  <c r="L20"/>
  <c r="K20"/>
  <c r="J20"/>
  <c r="I20"/>
  <c r="H20"/>
  <c r="G20"/>
  <c r="F20"/>
  <c r="E20"/>
  <c r="D20"/>
  <c r="C20"/>
  <c r="N18"/>
  <c r="M18"/>
  <c r="L18"/>
  <c r="K18"/>
  <c r="J18"/>
  <c r="I18"/>
  <c r="H18"/>
  <c r="G18"/>
  <c r="F18"/>
  <c r="E18"/>
  <c r="D18"/>
  <c r="C18"/>
  <c r="N17"/>
  <c r="M17"/>
  <c r="L17"/>
  <c r="K17"/>
  <c r="J17"/>
  <c r="I17"/>
  <c r="H17"/>
  <c r="G17"/>
  <c r="F17"/>
  <c r="E17"/>
  <c r="C17"/>
  <c r="D17"/>
  <c r="N9"/>
  <c r="M9"/>
  <c r="L9"/>
  <c r="K9"/>
  <c r="J9"/>
  <c r="I9"/>
  <c r="H9"/>
  <c r="G9"/>
  <c r="F9"/>
  <c r="E9"/>
  <c r="D9"/>
  <c r="C9"/>
  <c r="N8"/>
  <c r="M8"/>
  <c r="L8"/>
  <c r="K8"/>
  <c r="J8"/>
  <c r="I8"/>
  <c r="H8"/>
  <c r="G8"/>
  <c r="F8"/>
  <c r="E8"/>
  <c r="D8"/>
  <c r="C8"/>
  <c r="N7"/>
  <c r="M7"/>
  <c r="L7"/>
  <c r="K7"/>
  <c r="J7"/>
  <c r="I7"/>
  <c r="H7"/>
  <c r="G7"/>
  <c r="F7"/>
  <c r="E7"/>
  <c r="D7"/>
  <c r="C7"/>
  <c r="E8" i="4"/>
  <c r="D8"/>
  <c r="C8"/>
  <c r="E8" i="2"/>
  <c r="D8"/>
  <c r="C8"/>
  <c r="E8" i="3"/>
  <c r="D8"/>
  <c r="C8"/>
  <c r="M42" i="7"/>
  <c r="L42"/>
  <c r="K42"/>
  <c r="J42"/>
  <c r="I42"/>
  <c r="H42"/>
  <c r="G42"/>
  <c r="F42"/>
  <c r="M41"/>
  <c r="L41"/>
  <c r="K41"/>
  <c r="J41"/>
  <c r="I41"/>
  <c r="H41"/>
  <c r="G41"/>
  <c r="F41"/>
  <c r="M40"/>
  <c r="L40"/>
  <c r="K40"/>
  <c r="J40"/>
  <c r="I40"/>
  <c r="H40"/>
  <c r="G40"/>
  <c r="F40"/>
  <c r="M39"/>
  <c r="L39"/>
  <c r="K39"/>
  <c r="J39"/>
  <c r="I39"/>
  <c r="H39"/>
  <c r="G39"/>
  <c r="F39"/>
  <c r="E42"/>
  <c r="E41"/>
  <c r="E40"/>
  <c r="E39"/>
  <c r="E34"/>
  <c r="D34"/>
  <c r="C34"/>
  <c r="B34"/>
  <c r="B39"/>
  <c r="D28" i="20"/>
  <c r="D62" s="1"/>
  <c r="D61"/>
  <c r="D60"/>
  <c r="D59"/>
  <c r="D58"/>
  <c r="D57"/>
  <c r="D56"/>
  <c r="C28"/>
  <c r="B28"/>
  <c r="B62" s="1"/>
  <c r="C39"/>
  <c r="C60"/>
  <c r="B60"/>
  <c r="N60"/>
  <c r="M51"/>
  <c r="L51"/>
  <c r="K51"/>
  <c r="J51"/>
  <c r="I51"/>
  <c r="H51"/>
  <c r="G51"/>
  <c r="F51"/>
  <c r="E51"/>
  <c r="D51"/>
  <c r="C51"/>
  <c r="B51"/>
  <c r="M49"/>
  <c r="L49"/>
  <c r="K49"/>
  <c r="J49"/>
  <c r="I49"/>
  <c r="H49"/>
  <c r="G49"/>
  <c r="F49"/>
  <c r="E49"/>
  <c r="D49"/>
  <c r="C49"/>
  <c r="B49"/>
  <c r="G39" i="1"/>
  <c r="N25" i="20"/>
  <c r="N24"/>
  <c r="N23"/>
  <c r="N22"/>
  <c r="N21"/>
  <c r="N20"/>
  <c r="N19"/>
  <c r="N12"/>
  <c r="N13"/>
  <c r="N19" i="7"/>
  <c r="N18"/>
  <c r="N17"/>
  <c r="N16"/>
  <c r="D37" i="1"/>
  <c r="D58" s="1"/>
  <c r="D57"/>
  <c r="D56"/>
  <c r="D55"/>
  <c r="D54"/>
  <c r="D53"/>
  <c r="P8" i="2" l="1"/>
  <c r="P8" i="3"/>
  <c r="P9" s="1"/>
  <c r="P12"/>
  <c r="P8" i="4"/>
  <c r="P9" s="1"/>
  <c r="P9" i="2"/>
  <c r="N49" i="20"/>
  <c r="P15" i="3" l="1"/>
  <c r="P17" s="1"/>
  <c r="Q5" s="1"/>
  <c r="P13"/>
  <c r="P5" i="9"/>
  <c r="E33" i="7"/>
  <c r="D33"/>
  <c r="C33"/>
  <c r="B33"/>
  <c r="D42"/>
  <c r="C42"/>
  <c r="D41"/>
  <c r="C41"/>
  <c r="D40"/>
  <c r="D39"/>
  <c r="C39"/>
  <c r="B42"/>
  <c r="B41"/>
  <c r="B33" i="18"/>
  <c r="L37" s="1"/>
  <c r="M27" i="7"/>
  <c r="L27"/>
  <c r="K27"/>
  <c r="J27"/>
  <c r="I27"/>
  <c r="H27"/>
  <c r="G27"/>
  <c r="F27"/>
  <c r="E27"/>
  <c r="D27"/>
  <c r="C27"/>
  <c r="M26"/>
  <c r="L26"/>
  <c r="K26"/>
  <c r="J26"/>
  <c r="I26"/>
  <c r="H26"/>
  <c r="G26"/>
  <c r="F26"/>
  <c r="E26"/>
  <c r="D26"/>
  <c r="C26"/>
  <c r="M25"/>
  <c r="L25"/>
  <c r="K25"/>
  <c r="J25"/>
  <c r="I25"/>
  <c r="H25"/>
  <c r="G25"/>
  <c r="F25"/>
  <c r="E25"/>
  <c r="D25"/>
  <c r="C25"/>
  <c r="M24"/>
  <c r="L24"/>
  <c r="K24"/>
  <c r="K28" s="1"/>
  <c r="J24"/>
  <c r="J28" s="1"/>
  <c r="I24"/>
  <c r="H24"/>
  <c r="G24"/>
  <c r="G28" s="1"/>
  <c r="F24"/>
  <c r="F28" s="1"/>
  <c r="E24"/>
  <c r="E28" s="1"/>
  <c r="D24"/>
  <c r="D28" s="1"/>
  <c r="C24"/>
  <c r="C28" s="1"/>
  <c r="B25"/>
  <c r="B26"/>
  <c r="B27"/>
  <c r="N27" s="1"/>
  <c r="B24"/>
  <c r="M40" i="18"/>
  <c r="L40"/>
  <c r="K40"/>
  <c r="J40"/>
  <c r="I40"/>
  <c r="H40"/>
  <c r="G40"/>
  <c r="F40"/>
  <c r="E40"/>
  <c r="D40"/>
  <c r="C40"/>
  <c r="M39"/>
  <c r="L39"/>
  <c r="K39"/>
  <c r="J39"/>
  <c r="I39"/>
  <c r="H39"/>
  <c r="G39"/>
  <c r="F39"/>
  <c r="E39"/>
  <c r="D39"/>
  <c r="C39"/>
  <c r="M38"/>
  <c r="L38"/>
  <c r="K38"/>
  <c r="J38"/>
  <c r="I38"/>
  <c r="H38"/>
  <c r="G38"/>
  <c r="F38"/>
  <c r="E38"/>
  <c r="D38"/>
  <c r="C38"/>
  <c r="M37"/>
  <c r="K37"/>
  <c r="I37"/>
  <c r="G37"/>
  <c r="E37"/>
  <c r="C37"/>
  <c r="B40"/>
  <c r="B39"/>
  <c r="B38"/>
  <c r="B37"/>
  <c r="M27"/>
  <c r="L27"/>
  <c r="K27"/>
  <c r="J27"/>
  <c r="I27"/>
  <c r="H27"/>
  <c r="G27"/>
  <c r="F27"/>
  <c r="E27"/>
  <c r="D27"/>
  <c r="C27"/>
  <c r="M26"/>
  <c r="L26"/>
  <c r="K26"/>
  <c r="J26"/>
  <c r="I26"/>
  <c r="H26"/>
  <c r="G26"/>
  <c r="F26"/>
  <c r="E26"/>
  <c r="D26"/>
  <c r="C26"/>
  <c r="M25"/>
  <c r="L25"/>
  <c r="K25"/>
  <c r="J25"/>
  <c r="I25"/>
  <c r="H25"/>
  <c r="G25"/>
  <c r="F25"/>
  <c r="E25"/>
  <c r="D25"/>
  <c r="C25"/>
  <c r="M24"/>
  <c r="L24"/>
  <c r="K24"/>
  <c r="J24"/>
  <c r="I24"/>
  <c r="H24"/>
  <c r="G24"/>
  <c r="F24"/>
  <c r="E24"/>
  <c r="D24"/>
  <c r="D28" s="1"/>
  <c r="C24"/>
  <c r="B25"/>
  <c r="B26"/>
  <c r="B27"/>
  <c r="B24"/>
  <c r="N274" i="20"/>
  <c r="M63"/>
  <c r="N8" i="2" s="1"/>
  <c r="L63" i="20"/>
  <c r="M8" i="2" s="1"/>
  <c r="K63" i="20"/>
  <c r="L8" i="2" s="1"/>
  <c r="J63" i="20"/>
  <c r="K8" i="2" s="1"/>
  <c r="I63" i="20"/>
  <c r="J8" i="2" s="1"/>
  <c r="H63" i="20"/>
  <c r="I8" i="2" s="1"/>
  <c r="G63" i="20"/>
  <c r="H8" i="2" s="1"/>
  <c r="F63" i="20"/>
  <c r="G8" i="2" s="1"/>
  <c r="E63" i="20"/>
  <c r="D63"/>
  <c r="C61"/>
  <c r="B61"/>
  <c r="C59"/>
  <c r="B59"/>
  <c r="N59" s="1"/>
  <c r="C58"/>
  <c r="B58"/>
  <c r="C57"/>
  <c r="B57"/>
  <c r="C56"/>
  <c r="B56"/>
  <c r="L50"/>
  <c r="L47"/>
  <c r="M46"/>
  <c r="C62"/>
  <c r="M35"/>
  <c r="L35"/>
  <c r="K35"/>
  <c r="J35"/>
  <c r="I35"/>
  <c r="H35"/>
  <c r="G35"/>
  <c r="F35"/>
  <c r="E35"/>
  <c r="D35"/>
  <c r="C35"/>
  <c r="B35"/>
  <c r="M33"/>
  <c r="L33"/>
  <c r="K33"/>
  <c r="J33"/>
  <c r="I33"/>
  <c r="H33"/>
  <c r="G33"/>
  <c r="F33"/>
  <c r="E33"/>
  <c r="D33"/>
  <c r="C33"/>
  <c r="B33"/>
  <c r="M32"/>
  <c r="L32"/>
  <c r="K32"/>
  <c r="J32"/>
  <c r="I32"/>
  <c r="H32"/>
  <c r="G32"/>
  <c r="F32"/>
  <c r="E32"/>
  <c r="D32"/>
  <c r="C32"/>
  <c r="B32"/>
  <c r="M26"/>
  <c r="L26"/>
  <c r="K26"/>
  <c r="J26"/>
  <c r="I26"/>
  <c r="H26"/>
  <c r="G26"/>
  <c r="F26"/>
  <c r="E26"/>
  <c r="D26"/>
  <c r="C26"/>
  <c r="B26"/>
  <c r="N35"/>
  <c r="N10"/>
  <c r="N33" s="1"/>
  <c r="N9"/>
  <c r="N32" s="1"/>
  <c r="E97" i="19"/>
  <c r="D97"/>
  <c r="O97" s="1"/>
  <c r="C97"/>
  <c r="E96"/>
  <c r="D96"/>
  <c r="C96"/>
  <c r="E95"/>
  <c r="D95"/>
  <c r="O95" s="1"/>
  <c r="C95"/>
  <c r="E86"/>
  <c r="D86"/>
  <c r="C86"/>
  <c r="E85"/>
  <c r="D85"/>
  <c r="O85" s="1"/>
  <c r="C85"/>
  <c r="E84"/>
  <c r="D84"/>
  <c r="C84"/>
  <c r="E78"/>
  <c r="D78"/>
  <c r="O78" s="1"/>
  <c r="C78"/>
  <c r="E77"/>
  <c r="D77"/>
  <c r="C77"/>
  <c r="E76"/>
  <c r="D76"/>
  <c r="O76" s="1"/>
  <c r="C76"/>
  <c r="E75"/>
  <c r="D75"/>
  <c r="C75"/>
  <c r="N66"/>
  <c r="N99" s="1"/>
  <c r="M66"/>
  <c r="M99" s="1"/>
  <c r="L66"/>
  <c r="L99" s="1"/>
  <c r="K66"/>
  <c r="J66"/>
  <c r="I66"/>
  <c r="H66"/>
  <c r="G66"/>
  <c r="G99" s="1"/>
  <c r="F99"/>
  <c r="E66"/>
  <c r="D66"/>
  <c r="C66"/>
  <c r="O65"/>
  <c r="P65" s="1"/>
  <c r="O64"/>
  <c r="P64" s="1"/>
  <c r="O63"/>
  <c r="P63" s="1"/>
  <c r="O62"/>
  <c r="P62" s="1"/>
  <c r="O61"/>
  <c r="P61" s="1"/>
  <c r="O60"/>
  <c r="P60" s="1"/>
  <c r="O59"/>
  <c r="N56"/>
  <c r="N89" s="1"/>
  <c r="M56"/>
  <c r="M89" s="1"/>
  <c r="L56"/>
  <c r="L89" s="1"/>
  <c r="K56"/>
  <c r="J56"/>
  <c r="I56"/>
  <c r="H56"/>
  <c r="G56"/>
  <c r="G89" s="1"/>
  <c r="E56"/>
  <c r="D56"/>
  <c r="C56"/>
  <c r="O55"/>
  <c r="P55" s="1"/>
  <c r="O54"/>
  <c r="P54" s="1"/>
  <c r="O53"/>
  <c r="P53" s="1"/>
  <c r="O52"/>
  <c r="P52" s="1"/>
  <c r="O51"/>
  <c r="P51" s="1"/>
  <c r="O50"/>
  <c r="P50" s="1"/>
  <c r="O49"/>
  <c r="N46"/>
  <c r="N79" s="1"/>
  <c r="M46"/>
  <c r="M79" s="1"/>
  <c r="L46"/>
  <c r="L79" s="1"/>
  <c r="K46"/>
  <c r="J46"/>
  <c r="J79" s="1"/>
  <c r="I46"/>
  <c r="H46"/>
  <c r="G46"/>
  <c r="G79" s="1"/>
  <c r="E46"/>
  <c r="D46"/>
  <c r="C46"/>
  <c r="O45"/>
  <c r="P45" s="1"/>
  <c r="O44"/>
  <c r="P44" s="1"/>
  <c r="O43"/>
  <c r="P43" s="1"/>
  <c r="O42"/>
  <c r="P42" s="1"/>
  <c r="O41"/>
  <c r="P41" s="1"/>
  <c r="O40"/>
  <c r="P40" s="1"/>
  <c r="O39"/>
  <c r="E98"/>
  <c r="D98"/>
  <c r="C98"/>
  <c r="O32"/>
  <c r="O31"/>
  <c r="O30"/>
  <c r="E94"/>
  <c r="D94"/>
  <c r="C94"/>
  <c r="O94" s="1"/>
  <c r="E93"/>
  <c r="D93"/>
  <c r="C93"/>
  <c r="N34"/>
  <c r="M34"/>
  <c r="L34"/>
  <c r="K34"/>
  <c r="J34"/>
  <c r="I34"/>
  <c r="H34"/>
  <c r="G34"/>
  <c r="F34"/>
  <c r="E92"/>
  <c r="D92"/>
  <c r="C92"/>
  <c r="E88"/>
  <c r="D88"/>
  <c r="C88"/>
  <c r="E87"/>
  <c r="D87"/>
  <c r="C87"/>
  <c r="O21"/>
  <c r="O20"/>
  <c r="O19"/>
  <c r="E83"/>
  <c r="D83"/>
  <c r="C83"/>
  <c r="N24"/>
  <c r="M24"/>
  <c r="L24"/>
  <c r="K24"/>
  <c r="J24"/>
  <c r="I24"/>
  <c r="H24"/>
  <c r="G24"/>
  <c r="F24"/>
  <c r="E82"/>
  <c r="D82"/>
  <c r="C82"/>
  <c r="O13"/>
  <c r="O12"/>
  <c r="O11"/>
  <c r="O10"/>
  <c r="E74"/>
  <c r="D74"/>
  <c r="C74"/>
  <c r="E73"/>
  <c r="D73"/>
  <c r="C73"/>
  <c r="N14"/>
  <c r="M14"/>
  <c r="L14"/>
  <c r="K14"/>
  <c r="J14"/>
  <c r="I14"/>
  <c r="H14"/>
  <c r="G14"/>
  <c r="F14"/>
  <c r="E72"/>
  <c r="D72"/>
  <c r="C72"/>
  <c r="N258" i="18"/>
  <c r="M56"/>
  <c r="L56"/>
  <c r="K56"/>
  <c r="J56"/>
  <c r="I56"/>
  <c r="H56"/>
  <c r="G56"/>
  <c r="F56"/>
  <c r="E56"/>
  <c r="M49"/>
  <c r="N8" i="4" s="1"/>
  <c r="L49" i="18"/>
  <c r="M8" i="4" s="1"/>
  <c r="K49" i="18"/>
  <c r="L8" i="4" s="1"/>
  <c r="J49" i="18"/>
  <c r="K8" i="4" s="1"/>
  <c r="I49" i="18"/>
  <c r="J8" i="4" s="1"/>
  <c r="H49" i="18"/>
  <c r="I8" i="4" s="1"/>
  <c r="G49" i="18"/>
  <c r="H8" i="4" s="1"/>
  <c r="F49" i="18"/>
  <c r="G8" i="4" s="1"/>
  <c r="E49" i="18"/>
  <c r="D48"/>
  <c r="C48"/>
  <c r="B48"/>
  <c r="N48" s="1"/>
  <c r="D47"/>
  <c r="C47"/>
  <c r="B47"/>
  <c r="D46"/>
  <c r="C46"/>
  <c r="B46"/>
  <c r="N46" s="1"/>
  <c r="D45"/>
  <c r="C45"/>
  <c r="C49" s="1"/>
  <c r="B45"/>
  <c r="M20"/>
  <c r="L20"/>
  <c r="K20"/>
  <c r="J20"/>
  <c r="I20"/>
  <c r="H20"/>
  <c r="G20"/>
  <c r="F20"/>
  <c r="E20"/>
  <c r="D20"/>
  <c r="C20"/>
  <c r="B20"/>
  <c r="M58" i="7"/>
  <c r="L58"/>
  <c r="K58"/>
  <c r="J58"/>
  <c r="I58"/>
  <c r="H58"/>
  <c r="G58"/>
  <c r="F58"/>
  <c r="E58"/>
  <c r="D50"/>
  <c r="D49"/>
  <c r="D48"/>
  <c r="D47"/>
  <c r="M28" i="18" l="1"/>
  <c r="M28" i="7"/>
  <c r="S8" i="4"/>
  <c r="S9" s="1"/>
  <c r="L28" i="18"/>
  <c r="S8" i="2"/>
  <c r="S9" s="1"/>
  <c r="L28" i="7"/>
  <c r="K28" i="18"/>
  <c r="R8" i="4"/>
  <c r="R9" s="1"/>
  <c r="J28" i="18"/>
  <c r="N26" i="7"/>
  <c r="I28" i="18"/>
  <c r="R8" i="2"/>
  <c r="R9" s="1"/>
  <c r="I28" i="7"/>
  <c r="H28" i="18"/>
  <c r="N25" i="7"/>
  <c r="H28"/>
  <c r="G28" i="18"/>
  <c r="Q8" i="4"/>
  <c r="O8"/>
  <c r="F28" i="18"/>
  <c r="Q8" i="2"/>
  <c r="O8"/>
  <c r="N24" i="7"/>
  <c r="E28" i="18"/>
  <c r="O56" i="19"/>
  <c r="O66"/>
  <c r="O92"/>
  <c r="O93"/>
  <c r="O88"/>
  <c r="O87"/>
  <c r="N45" i="18"/>
  <c r="D49"/>
  <c r="C28"/>
  <c r="C41"/>
  <c r="G41"/>
  <c r="K41"/>
  <c r="I41"/>
  <c r="N57" i="20"/>
  <c r="C68" i="19"/>
  <c r="C12" i="2" s="1"/>
  <c r="E68" i="19"/>
  <c r="E12" i="2" s="1"/>
  <c r="G68" i="19"/>
  <c r="I68"/>
  <c r="I12" i="2" s="1"/>
  <c r="K68" i="19"/>
  <c r="K12" i="2" s="1"/>
  <c r="M68" i="19"/>
  <c r="O46"/>
  <c r="P49"/>
  <c r="P56" s="1"/>
  <c r="P59"/>
  <c r="P66" s="1"/>
  <c r="D68"/>
  <c r="D12" i="2" s="1"/>
  <c r="F68" i="19"/>
  <c r="F101" s="1"/>
  <c r="H68"/>
  <c r="H12" i="2" s="1"/>
  <c r="J68" i="19"/>
  <c r="L68"/>
  <c r="N68"/>
  <c r="O75"/>
  <c r="O77"/>
  <c r="O84"/>
  <c r="O86"/>
  <c r="O96"/>
  <c r="B28" i="7"/>
  <c r="D43"/>
  <c r="H43"/>
  <c r="L43"/>
  <c r="F43"/>
  <c r="J43"/>
  <c r="M43"/>
  <c r="B40"/>
  <c r="B43" s="1"/>
  <c r="C40"/>
  <c r="C43" s="1"/>
  <c r="E43"/>
  <c r="G43"/>
  <c r="I43"/>
  <c r="K43"/>
  <c r="E41" i="18"/>
  <c r="M41"/>
  <c r="J41"/>
  <c r="L41"/>
  <c r="D37"/>
  <c r="D41" s="1"/>
  <c r="F37"/>
  <c r="F41" s="1"/>
  <c r="H37"/>
  <c r="H41" s="1"/>
  <c r="J37"/>
  <c r="N47"/>
  <c r="B28"/>
  <c r="N62" i="20"/>
  <c r="C63"/>
  <c r="N26"/>
  <c r="B46"/>
  <c r="D46"/>
  <c r="F46"/>
  <c r="H46"/>
  <c r="J46"/>
  <c r="L46"/>
  <c r="C47"/>
  <c r="E47"/>
  <c r="G47"/>
  <c r="I47"/>
  <c r="K47"/>
  <c r="M47"/>
  <c r="C50"/>
  <c r="E50"/>
  <c r="G50"/>
  <c r="I50"/>
  <c r="K50"/>
  <c r="M50"/>
  <c r="N56"/>
  <c r="N58"/>
  <c r="N61"/>
  <c r="B63"/>
  <c r="C46"/>
  <c r="E46"/>
  <c r="G46"/>
  <c r="I46"/>
  <c r="K46"/>
  <c r="B47"/>
  <c r="D47"/>
  <c r="F47"/>
  <c r="H47"/>
  <c r="J47"/>
  <c r="B50"/>
  <c r="D50"/>
  <c r="F50"/>
  <c r="H50"/>
  <c r="J50"/>
  <c r="O72" i="19"/>
  <c r="O73"/>
  <c r="O74"/>
  <c r="O82"/>
  <c r="O83"/>
  <c r="F36"/>
  <c r="H36"/>
  <c r="J36"/>
  <c r="L36"/>
  <c r="N36"/>
  <c r="O98"/>
  <c r="G36"/>
  <c r="I36"/>
  <c r="K36"/>
  <c r="M36"/>
  <c r="O7"/>
  <c r="O9"/>
  <c r="D14"/>
  <c r="D79" s="1"/>
  <c r="O17"/>
  <c r="O23"/>
  <c r="D24"/>
  <c r="D89" s="1"/>
  <c r="O27"/>
  <c r="O29"/>
  <c r="O33"/>
  <c r="D34"/>
  <c r="P39"/>
  <c r="P46" s="1"/>
  <c r="O8"/>
  <c r="C14"/>
  <c r="C79" s="1"/>
  <c r="E14"/>
  <c r="E79" s="1"/>
  <c r="O18"/>
  <c r="O22"/>
  <c r="C24"/>
  <c r="C89" s="1"/>
  <c r="E24"/>
  <c r="E89" s="1"/>
  <c r="O28"/>
  <c r="C34"/>
  <c r="E34"/>
  <c r="N20" i="18"/>
  <c r="B49"/>
  <c r="N49" s="1"/>
  <c r="N101" i="19" l="1"/>
  <c r="N12" i="2"/>
  <c r="M101" i="19"/>
  <c r="M12" i="2"/>
  <c r="L101" i="19"/>
  <c r="L12" i="2"/>
  <c r="N28" i="7"/>
  <c r="J12" i="2"/>
  <c r="J101" i="19"/>
  <c r="G101"/>
  <c r="G12" i="2"/>
  <c r="Q9" i="4"/>
  <c r="Q9" i="2"/>
  <c r="P12"/>
  <c r="O68" i="19"/>
  <c r="P68"/>
  <c r="O99"/>
  <c r="O89"/>
  <c r="N50" i="20"/>
  <c r="N47"/>
  <c r="N46"/>
  <c r="N63"/>
  <c r="E99" i="19"/>
  <c r="E36"/>
  <c r="E101" s="1"/>
  <c r="O34"/>
  <c r="O14"/>
  <c r="O79"/>
  <c r="C99"/>
  <c r="C36"/>
  <c r="C101" s="1"/>
  <c r="D36"/>
  <c r="D101" s="1"/>
  <c r="D99"/>
  <c r="O24"/>
  <c r="AC11" i="2" l="1"/>
  <c r="AB11"/>
  <c r="R12"/>
  <c r="R13" s="1"/>
  <c r="S12"/>
  <c r="S15" s="1"/>
  <c r="Z11"/>
  <c r="AD11"/>
  <c r="Q12"/>
  <c r="Q13" s="1"/>
  <c r="Y11"/>
  <c r="AA11"/>
  <c r="AF11"/>
  <c r="V11"/>
  <c r="AE11"/>
  <c r="W11"/>
  <c r="X11"/>
  <c r="U11"/>
  <c r="R15"/>
  <c r="O12"/>
  <c r="O15" s="1"/>
  <c r="Q15"/>
  <c r="P13"/>
  <c r="P15"/>
  <c r="P17" s="1"/>
  <c r="Q5" s="1"/>
  <c r="O101" i="19"/>
  <c r="O36"/>
  <c r="S13" i="2" l="1"/>
  <c r="Q17"/>
  <c r="R5" s="1"/>
  <c r="R17" s="1"/>
  <c r="S5" s="1"/>
  <c r="S17" s="1"/>
  <c r="E97" i="14"/>
  <c r="D97"/>
  <c r="C97"/>
  <c r="E96"/>
  <c r="D96"/>
  <c r="O96" s="1"/>
  <c r="C96"/>
  <c r="E95"/>
  <c r="D95"/>
  <c r="C95"/>
  <c r="E87"/>
  <c r="D87"/>
  <c r="C87"/>
  <c r="E86"/>
  <c r="D86"/>
  <c r="O86" s="1"/>
  <c r="C86"/>
  <c r="E85"/>
  <c r="D85"/>
  <c r="C85"/>
  <c r="E84"/>
  <c r="D84"/>
  <c r="O84" s="1"/>
  <c r="C84"/>
  <c r="E78"/>
  <c r="D78"/>
  <c r="O78" s="1"/>
  <c r="C78"/>
  <c r="E77"/>
  <c r="D77"/>
  <c r="C77"/>
  <c r="E76"/>
  <c r="D76"/>
  <c r="O76" s="1"/>
  <c r="C76"/>
  <c r="E75"/>
  <c r="D75"/>
  <c r="C75"/>
  <c r="E97" i="11"/>
  <c r="D97"/>
  <c r="C97"/>
  <c r="O97" s="1"/>
  <c r="E96"/>
  <c r="D96"/>
  <c r="C96"/>
  <c r="E95"/>
  <c r="D95"/>
  <c r="C95"/>
  <c r="E87"/>
  <c r="D87"/>
  <c r="C87"/>
  <c r="E86"/>
  <c r="D86"/>
  <c r="O86" s="1"/>
  <c r="C86"/>
  <c r="E85"/>
  <c r="D85"/>
  <c r="C85"/>
  <c r="E84"/>
  <c r="D84"/>
  <c r="C84"/>
  <c r="E78"/>
  <c r="D78"/>
  <c r="O78" s="1"/>
  <c r="C78"/>
  <c r="E77"/>
  <c r="D77"/>
  <c r="C77"/>
  <c r="E76"/>
  <c r="D76"/>
  <c r="O76" s="1"/>
  <c r="C76"/>
  <c r="E75"/>
  <c r="D75"/>
  <c r="C75"/>
  <c r="O65" i="10"/>
  <c r="P65" s="1"/>
  <c r="O64"/>
  <c r="O63"/>
  <c r="P63" s="1"/>
  <c r="O62"/>
  <c r="O61"/>
  <c r="P61" s="1"/>
  <c r="O60"/>
  <c r="P60" s="1"/>
  <c r="O59"/>
  <c r="O55"/>
  <c r="P55" s="1"/>
  <c r="O54"/>
  <c r="P54" s="1"/>
  <c r="O53"/>
  <c r="O52"/>
  <c r="P52" s="1"/>
  <c r="O51"/>
  <c r="P51" s="1"/>
  <c r="O50"/>
  <c r="P50" s="1"/>
  <c r="O49"/>
  <c r="P49" s="1"/>
  <c r="O45"/>
  <c r="O44"/>
  <c r="O43"/>
  <c r="O42"/>
  <c r="O41"/>
  <c r="O40"/>
  <c r="P40" s="1"/>
  <c r="O39"/>
  <c r="E97"/>
  <c r="D97"/>
  <c r="C97"/>
  <c r="O97" s="1"/>
  <c r="E96"/>
  <c r="D96"/>
  <c r="C96"/>
  <c r="O96" s="1"/>
  <c r="E95"/>
  <c r="D95"/>
  <c r="C95"/>
  <c r="O95" s="1"/>
  <c r="E86"/>
  <c r="D86"/>
  <c r="O86" s="1"/>
  <c r="C86"/>
  <c r="E85"/>
  <c r="D85"/>
  <c r="C85"/>
  <c r="O85" s="1"/>
  <c r="E84"/>
  <c r="D84"/>
  <c r="O84" s="1"/>
  <c r="C84"/>
  <c r="E78"/>
  <c r="D78"/>
  <c r="E77"/>
  <c r="D77"/>
  <c r="E76"/>
  <c r="D76"/>
  <c r="E75"/>
  <c r="D75"/>
  <c r="C75"/>
  <c r="O75" s="1"/>
  <c r="C76"/>
  <c r="O76" s="1"/>
  <c r="C77"/>
  <c r="O77" s="1"/>
  <c r="C78"/>
  <c r="O78" s="1"/>
  <c r="N33" i="14"/>
  <c r="M33"/>
  <c r="L33"/>
  <c r="K33"/>
  <c r="J33"/>
  <c r="I33"/>
  <c r="H33"/>
  <c r="G33"/>
  <c r="F33"/>
  <c r="E33"/>
  <c r="E98" s="1"/>
  <c r="D33"/>
  <c r="D98" s="1"/>
  <c r="N29"/>
  <c r="M29"/>
  <c r="L29"/>
  <c r="K29"/>
  <c r="J29"/>
  <c r="I29"/>
  <c r="H29"/>
  <c r="G29"/>
  <c r="F29"/>
  <c r="E29"/>
  <c r="E94" s="1"/>
  <c r="D29"/>
  <c r="D94" s="1"/>
  <c r="N28"/>
  <c r="M28"/>
  <c r="L28"/>
  <c r="K28"/>
  <c r="J28"/>
  <c r="I28"/>
  <c r="H28"/>
  <c r="G28"/>
  <c r="F28"/>
  <c r="E28"/>
  <c r="E93" s="1"/>
  <c r="D28"/>
  <c r="D93" s="1"/>
  <c r="N27"/>
  <c r="M27"/>
  <c r="L27"/>
  <c r="K27"/>
  <c r="J27"/>
  <c r="I27"/>
  <c r="H27"/>
  <c r="G27"/>
  <c r="F27"/>
  <c r="E27"/>
  <c r="E92" s="1"/>
  <c r="D27"/>
  <c r="D92" s="1"/>
  <c r="C33"/>
  <c r="C98" s="1"/>
  <c r="C29"/>
  <c r="C94" s="1"/>
  <c r="C28"/>
  <c r="C93" s="1"/>
  <c r="C27"/>
  <c r="C92" s="1"/>
  <c r="N23"/>
  <c r="M23"/>
  <c r="L23"/>
  <c r="K23"/>
  <c r="J23"/>
  <c r="I23"/>
  <c r="H23"/>
  <c r="G23"/>
  <c r="F23"/>
  <c r="E23"/>
  <c r="E88" s="1"/>
  <c r="D23"/>
  <c r="D88" s="1"/>
  <c r="O88" s="1"/>
  <c r="N18"/>
  <c r="M18"/>
  <c r="L18"/>
  <c r="K18"/>
  <c r="J18"/>
  <c r="I18"/>
  <c r="H18"/>
  <c r="G18"/>
  <c r="F18"/>
  <c r="E18"/>
  <c r="E83" s="1"/>
  <c r="D18"/>
  <c r="D83" s="1"/>
  <c r="N17"/>
  <c r="M17"/>
  <c r="L17"/>
  <c r="K17"/>
  <c r="J17"/>
  <c r="I17"/>
  <c r="H17"/>
  <c r="G17"/>
  <c r="F17"/>
  <c r="E17"/>
  <c r="E82" s="1"/>
  <c r="D17"/>
  <c r="D82" s="1"/>
  <c r="O82" s="1"/>
  <c r="C23"/>
  <c r="C88" s="1"/>
  <c r="C18"/>
  <c r="C83" s="1"/>
  <c r="C17"/>
  <c r="C82" s="1"/>
  <c r="N9"/>
  <c r="M9"/>
  <c r="L9"/>
  <c r="K9"/>
  <c r="J9"/>
  <c r="I9"/>
  <c r="H9"/>
  <c r="G9"/>
  <c r="F9"/>
  <c r="E9"/>
  <c r="E74" s="1"/>
  <c r="D9"/>
  <c r="D74" s="1"/>
  <c r="O74" s="1"/>
  <c r="C9"/>
  <c r="C74" s="1"/>
  <c r="N8"/>
  <c r="M8"/>
  <c r="L8"/>
  <c r="K8"/>
  <c r="J8"/>
  <c r="I8"/>
  <c r="H8"/>
  <c r="G8"/>
  <c r="F8"/>
  <c r="E8"/>
  <c r="E73" s="1"/>
  <c r="D8"/>
  <c r="D73" s="1"/>
  <c r="N7"/>
  <c r="M7"/>
  <c r="L7"/>
  <c r="K7"/>
  <c r="J7"/>
  <c r="I7"/>
  <c r="H7"/>
  <c r="G7"/>
  <c r="F7"/>
  <c r="E7"/>
  <c r="E72" s="1"/>
  <c r="D7"/>
  <c r="D72" s="1"/>
  <c r="C8"/>
  <c r="C73" s="1"/>
  <c r="C7"/>
  <c r="C72" s="1"/>
  <c r="O66"/>
  <c r="N66"/>
  <c r="N99" s="1"/>
  <c r="M66"/>
  <c r="M99" s="1"/>
  <c r="L66"/>
  <c r="L99" s="1"/>
  <c r="J66"/>
  <c r="J99" s="1"/>
  <c r="I66"/>
  <c r="I99" s="1"/>
  <c r="H66"/>
  <c r="H99" s="1"/>
  <c r="G66"/>
  <c r="G99" s="1"/>
  <c r="F66"/>
  <c r="F99" s="1"/>
  <c r="E66"/>
  <c r="D66"/>
  <c r="C66"/>
  <c r="P65"/>
  <c r="P64"/>
  <c r="P63"/>
  <c r="P62"/>
  <c r="P61"/>
  <c r="P60"/>
  <c r="P59"/>
  <c r="O56"/>
  <c r="N56"/>
  <c r="N89" s="1"/>
  <c r="M56"/>
  <c r="M89" s="1"/>
  <c r="L56"/>
  <c r="L89" s="1"/>
  <c r="K56"/>
  <c r="K89" s="1"/>
  <c r="J56"/>
  <c r="I56"/>
  <c r="I89" s="1"/>
  <c r="H56"/>
  <c r="H89" s="1"/>
  <c r="G56"/>
  <c r="G89" s="1"/>
  <c r="F56"/>
  <c r="F89" s="1"/>
  <c r="E56"/>
  <c r="D56"/>
  <c r="C56"/>
  <c r="P55"/>
  <c r="P54"/>
  <c r="P53"/>
  <c r="P52"/>
  <c r="P51"/>
  <c r="P50"/>
  <c r="P49"/>
  <c r="O46"/>
  <c r="N46"/>
  <c r="N79" s="1"/>
  <c r="M46"/>
  <c r="M79" s="1"/>
  <c r="L46"/>
  <c r="L79" s="1"/>
  <c r="K46"/>
  <c r="K79" s="1"/>
  <c r="J46"/>
  <c r="J79" s="1"/>
  <c r="I46"/>
  <c r="I79" s="1"/>
  <c r="H46"/>
  <c r="H79" s="1"/>
  <c r="G46"/>
  <c r="G79" s="1"/>
  <c r="F46"/>
  <c r="F79" s="1"/>
  <c r="E46"/>
  <c r="D46"/>
  <c r="C46"/>
  <c r="P45"/>
  <c r="P44"/>
  <c r="P43"/>
  <c r="P42"/>
  <c r="P41"/>
  <c r="P40"/>
  <c r="P39"/>
  <c r="O32"/>
  <c r="O31"/>
  <c r="O30"/>
  <c r="M34"/>
  <c r="K34"/>
  <c r="I34"/>
  <c r="G34"/>
  <c r="E34"/>
  <c r="C34"/>
  <c r="C99" s="1"/>
  <c r="O21"/>
  <c r="O19"/>
  <c r="M24"/>
  <c r="K24"/>
  <c r="I24"/>
  <c r="G24"/>
  <c r="E24"/>
  <c r="E89" s="1"/>
  <c r="C24"/>
  <c r="C89" s="1"/>
  <c r="O13"/>
  <c r="O12"/>
  <c r="O11"/>
  <c r="O10"/>
  <c r="M14"/>
  <c r="K14"/>
  <c r="I14"/>
  <c r="G14"/>
  <c r="E14"/>
  <c r="C14"/>
  <c r="C79" s="1"/>
  <c r="C66" i="10"/>
  <c r="E56"/>
  <c r="D56"/>
  <c r="C56"/>
  <c r="E46"/>
  <c r="D46"/>
  <c r="C46"/>
  <c r="N66"/>
  <c r="N99" s="1"/>
  <c r="M66"/>
  <c r="M99" s="1"/>
  <c r="L66"/>
  <c r="L99" s="1"/>
  <c r="K66"/>
  <c r="K99" s="1"/>
  <c r="J66"/>
  <c r="I66"/>
  <c r="H66"/>
  <c r="G66"/>
  <c r="F66"/>
  <c r="E66"/>
  <c r="D66"/>
  <c r="D68" s="1"/>
  <c r="P64"/>
  <c r="P62"/>
  <c r="N56"/>
  <c r="N89" s="1"/>
  <c r="M56"/>
  <c r="M89" s="1"/>
  <c r="L56"/>
  <c r="L89" s="1"/>
  <c r="K56"/>
  <c r="K89" s="1"/>
  <c r="J56"/>
  <c r="I56"/>
  <c r="H56"/>
  <c r="G56"/>
  <c r="F56"/>
  <c r="P53"/>
  <c r="N46"/>
  <c r="N79" s="1"/>
  <c r="M46"/>
  <c r="M79" s="1"/>
  <c r="L46"/>
  <c r="L79" s="1"/>
  <c r="K46"/>
  <c r="K79" s="1"/>
  <c r="J46"/>
  <c r="I46"/>
  <c r="H46"/>
  <c r="G46"/>
  <c r="F46"/>
  <c r="P45"/>
  <c r="P44"/>
  <c r="P43"/>
  <c r="P42"/>
  <c r="P41"/>
  <c r="P39"/>
  <c r="O65" i="11"/>
  <c r="O64"/>
  <c r="O63"/>
  <c r="O62"/>
  <c r="O61"/>
  <c r="O60"/>
  <c r="O59"/>
  <c r="N66"/>
  <c r="M66"/>
  <c r="M99" s="1"/>
  <c r="L66"/>
  <c r="L99" s="1"/>
  <c r="K66"/>
  <c r="K99" s="1"/>
  <c r="J66"/>
  <c r="I66"/>
  <c r="H66"/>
  <c r="G66"/>
  <c r="G99" s="1"/>
  <c r="F66"/>
  <c r="E66"/>
  <c r="D66"/>
  <c r="C66"/>
  <c r="O55"/>
  <c r="O54"/>
  <c r="O53"/>
  <c r="O52"/>
  <c r="O51"/>
  <c r="O50"/>
  <c r="O49"/>
  <c r="N56"/>
  <c r="N89" s="1"/>
  <c r="M56"/>
  <c r="M89" s="1"/>
  <c r="L56"/>
  <c r="L89" s="1"/>
  <c r="K56"/>
  <c r="K89" s="1"/>
  <c r="J56"/>
  <c r="I56"/>
  <c r="H56"/>
  <c r="G56"/>
  <c r="G89" s="1"/>
  <c r="F56"/>
  <c r="E56"/>
  <c r="D56"/>
  <c r="C56"/>
  <c r="O45"/>
  <c r="O44"/>
  <c r="O43"/>
  <c r="O42"/>
  <c r="O41"/>
  <c r="O40"/>
  <c r="O39"/>
  <c r="N46"/>
  <c r="N79" s="1"/>
  <c r="M46"/>
  <c r="M79" s="1"/>
  <c r="L46"/>
  <c r="L79" s="1"/>
  <c r="K46"/>
  <c r="K79" s="1"/>
  <c r="J46"/>
  <c r="I46"/>
  <c r="H46"/>
  <c r="G46"/>
  <c r="G79" s="1"/>
  <c r="F46"/>
  <c r="E46"/>
  <c r="D46"/>
  <c r="C46"/>
  <c r="N68" l="1"/>
  <c r="N99"/>
  <c r="M68"/>
  <c r="L68"/>
  <c r="L101" s="1"/>
  <c r="E79" i="14"/>
  <c r="K99"/>
  <c r="E99"/>
  <c r="K68" i="11"/>
  <c r="K101" s="1"/>
  <c r="J68"/>
  <c r="J12" i="3" s="1"/>
  <c r="I68" i="11"/>
  <c r="I12" i="3" s="1"/>
  <c r="H68" i="11"/>
  <c r="H12" i="3" s="1"/>
  <c r="O56" i="10"/>
  <c r="G68" i="11"/>
  <c r="O66" i="10"/>
  <c r="F68" i="11"/>
  <c r="O46" i="10"/>
  <c r="O72" i="14"/>
  <c r="O83"/>
  <c r="O92"/>
  <c r="O94"/>
  <c r="O73"/>
  <c r="O93"/>
  <c r="O98"/>
  <c r="P46"/>
  <c r="P66"/>
  <c r="O75"/>
  <c r="O77"/>
  <c r="O85"/>
  <c r="O87"/>
  <c r="O95"/>
  <c r="O97"/>
  <c r="O84" i="11"/>
  <c r="O75"/>
  <c r="O77"/>
  <c r="O85"/>
  <c r="O87"/>
  <c r="O95"/>
  <c r="O96"/>
  <c r="E68" i="10"/>
  <c r="C68"/>
  <c r="H68"/>
  <c r="H12" i="9" s="1"/>
  <c r="J68" i="10"/>
  <c r="J12" i="9" s="1"/>
  <c r="L68" i="10"/>
  <c r="N68"/>
  <c r="G68"/>
  <c r="G12" i="9" s="1"/>
  <c r="I68" i="10"/>
  <c r="I12" i="9" s="1"/>
  <c r="K68" i="10"/>
  <c r="M68"/>
  <c r="P59"/>
  <c r="P66" s="1"/>
  <c r="P46"/>
  <c r="P56" i="14"/>
  <c r="D68"/>
  <c r="D12" i="4" s="1"/>
  <c r="F68" i="14"/>
  <c r="H68"/>
  <c r="J68"/>
  <c r="L68"/>
  <c r="N68"/>
  <c r="C36"/>
  <c r="E36"/>
  <c r="G36"/>
  <c r="I36"/>
  <c r="K36"/>
  <c r="M36"/>
  <c r="O7"/>
  <c r="O9"/>
  <c r="D14"/>
  <c r="D79" s="1"/>
  <c r="F14"/>
  <c r="H14"/>
  <c r="J14"/>
  <c r="L14"/>
  <c r="N14"/>
  <c r="O17"/>
  <c r="O23"/>
  <c r="D24"/>
  <c r="D89" s="1"/>
  <c r="F24"/>
  <c r="H24"/>
  <c r="J24"/>
  <c r="L24"/>
  <c r="N24"/>
  <c r="O27"/>
  <c r="O29"/>
  <c r="O33"/>
  <c r="D34"/>
  <c r="D99" s="1"/>
  <c r="F34"/>
  <c r="H34"/>
  <c r="J34"/>
  <c r="L34"/>
  <c r="N34"/>
  <c r="C68"/>
  <c r="C12" i="4" s="1"/>
  <c r="E68" i="14"/>
  <c r="E12" i="4" s="1"/>
  <c r="G68" i="14"/>
  <c r="I68"/>
  <c r="K68"/>
  <c r="M68"/>
  <c r="O68"/>
  <c r="O8"/>
  <c r="O18"/>
  <c r="O20"/>
  <c r="O22"/>
  <c r="O28"/>
  <c r="E68" i="11"/>
  <c r="D68"/>
  <c r="C68"/>
  <c r="F68" i="10"/>
  <c r="P56"/>
  <c r="O66" i="11"/>
  <c r="O56"/>
  <c r="O46"/>
  <c r="N101" l="1"/>
  <c r="N12" i="3"/>
  <c r="N101" i="10"/>
  <c r="N12" i="9"/>
  <c r="M101" i="11"/>
  <c r="M12" i="3"/>
  <c r="O68" i="10"/>
  <c r="M101"/>
  <c r="M12" i="9"/>
  <c r="P12" i="4"/>
  <c r="P13" s="1"/>
  <c r="L12" i="3"/>
  <c r="L101" i="10"/>
  <c r="L12" i="9"/>
  <c r="P15" i="4"/>
  <c r="P17" s="1"/>
  <c r="Q5" s="1"/>
  <c r="N101" i="14"/>
  <c r="N12" i="4"/>
  <c r="F101" i="14"/>
  <c r="F12" i="4"/>
  <c r="M101" i="14"/>
  <c r="M12" i="4"/>
  <c r="L101" i="14"/>
  <c r="L12" i="4"/>
  <c r="J12"/>
  <c r="J101" i="14"/>
  <c r="K101"/>
  <c r="K12" i="4"/>
  <c r="K12" i="3"/>
  <c r="K12" i="9"/>
  <c r="K101" i="10"/>
  <c r="I101" i="14"/>
  <c r="I12" i="4"/>
  <c r="H101" i="14"/>
  <c r="H12" i="4"/>
  <c r="G101" i="14"/>
  <c r="G12" i="4"/>
  <c r="G101" i="11"/>
  <c r="G12" i="3"/>
  <c r="P68" i="14"/>
  <c r="O89"/>
  <c r="C101"/>
  <c r="E101"/>
  <c r="O99"/>
  <c r="O79"/>
  <c r="P68" i="10"/>
  <c r="N36" i="14"/>
  <c r="J36"/>
  <c r="F36"/>
  <c r="O34"/>
  <c r="O24"/>
  <c r="O14"/>
  <c r="L36"/>
  <c r="H36"/>
  <c r="D36"/>
  <c r="D101" s="1"/>
  <c r="O68" i="11"/>
  <c r="N4" i="12"/>
  <c r="M4"/>
  <c r="L4"/>
  <c r="K4"/>
  <c r="J4"/>
  <c r="I4"/>
  <c r="H4"/>
  <c r="G4"/>
  <c r="F4"/>
  <c r="E4"/>
  <c r="D4"/>
  <c r="C4"/>
  <c r="O9"/>
  <c r="O5"/>
  <c r="O6" s="1"/>
  <c r="N260" i="7"/>
  <c r="M51"/>
  <c r="N8" i="3" s="1"/>
  <c r="L51" i="7"/>
  <c r="M8" i="3" s="1"/>
  <c r="K51" i="7"/>
  <c r="L8" i="3" s="1"/>
  <c r="J51" i="7"/>
  <c r="K8" i="3" s="1"/>
  <c r="I51" i="7"/>
  <c r="H51"/>
  <c r="I8" i="3" s="1"/>
  <c r="F51" i="7"/>
  <c r="G8" i="3" s="1"/>
  <c r="E51" i="7"/>
  <c r="F8" i="3" s="1"/>
  <c r="D51" i="7"/>
  <c r="C50"/>
  <c r="B50"/>
  <c r="C49"/>
  <c r="B49"/>
  <c r="C48"/>
  <c r="B48"/>
  <c r="C47"/>
  <c r="B47"/>
  <c r="M20"/>
  <c r="L20"/>
  <c r="K20"/>
  <c r="J20"/>
  <c r="I20"/>
  <c r="H20"/>
  <c r="G20"/>
  <c r="F20"/>
  <c r="E20"/>
  <c r="D20"/>
  <c r="C20"/>
  <c r="B20"/>
  <c r="N33" i="11"/>
  <c r="M33"/>
  <c r="L33"/>
  <c r="K33"/>
  <c r="J33"/>
  <c r="I33"/>
  <c r="H33"/>
  <c r="G33"/>
  <c r="F33"/>
  <c r="E33"/>
  <c r="E98" s="1"/>
  <c r="D33"/>
  <c r="D98" s="1"/>
  <c r="N29"/>
  <c r="M29"/>
  <c r="L29"/>
  <c r="K29"/>
  <c r="J29"/>
  <c r="I29"/>
  <c r="H29"/>
  <c r="G29"/>
  <c r="F29"/>
  <c r="E29"/>
  <c r="E94" s="1"/>
  <c r="D29"/>
  <c r="D94" s="1"/>
  <c r="N28"/>
  <c r="M28"/>
  <c r="L28"/>
  <c r="K28"/>
  <c r="J28"/>
  <c r="I28"/>
  <c r="H28"/>
  <c r="G28"/>
  <c r="F28"/>
  <c r="E28"/>
  <c r="E93" s="1"/>
  <c r="D28"/>
  <c r="D93" s="1"/>
  <c r="N27"/>
  <c r="M27"/>
  <c r="L27"/>
  <c r="K27"/>
  <c r="J27"/>
  <c r="I27"/>
  <c r="H27"/>
  <c r="G27"/>
  <c r="F27"/>
  <c r="E27"/>
  <c r="E92" s="1"/>
  <c r="D27"/>
  <c r="D92" s="1"/>
  <c r="C33"/>
  <c r="C98" s="1"/>
  <c r="O98" s="1"/>
  <c r="C29"/>
  <c r="C94" s="1"/>
  <c r="C28"/>
  <c r="C93" s="1"/>
  <c r="C27"/>
  <c r="C92" s="1"/>
  <c r="N23"/>
  <c r="M23"/>
  <c r="L23"/>
  <c r="K23"/>
  <c r="J23"/>
  <c r="I23"/>
  <c r="H23"/>
  <c r="G23"/>
  <c r="F23"/>
  <c r="E23"/>
  <c r="E88" s="1"/>
  <c r="D23"/>
  <c r="D88" s="1"/>
  <c r="N18"/>
  <c r="M18"/>
  <c r="L18"/>
  <c r="K18"/>
  <c r="J18"/>
  <c r="I18"/>
  <c r="H18"/>
  <c r="G18"/>
  <c r="F18"/>
  <c r="E18"/>
  <c r="E83" s="1"/>
  <c r="D18"/>
  <c r="D83" s="1"/>
  <c r="N17"/>
  <c r="M17"/>
  <c r="L17"/>
  <c r="K17"/>
  <c r="J17"/>
  <c r="I17"/>
  <c r="H17"/>
  <c r="G17"/>
  <c r="F17"/>
  <c r="E17"/>
  <c r="E82" s="1"/>
  <c r="D17"/>
  <c r="D82" s="1"/>
  <c r="O82" s="1"/>
  <c r="C23"/>
  <c r="C88" s="1"/>
  <c r="C18"/>
  <c r="C83" s="1"/>
  <c r="C17"/>
  <c r="C82" s="1"/>
  <c r="N9"/>
  <c r="M9"/>
  <c r="L9"/>
  <c r="K9"/>
  <c r="J9"/>
  <c r="I9"/>
  <c r="H9"/>
  <c r="G9"/>
  <c r="F9"/>
  <c r="E9"/>
  <c r="E74" s="1"/>
  <c r="D9"/>
  <c r="D74" s="1"/>
  <c r="N8"/>
  <c r="M8"/>
  <c r="L8"/>
  <c r="K8"/>
  <c r="J8"/>
  <c r="I8"/>
  <c r="H8"/>
  <c r="G8"/>
  <c r="F8"/>
  <c r="E8"/>
  <c r="E73" s="1"/>
  <c r="D8"/>
  <c r="D73" s="1"/>
  <c r="N7"/>
  <c r="M7"/>
  <c r="L7"/>
  <c r="K7"/>
  <c r="J7"/>
  <c r="I7"/>
  <c r="H7"/>
  <c r="G7"/>
  <c r="F7"/>
  <c r="E7"/>
  <c r="E72" s="1"/>
  <c r="D7"/>
  <c r="D72" s="1"/>
  <c r="O72" s="1"/>
  <c r="C9"/>
  <c r="C74" s="1"/>
  <c r="C8"/>
  <c r="C73" s="1"/>
  <c r="C7"/>
  <c r="C72" s="1"/>
  <c r="N6" i="12"/>
  <c r="M6"/>
  <c r="L6"/>
  <c r="K6"/>
  <c r="J6"/>
  <c r="I6"/>
  <c r="H6"/>
  <c r="G6"/>
  <c r="F6"/>
  <c r="E6"/>
  <c r="D6"/>
  <c r="C6"/>
  <c r="O33" i="11"/>
  <c r="O32"/>
  <c r="O31"/>
  <c r="O30"/>
  <c r="O29"/>
  <c r="O28"/>
  <c r="N34"/>
  <c r="M34"/>
  <c r="L34"/>
  <c r="K34"/>
  <c r="J34"/>
  <c r="I34"/>
  <c r="H34"/>
  <c r="G34"/>
  <c r="F34"/>
  <c r="E34"/>
  <c r="E99" s="1"/>
  <c r="D34"/>
  <c r="D99" s="1"/>
  <c r="C34"/>
  <c r="C99" s="1"/>
  <c r="O23"/>
  <c r="O22"/>
  <c r="O21"/>
  <c r="O20"/>
  <c r="O19"/>
  <c r="O18"/>
  <c r="N24"/>
  <c r="M24"/>
  <c r="L24"/>
  <c r="K24"/>
  <c r="J24"/>
  <c r="I24"/>
  <c r="H24"/>
  <c r="G24"/>
  <c r="F24"/>
  <c r="E24"/>
  <c r="E89" s="1"/>
  <c r="D24"/>
  <c r="D89" s="1"/>
  <c r="C24"/>
  <c r="C89" s="1"/>
  <c r="O13"/>
  <c r="O12"/>
  <c r="O11"/>
  <c r="O10"/>
  <c r="O8"/>
  <c r="N14"/>
  <c r="M14"/>
  <c r="L14"/>
  <c r="K14"/>
  <c r="J14"/>
  <c r="I14"/>
  <c r="H14"/>
  <c r="G14"/>
  <c r="F14"/>
  <c r="E14"/>
  <c r="E79" s="1"/>
  <c r="D14"/>
  <c r="D79" s="1"/>
  <c r="M59" i="1"/>
  <c r="N8" i="9" s="1"/>
  <c r="L59" i="1"/>
  <c r="K59"/>
  <c r="J59"/>
  <c r="I59"/>
  <c r="J8" i="9" s="1"/>
  <c r="H59" i="1"/>
  <c r="G59"/>
  <c r="F59"/>
  <c r="E59"/>
  <c r="C57"/>
  <c r="C56"/>
  <c r="C55"/>
  <c r="C54"/>
  <c r="C53"/>
  <c r="M24"/>
  <c r="L24"/>
  <c r="K24"/>
  <c r="J24"/>
  <c r="I24"/>
  <c r="H24"/>
  <c r="G24"/>
  <c r="F24"/>
  <c r="E24"/>
  <c r="D24"/>
  <c r="C24"/>
  <c r="F39"/>
  <c r="L47" s="1"/>
  <c r="L66" s="1"/>
  <c r="E39"/>
  <c r="M46" s="1"/>
  <c r="M65" s="1"/>
  <c r="D39"/>
  <c r="L45" s="1"/>
  <c r="L64" s="1"/>
  <c r="C39"/>
  <c r="M44" s="1"/>
  <c r="M63" s="1"/>
  <c r="B39"/>
  <c r="L43" s="1"/>
  <c r="L62" s="1"/>
  <c r="B45"/>
  <c r="B24"/>
  <c r="B57"/>
  <c r="B56"/>
  <c r="B55"/>
  <c r="B64" s="1"/>
  <c r="B54"/>
  <c r="B53"/>
  <c r="C37"/>
  <c r="Z11" i="4" l="1"/>
  <c r="N54" i="1"/>
  <c r="N15" i="9"/>
  <c r="AC11" i="4"/>
  <c r="AD11"/>
  <c r="S12" i="3"/>
  <c r="S13" s="1"/>
  <c r="S8"/>
  <c r="S9" s="1"/>
  <c r="M8" i="9"/>
  <c r="M15" s="1"/>
  <c r="S12" i="4"/>
  <c r="S13" s="1"/>
  <c r="AE11"/>
  <c r="W11"/>
  <c r="Y11" i="3"/>
  <c r="AD11"/>
  <c r="U11"/>
  <c r="AF11"/>
  <c r="W11"/>
  <c r="AE11"/>
  <c r="X11"/>
  <c r="V11"/>
  <c r="Z11"/>
  <c r="AA11"/>
  <c r="X11" i="4"/>
  <c r="AF11"/>
  <c r="R12" i="3"/>
  <c r="R13" s="1"/>
  <c r="AC11"/>
  <c r="Y11" i="4"/>
  <c r="AA11"/>
  <c r="AB11"/>
  <c r="V11"/>
  <c r="U11"/>
  <c r="AB11" i="3"/>
  <c r="L8" i="9"/>
  <c r="L15" s="1"/>
  <c r="R12" i="4"/>
  <c r="R15" s="1"/>
  <c r="K8" i="9"/>
  <c r="K15" s="1"/>
  <c r="R8" i="3"/>
  <c r="R9" s="1"/>
  <c r="J15" i="9"/>
  <c r="R13" i="4"/>
  <c r="I8" i="9"/>
  <c r="I15" s="1"/>
  <c r="H8"/>
  <c r="H15" s="1"/>
  <c r="Q12" i="4"/>
  <c r="O12"/>
  <c r="O15" s="1"/>
  <c r="Q12" i="3"/>
  <c r="Q13" s="1"/>
  <c r="O12"/>
  <c r="G8" i="9"/>
  <c r="G15" s="1"/>
  <c r="Q8" i="3"/>
  <c r="O8"/>
  <c r="F8" i="9"/>
  <c r="F15" s="1"/>
  <c r="O101" i="14"/>
  <c r="O74" i="11"/>
  <c r="O88"/>
  <c r="O93"/>
  <c r="O73"/>
  <c r="O83"/>
  <c r="O92"/>
  <c r="O94"/>
  <c r="N57" i="1"/>
  <c r="B43"/>
  <c r="B62" s="1"/>
  <c r="B47"/>
  <c r="B66" s="1"/>
  <c r="C26"/>
  <c r="C58" s="1"/>
  <c r="D59"/>
  <c r="N48" i="7"/>
  <c r="N50"/>
  <c r="O36" i="14"/>
  <c r="C51" i="7"/>
  <c r="N20"/>
  <c r="N47"/>
  <c r="N49"/>
  <c r="B51"/>
  <c r="O9" i="11"/>
  <c r="C14"/>
  <c r="C79" s="1"/>
  <c r="C36"/>
  <c r="C101" s="1"/>
  <c r="E36"/>
  <c r="E101" s="1"/>
  <c r="G36"/>
  <c r="I36"/>
  <c r="K36"/>
  <c r="M36"/>
  <c r="D36"/>
  <c r="D101" s="1"/>
  <c r="F36"/>
  <c r="H36"/>
  <c r="J36"/>
  <c r="L36"/>
  <c r="N36"/>
  <c r="O7"/>
  <c r="O14" s="1"/>
  <c r="O17"/>
  <c r="O24" s="1"/>
  <c r="O27"/>
  <c r="O34" s="1"/>
  <c r="C43" i="1"/>
  <c r="C62" s="1"/>
  <c r="C45"/>
  <c r="C64" s="1"/>
  <c r="C47"/>
  <c r="C66" s="1"/>
  <c r="D44"/>
  <c r="D63" s="1"/>
  <c r="D46"/>
  <c r="D65" s="1"/>
  <c r="E43"/>
  <c r="E62" s="1"/>
  <c r="E45"/>
  <c r="E64" s="1"/>
  <c r="E47"/>
  <c r="E66" s="1"/>
  <c r="F44"/>
  <c r="F63" s="1"/>
  <c r="F46"/>
  <c r="F65" s="1"/>
  <c r="G43"/>
  <c r="G62" s="1"/>
  <c r="G45"/>
  <c r="G64" s="1"/>
  <c r="G47"/>
  <c r="G66" s="1"/>
  <c r="H44"/>
  <c r="H63" s="1"/>
  <c r="H46"/>
  <c r="H65" s="1"/>
  <c r="I43"/>
  <c r="I62" s="1"/>
  <c r="I45"/>
  <c r="I64" s="1"/>
  <c r="I47"/>
  <c r="I66" s="1"/>
  <c r="J44"/>
  <c r="J63" s="1"/>
  <c r="J46"/>
  <c r="J65" s="1"/>
  <c r="K43"/>
  <c r="K62" s="1"/>
  <c r="K45"/>
  <c r="K64" s="1"/>
  <c r="K47"/>
  <c r="K66" s="1"/>
  <c r="L44"/>
  <c r="L63" s="1"/>
  <c r="L46"/>
  <c r="L65" s="1"/>
  <c r="M43"/>
  <c r="M62" s="1"/>
  <c r="M45"/>
  <c r="M64" s="1"/>
  <c r="M47"/>
  <c r="M66" s="1"/>
  <c r="N53"/>
  <c r="N55"/>
  <c r="B26"/>
  <c r="B58" s="1"/>
  <c r="B44"/>
  <c r="B63" s="1"/>
  <c r="B46"/>
  <c r="B65" s="1"/>
  <c r="C44"/>
  <c r="C63" s="1"/>
  <c r="C46"/>
  <c r="C65" s="1"/>
  <c r="D43"/>
  <c r="D62" s="1"/>
  <c r="D45"/>
  <c r="D64" s="1"/>
  <c r="D47"/>
  <c r="D66" s="1"/>
  <c r="E44"/>
  <c r="E63" s="1"/>
  <c r="E46"/>
  <c r="E65" s="1"/>
  <c r="F43"/>
  <c r="F62" s="1"/>
  <c r="F45"/>
  <c r="F64" s="1"/>
  <c r="F47"/>
  <c r="F66" s="1"/>
  <c r="G44"/>
  <c r="G63" s="1"/>
  <c r="G46"/>
  <c r="G65" s="1"/>
  <c r="H43"/>
  <c r="H62" s="1"/>
  <c r="H45"/>
  <c r="H64" s="1"/>
  <c r="H47"/>
  <c r="H66" s="1"/>
  <c r="I44"/>
  <c r="I63" s="1"/>
  <c r="I46"/>
  <c r="I65" s="1"/>
  <c r="J43"/>
  <c r="J62" s="1"/>
  <c r="J45"/>
  <c r="J64" s="1"/>
  <c r="J47"/>
  <c r="J66" s="1"/>
  <c r="K44"/>
  <c r="K63" s="1"/>
  <c r="K46"/>
  <c r="K65" s="1"/>
  <c r="N56"/>
  <c r="R15" i="3" l="1"/>
  <c r="N63" i="1"/>
  <c r="N65"/>
  <c r="N66"/>
  <c r="N64"/>
  <c r="N62"/>
  <c r="C59"/>
  <c r="E8" i="9"/>
  <c r="E15" s="1"/>
  <c r="S15" i="3"/>
  <c r="S15" i="4"/>
  <c r="Q13"/>
  <c r="Q15"/>
  <c r="Q17" s="1"/>
  <c r="R5" s="1"/>
  <c r="R17" s="1"/>
  <c r="S5" s="1"/>
  <c r="O15" i="3"/>
  <c r="O99" i="11"/>
  <c r="O79"/>
  <c r="Q9" i="3"/>
  <c r="Q15"/>
  <c r="Q17" s="1"/>
  <c r="R5" s="1"/>
  <c r="R17" s="1"/>
  <c r="S5" s="1"/>
  <c r="S17" s="1"/>
  <c r="O89" i="11"/>
  <c r="N51" i="7"/>
  <c r="O36" i="11"/>
  <c r="N46" i="1"/>
  <c r="N58"/>
  <c r="N43"/>
  <c r="N44"/>
  <c r="N47"/>
  <c r="N45"/>
  <c r="S17" i="4" l="1"/>
  <c r="D8" i="9"/>
  <c r="D15" s="1"/>
  <c r="O101" i="11"/>
  <c r="B59" i="1"/>
  <c r="C8" i="9" s="1"/>
  <c r="N59" i="1" l="1"/>
  <c r="M14"/>
  <c r="M35" s="1"/>
  <c r="L14"/>
  <c r="L35" s="1"/>
  <c r="K14"/>
  <c r="K35" s="1"/>
  <c r="J14"/>
  <c r="J35" s="1"/>
  <c r="I14"/>
  <c r="I35" s="1"/>
  <c r="H14"/>
  <c r="H35" s="1"/>
  <c r="G14"/>
  <c r="G35" s="1"/>
  <c r="F14"/>
  <c r="F35" s="1"/>
  <c r="E14"/>
  <c r="E35" s="1"/>
  <c r="D14"/>
  <c r="D35" s="1"/>
  <c r="C14"/>
  <c r="C35" s="1"/>
  <c r="B14"/>
  <c r="B35" s="1"/>
  <c r="N12"/>
  <c r="N33" s="1"/>
  <c r="N8"/>
  <c r="N29" s="1"/>
  <c r="N9"/>
  <c r="N30" s="1"/>
  <c r="N10"/>
  <c r="N31" s="1"/>
  <c r="S12" i="9"/>
  <c r="R12"/>
  <c r="Q12"/>
  <c r="P12"/>
  <c r="S8"/>
  <c r="R8"/>
  <c r="Q8"/>
  <c r="P8"/>
  <c r="N7" i="10"/>
  <c r="N22"/>
  <c r="N24" s="1"/>
  <c r="N33"/>
  <c r="M33"/>
  <c r="L33"/>
  <c r="K33"/>
  <c r="J33"/>
  <c r="I33"/>
  <c r="H33"/>
  <c r="G33"/>
  <c r="F33"/>
  <c r="E33"/>
  <c r="E98" s="1"/>
  <c r="D33"/>
  <c r="D98" s="1"/>
  <c r="N29"/>
  <c r="M29"/>
  <c r="L29"/>
  <c r="K29"/>
  <c r="J29"/>
  <c r="I29"/>
  <c r="H29"/>
  <c r="G29"/>
  <c r="F29"/>
  <c r="E29"/>
  <c r="E94" s="1"/>
  <c r="D29"/>
  <c r="D94" s="1"/>
  <c r="C29"/>
  <c r="C94" s="1"/>
  <c r="N28"/>
  <c r="N34" s="1"/>
  <c r="M28"/>
  <c r="L28"/>
  <c r="L34" s="1"/>
  <c r="K28"/>
  <c r="J28"/>
  <c r="J34" s="1"/>
  <c r="I28"/>
  <c r="H28"/>
  <c r="H34" s="1"/>
  <c r="G28"/>
  <c r="F28"/>
  <c r="F34" s="1"/>
  <c r="E28"/>
  <c r="E93" s="1"/>
  <c r="D28"/>
  <c r="D93" s="1"/>
  <c r="C28"/>
  <c r="C93" s="1"/>
  <c r="O32"/>
  <c r="O31"/>
  <c r="O30"/>
  <c r="O28"/>
  <c r="N27"/>
  <c r="M27"/>
  <c r="L27"/>
  <c r="K27"/>
  <c r="J27"/>
  <c r="I27"/>
  <c r="H27"/>
  <c r="G27"/>
  <c r="F27"/>
  <c r="E27"/>
  <c r="E92" s="1"/>
  <c r="D27"/>
  <c r="D92" s="1"/>
  <c r="C27"/>
  <c r="C33"/>
  <c r="N23"/>
  <c r="M23"/>
  <c r="L23"/>
  <c r="K23"/>
  <c r="J23"/>
  <c r="I23"/>
  <c r="H23"/>
  <c r="G23"/>
  <c r="F23"/>
  <c r="E23"/>
  <c r="E88" s="1"/>
  <c r="D23"/>
  <c r="D88" s="1"/>
  <c r="M22"/>
  <c r="L22"/>
  <c r="L24" s="1"/>
  <c r="K22"/>
  <c r="J22"/>
  <c r="J24" s="1"/>
  <c r="I22"/>
  <c r="H22"/>
  <c r="H24" s="1"/>
  <c r="G22"/>
  <c r="F22"/>
  <c r="F24" s="1"/>
  <c r="E22"/>
  <c r="E87" s="1"/>
  <c r="D22"/>
  <c r="D87" s="1"/>
  <c r="C23"/>
  <c r="C88" s="1"/>
  <c r="C22"/>
  <c r="C87" s="1"/>
  <c r="O87" s="1"/>
  <c r="N18"/>
  <c r="M18"/>
  <c r="L18"/>
  <c r="K18"/>
  <c r="J18"/>
  <c r="I18"/>
  <c r="H18"/>
  <c r="G18"/>
  <c r="F18"/>
  <c r="E18"/>
  <c r="E83" s="1"/>
  <c r="D18"/>
  <c r="D83" s="1"/>
  <c r="C18"/>
  <c r="C83" s="1"/>
  <c r="O83" s="1"/>
  <c r="O22"/>
  <c r="O21"/>
  <c r="O20"/>
  <c r="O19"/>
  <c r="O18"/>
  <c r="N17"/>
  <c r="M17"/>
  <c r="L17"/>
  <c r="K17"/>
  <c r="J17"/>
  <c r="I17"/>
  <c r="H17"/>
  <c r="G17"/>
  <c r="F17"/>
  <c r="E17"/>
  <c r="E82" s="1"/>
  <c r="D17"/>
  <c r="D82" s="1"/>
  <c r="C17"/>
  <c r="M34"/>
  <c r="K34"/>
  <c r="I34"/>
  <c r="G34"/>
  <c r="E34"/>
  <c r="E99" s="1"/>
  <c r="C34"/>
  <c r="C99" s="1"/>
  <c r="M24"/>
  <c r="K24"/>
  <c r="I24"/>
  <c r="G24"/>
  <c r="E24"/>
  <c r="E89" s="1"/>
  <c r="C24"/>
  <c r="C89" s="1"/>
  <c r="N9"/>
  <c r="M9"/>
  <c r="L9"/>
  <c r="K9"/>
  <c r="J9"/>
  <c r="I9"/>
  <c r="H9"/>
  <c r="G9"/>
  <c r="F9"/>
  <c r="E9"/>
  <c r="E74" s="1"/>
  <c r="D9"/>
  <c r="D74" s="1"/>
  <c r="C9"/>
  <c r="C74" s="1"/>
  <c r="O74" s="1"/>
  <c r="O13"/>
  <c r="O12"/>
  <c r="O11"/>
  <c r="O10"/>
  <c r="N8"/>
  <c r="N14" s="1"/>
  <c r="M8"/>
  <c r="L8"/>
  <c r="K8"/>
  <c r="J8"/>
  <c r="I8"/>
  <c r="H8"/>
  <c r="G8"/>
  <c r="F8"/>
  <c r="E8"/>
  <c r="E73" s="1"/>
  <c r="D8"/>
  <c r="D73" s="1"/>
  <c r="C8"/>
  <c r="C73" s="1"/>
  <c r="M7"/>
  <c r="M14" s="1"/>
  <c r="L7"/>
  <c r="K7"/>
  <c r="K14" s="1"/>
  <c r="J7"/>
  <c r="I7"/>
  <c r="I14" s="1"/>
  <c r="H7"/>
  <c r="G7"/>
  <c r="G14" s="1"/>
  <c r="F7"/>
  <c r="E7"/>
  <c r="D7"/>
  <c r="C7"/>
  <c r="O12" i="9"/>
  <c r="N270" i="1"/>
  <c r="D11" i="4"/>
  <c r="E11"/>
  <c r="F11"/>
  <c r="G11"/>
  <c r="H11"/>
  <c r="I11"/>
  <c r="J11"/>
  <c r="K11"/>
  <c r="L11"/>
  <c r="M11"/>
  <c r="N11"/>
  <c r="C11"/>
  <c r="N15"/>
  <c r="M15"/>
  <c r="L15"/>
  <c r="K15"/>
  <c r="J15"/>
  <c r="I15"/>
  <c r="H15"/>
  <c r="G15"/>
  <c r="F15"/>
  <c r="E15"/>
  <c r="D15"/>
  <c r="C15"/>
  <c r="C17" s="1"/>
  <c r="D5" s="1"/>
  <c r="N13"/>
  <c r="M13"/>
  <c r="L13"/>
  <c r="K13"/>
  <c r="J13"/>
  <c r="I13"/>
  <c r="H13"/>
  <c r="G13"/>
  <c r="F13"/>
  <c r="E13"/>
  <c r="D13"/>
  <c r="C13"/>
  <c r="N9"/>
  <c r="M9"/>
  <c r="L9"/>
  <c r="K9"/>
  <c r="J9"/>
  <c r="I9"/>
  <c r="H9"/>
  <c r="G9"/>
  <c r="F9"/>
  <c r="E9"/>
  <c r="D9"/>
  <c r="C9"/>
  <c r="D11" i="3"/>
  <c r="E11"/>
  <c r="F11"/>
  <c r="G11"/>
  <c r="H11"/>
  <c r="I11"/>
  <c r="J11"/>
  <c r="K11"/>
  <c r="L11"/>
  <c r="M11"/>
  <c r="N11"/>
  <c r="C11"/>
  <c r="N15"/>
  <c r="M15"/>
  <c r="L15"/>
  <c r="K15"/>
  <c r="J15"/>
  <c r="I15"/>
  <c r="H15"/>
  <c r="G15"/>
  <c r="F15"/>
  <c r="E15"/>
  <c r="D15"/>
  <c r="C15"/>
  <c r="C17" s="1"/>
  <c r="D5" s="1"/>
  <c r="N13"/>
  <c r="M13"/>
  <c r="L13"/>
  <c r="K13"/>
  <c r="J13"/>
  <c r="I13"/>
  <c r="H13"/>
  <c r="G13"/>
  <c r="F13"/>
  <c r="E13"/>
  <c r="D13"/>
  <c r="C13"/>
  <c r="N9"/>
  <c r="M9"/>
  <c r="L9"/>
  <c r="K9"/>
  <c r="J9"/>
  <c r="I9"/>
  <c r="H9"/>
  <c r="G9"/>
  <c r="F9"/>
  <c r="E9"/>
  <c r="D9"/>
  <c r="C9"/>
  <c r="O13" l="1"/>
  <c r="O9" i="4"/>
  <c r="O9" i="3"/>
  <c r="O13" i="4"/>
  <c r="C14" i="10"/>
  <c r="C79" s="1"/>
  <c r="C72"/>
  <c r="E14"/>
  <c r="E79" s="1"/>
  <c r="E72"/>
  <c r="O17"/>
  <c r="C82"/>
  <c r="O82" s="1"/>
  <c r="O27"/>
  <c r="C92"/>
  <c r="O92" s="1"/>
  <c r="D14"/>
  <c r="D79" s="1"/>
  <c r="D72"/>
  <c r="O33"/>
  <c r="C98"/>
  <c r="O98" s="1"/>
  <c r="O8"/>
  <c r="F14"/>
  <c r="H14"/>
  <c r="J14"/>
  <c r="L14"/>
  <c r="L36" s="1"/>
  <c r="L11" i="9" s="1"/>
  <c r="O73" i="10"/>
  <c r="O9"/>
  <c r="D24"/>
  <c r="D89" s="1"/>
  <c r="D34"/>
  <c r="D99" s="1"/>
  <c r="O23"/>
  <c r="O88"/>
  <c r="O29"/>
  <c r="O93"/>
  <c r="O94"/>
  <c r="Q15" i="9"/>
  <c r="S15"/>
  <c r="R15"/>
  <c r="C15"/>
  <c r="C17" s="1"/>
  <c r="D5" s="1"/>
  <c r="D17" s="1"/>
  <c r="E5" s="1"/>
  <c r="E17" s="1"/>
  <c r="P15"/>
  <c r="P17" s="1"/>
  <c r="Q5" s="1"/>
  <c r="Q17" s="1"/>
  <c r="O7" i="10"/>
  <c r="O8" i="9"/>
  <c r="O24" i="10"/>
  <c r="H36"/>
  <c r="H11" i="9" s="1"/>
  <c r="H13" s="1"/>
  <c r="O14" i="10"/>
  <c r="G36"/>
  <c r="G11" i="9" s="1"/>
  <c r="G13" s="1"/>
  <c r="I36" i="10"/>
  <c r="I11" i="9" s="1"/>
  <c r="K36" i="10"/>
  <c r="K11" i="9" s="1"/>
  <c r="K13" s="1"/>
  <c r="M36" i="10"/>
  <c r="M11" i="9" s="1"/>
  <c r="F36" i="10"/>
  <c r="F11" i="9" s="1"/>
  <c r="F13" s="1"/>
  <c r="J36" i="10"/>
  <c r="J11" i="9" s="1"/>
  <c r="J13" s="1"/>
  <c r="N36" i="10"/>
  <c r="N11" i="9" s="1"/>
  <c r="C36" i="10"/>
  <c r="D17" i="4"/>
  <c r="E5" s="1"/>
  <c r="D17" i="3"/>
  <c r="E5" s="1"/>
  <c r="D11" i="2"/>
  <c r="D13" s="1"/>
  <c r="E11"/>
  <c r="F11"/>
  <c r="F13" s="1"/>
  <c r="G11"/>
  <c r="G13" s="1"/>
  <c r="H11"/>
  <c r="H13" s="1"/>
  <c r="I11"/>
  <c r="J11"/>
  <c r="J13" s="1"/>
  <c r="K11"/>
  <c r="K13" s="1"/>
  <c r="L11"/>
  <c r="L13" s="1"/>
  <c r="M11"/>
  <c r="N11"/>
  <c r="N13" s="1"/>
  <c r="C11"/>
  <c r="C13" s="1"/>
  <c r="N9"/>
  <c r="N15"/>
  <c r="M15"/>
  <c r="L15"/>
  <c r="K15"/>
  <c r="J15"/>
  <c r="I15"/>
  <c r="H15"/>
  <c r="G15"/>
  <c r="F15"/>
  <c r="E15"/>
  <c r="D15"/>
  <c r="C15"/>
  <c r="C17" s="1"/>
  <c r="D5" s="1"/>
  <c r="M13"/>
  <c r="I13"/>
  <c r="E13"/>
  <c r="M9"/>
  <c r="L9"/>
  <c r="K9"/>
  <c r="J9"/>
  <c r="I9"/>
  <c r="H9"/>
  <c r="G9"/>
  <c r="F9"/>
  <c r="E9"/>
  <c r="D9"/>
  <c r="C9"/>
  <c r="L13" i="9" l="1"/>
  <c r="AQ11"/>
  <c r="AM11"/>
  <c r="AL11"/>
  <c r="AK11"/>
  <c r="AN11"/>
  <c r="AI11"/>
  <c r="AH11"/>
  <c r="AO11"/>
  <c r="AP11"/>
  <c r="AJ11"/>
  <c r="N13"/>
  <c r="AS11"/>
  <c r="R5"/>
  <c r="R17" s="1"/>
  <c r="S5" s="1"/>
  <c r="S17" s="1"/>
  <c r="M13"/>
  <c r="AR11"/>
  <c r="O13" i="2"/>
  <c r="O9"/>
  <c r="E17" i="4"/>
  <c r="F5" s="1"/>
  <c r="C11" i="9"/>
  <c r="C13" s="1"/>
  <c r="C101" i="10"/>
  <c r="O34"/>
  <c r="O36" s="1"/>
  <c r="E36"/>
  <c r="D36"/>
  <c r="O99"/>
  <c r="O89"/>
  <c r="O72"/>
  <c r="O79" s="1"/>
  <c r="O15" i="9"/>
  <c r="E17" i="3"/>
  <c r="F5" s="1"/>
  <c r="Q11" i="9"/>
  <c r="Q13" s="1"/>
  <c r="R11"/>
  <c r="R13" s="1"/>
  <c r="I13"/>
  <c r="S11"/>
  <c r="S13" s="1"/>
  <c r="F5"/>
  <c r="F17" s="1"/>
  <c r="D17" i="2"/>
  <c r="E5" s="1"/>
  <c r="B5" i="21" l="1"/>
  <c r="B6" s="1"/>
  <c r="F17" i="3"/>
  <c r="F17" i="4"/>
  <c r="E17" i="2"/>
  <c r="F5" s="1"/>
  <c r="D11" i="9"/>
  <c r="D101" i="10"/>
  <c r="E11" i="9"/>
  <c r="E101" i="10"/>
  <c r="O101"/>
  <c r="G5" i="9"/>
  <c r="G17" s="1"/>
  <c r="G5" i="3" l="1"/>
  <c r="G17" s="1"/>
  <c r="H5" s="1"/>
  <c r="H17" s="1"/>
  <c r="I5" s="1"/>
  <c r="I17" s="1"/>
  <c r="J5" s="1"/>
  <c r="J17" s="1"/>
  <c r="G5" i="4"/>
  <c r="G17" s="1"/>
  <c r="H5" s="1"/>
  <c r="H17" s="1"/>
  <c r="I5" s="1"/>
  <c r="I17" s="1"/>
  <c r="J5" s="1"/>
  <c r="J17" s="1"/>
  <c r="F17" i="2"/>
  <c r="E13" i="9"/>
  <c r="D13"/>
  <c r="O11"/>
  <c r="P11"/>
  <c r="P13" s="1"/>
  <c r="H5"/>
  <c r="H17" s="1"/>
  <c r="K5" i="3" l="1"/>
  <c r="K17" s="1"/>
  <c r="L5" s="1"/>
  <c r="L17" s="1"/>
  <c r="M5" s="1"/>
  <c r="B2" i="22"/>
  <c r="B8" s="1"/>
  <c r="B14" s="1"/>
  <c r="K5" i="4"/>
  <c r="K17" s="1"/>
  <c r="L5" s="1"/>
  <c r="L17" s="1"/>
  <c r="M5" s="1"/>
  <c r="B2" i="24"/>
  <c r="B8" s="1"/>
  <c r="B14" s="1"/>
  <c r="G5" i="2"/>
  <c r="G17" s="1"/>
  <c r="H5" s="1"/>
  <c r="H17" s="1"/>
  <c r="I5" s="1"/>
  <c r="I17" s="1"/>
  <c r="J5" s="1"/>
  <c r="J17" s="1"/>
  <c r="O13" i="9"/>
  <c r="I5"/>
  <c r="I17" s="1"/>
  <c r="M17" i="3" l="1"/>
  <c r="M17" i="4"/>
  <c r="K5" i="2"/>
  <c r="K17" s="1"/>
  <c r="L5" s="1"/>
  <c r="L17" s="1"/>
  <c r="M5" s="1"/>
  <c r="B2" i="23"/>
  <c r="B8" s="1"/>
  <c r="B14" s="1"/>
  <c r="J5" i="9"/>
  <c r="J17" s="1"/>
  <c r="B2" i="21" s="1"/>
  <c r="B8" s="1"/>
  <c r="B14" s="1"/>
  <c r="N5" i="3" l="1"/>
  <c r="N17" s="1"/>
  <c r="U5"/>
  <c r="U19" s="1"/>
  <c r="V5" s="1"/>
  <c r="V19" s="1"/>
  <c r="W5" s="1"/>
  <c r="W19" s="1"/>
  <c r="X5" s="1"/>
  <c r="X19" s="1"/>
  <c r="Y5" s="1"/>
  <c r="Y19" s="1"/>
  <c r="Z5" s="1"/>
  <c r="Z19" s="1"/>
  <c r="AA5" s="1"/>
  <c r="AA19" s="1"/>
  <c r="AB5" s="1"/>
  <c r="AB19" s="1"/>
  <c r="AC5" s="1"/>
  <c r="AC19" s="1"/>
  <c r="AD5" s="1"/>
  <c r="AD19" s="1"/>
  <c r="AE5" s="1"/>
  <c r="AE19" s="1"/>
  <c r="AF5" s="1"/>
  <c r="AF19" s="1"/>
  <c r="N5" i="4"/>
  <c r="N17" s="1"/>
  <c r="U5"/>
  <c r="U19" s="1"/>
  <c r="V5" s="1"/>
  <c r="V19" s="1"/>
  <c r="W5" s="1"/>
  <c r="W19" s="1"/>
  <c r="X5" s="1"/>
  <c r="X19" s="1"/>
  <c r="Y5" s="1"/>
  <c r="Y19" s="1"/>
  <c r="Z5" s="1"/>
  <c r="Z19" s="1"/>
  <c r="AA5" s="1"/>
  <c r="AA19" s="1"/>
  <c r="AB5" s="1"/>
  <c r="AB19" s="1"/>
  <c r="AC5" s="1"/>
  <c r="AC19" s="1"/>
  <c r="AD5" s="1"/>
  <c r="AD19" s="1"/>
  <c r="AE5" s="1"/>
  <c r="AE19" s="1"/>
  <c r="AF5" s="1"/>
  <c r="AF19" s="1"/>
  <c r="M17" i="2"/>
  <c r="K5" i="9"/>
  <c r="K17" s="1"/>
  <c r="N5" i="2" l="1"/>
  <c r="N17" s="1"/>
  <c r="U5"/>
  <c r="U19" s="1"/>
  <c r="V5" s="1"/>
  <c r="V19" s="1"/>
  <c r="W5" s="1"/>
  <c r="W19" s="1"/>
  <c r="X5" s="1"/>
  <c r="X19" s="1"/>
  <c r="Y5" s="1"/>
  <c r="Y19" s="1"/>
  <c r="Z5" s="1"/>
  <c r="Z19" s="1"/>
  <c r="AA5" s="1"/>
  <c r="AA19" s="1"/>
  <c r="AB5" s="1"/>
  <c r="AB19" s="1"/>
  <c r="AC5" s="1"/>
  <c r="AC19" s="1"/>
  <c r="AD5" s="1"/>
  <c r="AD19" s="1"/>
  <c r="AE5" s="1"/>
  <c r="AE19" s="1"/>
  <c r="AF5" s="1"/>
  <c r="AF19" s="1"/>
  <c r="L5" i="9"/>
  <c r="L17" s="1"/>
  <c r="M5" l="1"/>
  <c r="M17" l="1"/>
  <c r="N5" l="1"/>
  <c r="N17" s="1"/>
  <c r="N11" i="1"/>
  <c r="N32" s="1"/>
  <c r="N13"/>
  <c r="N34" s="1"/>
  <c r="N14" l="1"/>
  <c r="N24"/>
  <c r="O10" i="12"/>
  <c r="M8"/>
  <c r="M10" s="1"/>
  <c r="K8"/>
  <c r="K10" s="1"/>
  <c r="I8"/>
  <c r="I10" s="1"/>
  <c r="G8"/>
  <c r="G10" s="1"/>
  <c r="E8"/>
  <c r="E10" s="1"/>
  <c r="N8"/>
  <c r="N10" s="1"/>
  <c r="L8"/>
  <c r="L10" s="1"/>
  <c r="J8"/>
  <c r="J10" s="1"/>
  <c r="H8"/>
  <c r="H10" s="1"/>
  <c r="F8"/>
  <c r="F10" s="1"/>
  <c r="C8"/>
  <c r="C10" s="1"/>
  <c r="D8"/>
  <c r="D10" s="1"/>
  <c r="N11" i="18"/>
  <c r="N27" s="1"/>
  <c r="I12"/>
  <c r="J12"/>
  <c r="K12"/>
  <c r="D12"/>
  <c r="N9"/>
  <c r="N25" s="1"/>
  <c r="N10"/>
  <c r="N26" s="1"/>
  <c r="E12"/>
  <c r="M12"/>
  <c r="L12"/>
  <c r="F12"/>
  <c r="N8"/>
  <c r="N24" s="1"/>
  <c r="N28" s="1"/>
  <c r="B12"/>
  <c r="C12"/>
  <c r="H12"/>
  <c r="G12"/>
  <c r="N12" l="1"/>
  <c r="N35" i="1"/>
  <c r="N37" i="18"/>
  <c r="B41"/>
  <c r="N41" s="1"/>
  <c r="C56"/>
  <c r="D56"/>
  <c r="N53"/>
  <c r="N55"/>
  <c r="N54"/>
  <c r="N38"/>
  <c r="N40"/>
  <c r="N39"/>
  <c r="B56" l="1"/>
  <c r="N52"/>
  <c r="N56" s="1"/>
  <c r="B12" i="7"/>
  <c r="J12"/>
  <c r="I12"/>
  <c r="D12"/>
  <c r="C12"/>
  <c r="K12"/>
  <c r="N8"/>
  <c r="N11"/>
  <c r="N10"/>
  <c r="N9"/>
  <c r="F12"/>
  <c r="E12"/>
  <c r="M12"/>
  <c r="H12"/>
  <c r="G12"/>
  <c r="L12"/>
  <c r="D58" l="1"/>
  <c r="N41"/>
  <c r="N40"/>
  <c r="N39"/>
  <c r="N57"/>
  <c r="C58"/>
  <c r="N55"/>
  <c r="N12"/>
  <c r="N42"/>
  <c r="N56"/>
  <c r="N43" l="1"/>
  <c r="N54"/>
  <c r="N58" s="1"/>
  <c r="B58"/>
  <c r="L31" i="20" l="1"/>
  <c r="H31"/>
  <c r="D31"/>
  <c r="M31"/>
  <c r="I31"/>
  <c r="C31"/>
  <c r="B31"/>
  <c r="F31"/>
  <c r="J31"/>
  <c r="G31"/>
  <c r="K31"/>
  <c r="E31"/>
  <c r="K45"/>
  <c r="L45"/>
  <c r="C45"/>
  <c r="M45"/>
  <c r="F45"/>
  <c r="G45"/>
  <c r="D45"/>
  <c r="I45"/>
  <c r="N8"/>
  <c r="N31" s="1"/>
  <c r="B45"/>
  <c r="J45"/>
  <c r="H45"/>
  <c r="E45"/>
  <c r="N45" l="1"/>
  <c r="L34"/>
  <c r="H34"/>
  <c r="D34"/>
  <c r="M34"/>
  <c r="I34"/>
  <c r="C34"/>
  <c r="B34"/>
  <c r="K34"/>
  <c r="F34"/>
  <c r="J34"/>
  <c r="G34"/>
  <c r="E34"/>
  <c r="F48"/>
  <c r="J48"/>
  <c r="G48"/>
  <c r="L48"/>
  <c r="C48"/>
  <c r="N11"/>
  <c r="N34" s="1"/>
  <c r="H48"/>
  <c r="M48"/>
  <c r="D48"/>
  <c r="I48"/>
  <c r="E48"/>
  <c r="K48"/>
  <c r="B48"/>
  <c r="N48" l="1"/>
  <c r="L36" l="1"/>
  <c r="H15"/>
  <c r="H37" s="1"/>
  <c r="H36"/>
  <c r="K36"/>
  <c r="E36"/>
  <c r="E15"/>
  <c r="E37" s="1"/>
  <c r="G36"/>
  <c r="C36"/>
  <c r="F36"/>
  <c r="J36"/>
  <c r="J15"/>
  <c r="J37" s="1"/>
  <c r="D15"/>
  <c r="D37" s="1"/>
  <c r="D36"/>
  <c r="M36"/>
  <c r="K15"/>
  <c r="K37"/>
  <c r="F15"/>
  <c r="F37" s="1"/>
  <c r="I36"/>
  <c r="B36"/>
  <c r="B15"/>
  <c r="B37" s="1"/>
  <c r="G15"/>
  <c r="G37"/>
  <c r="C15"/>
  <c r="C37"/>
  <c r="N14"/>
  <c r="N36" s="1"/>
  <c r="M15"/>
  <c r="M37" s="1"/>
  <c r="L15"/>
  <c r="L37" s="1"/>
  <c r="I15"/>
  <c r="I37" s="1"/>
  <c r="N15" l="1"/>
  <c r="N37" s="1"/>
  <c r="E48" i="1"/>
  <c r="E67" s="1"/>
  <c r="G9" i="9"/>
  <c r="B48" i="1"/>
  <c r="B67" s="1"/>
  <c r="B68" s="1"/>
  <c r="C48"/>
  <c r="I48"/>
  <c r="I67" s="1"/>
  <c r="I68" s="1"/>
  <c r="N49"/>
  <c r="S7" i="9"/>
  <c r="S9" s="1"/>
  <c r="K48" i="1"/>
  <c r="K67" s="1"/>
  <c r="K68" s="1"/>
  <c r="K9" i="9"/>
  <c r="D48" i="1"/>
  <c r="D67" s="1"/>
  <c r="D68" s="1"/>
  <c r="L48"/>
  <c r="L67" s="1"/>
  <c r="L68" s="1"/>
  <c r="J48"/>
  <c r="J67" s="1"/>
  <c r="J68" s="1"/>
  <c r="N9" i="9"/>
  <c r="F9"/>
  <c r="D9"/>
  <c r="O7"/>
  <c r="C9"/>
  <c r="M48" i="1"/>
  <c r="M67" s="1"/>
  <c r="M68" s="1"/>
  <c r="H9" i="9"/>
  <c r="J9"/>
  <c r="M9"/>
  <c r="H48" i="1"/>
  <c r="H67" s="1"/>
  <c r="H68" s="1"/>
  <c r="G48"/>
  <c r="G67" s="1"/>
  <c r="G68" s="1"/>
  <c r="I9" i="9"/>
  <c r="R7"/>
  <c r="R9" s="1"/>
  <c r="F48" i="1"/>
  <c r="F67" s="1"/>
  <c r="F68" s="1"/>
  <c r="E9" i="9"/>
  <c r="N48" i="1" l="1"/>
  <c r="C67"/>
  <c r="C68" s="1"/>
  <c r="E68"/>
  <c r="AH5" i="9"/>
  <c r="AH19" s="1"/>
  <c r="AI5" s="1"/>
  <c r="AI19" s="1"/>
  <c r="AJ5" s="1"/>
  <c r="AJ19" s="1"/>
  <c r="AK5" s="1"/>
  <c r="AK19" s="1"/>
  <c r="AL5" s="1"/>
  <c r="AL19" s="1"/>
  <c r="AM5" s="1"/>
  <c r="AM19" s="1"/>
  <c r="AN5" s="1"/>
  <c r="AN19" s="1"/>
  <c r="AO5" s="1"/>
  <c r="AO19" s="1"/>
  <c r="AP5" s="1"/>
  <c r="AP19" s="1"/>
  <c r="AQ5" s="1"/>
  <c r="AQ19" s="1"/>
  <c r="AR5" s="1"/>
  <c r="AR19" s="1"/>
  <c r="AS5" s="1"/>
  <c r="AS19" s="1"/>
  <c r="Q7"/>
  <c r="Q9" s="1"/>
  <c r="P7"/>
  <c r="P9" s="1"/>
  <c r="L9"/>
  <c r="O9" s="1"/>
  <c r="N67" i="1" l="1"/>
  <c r="N68" s="1"/>
  <c r="N51" i="20"/>
  <c r="N52" l="1"/>
</calcChain>
</file>

<file path=xl/comments1.xml><?xml version="1.0" encoding="utf-8"?>
<comments xmlns="http://schemas.openxmlformats.org/spreadsheetml/2006/main">
  <authors>
    <author>Energy Section</author>
  </authors>
  <commentList>
    <comment ref="B11" authorId="0">
      <text>
        <r>
          <rPr>
            <b/>
            <sz val="8"/>
            <color indexed="81"/>
            <rFont val="Tahoma"/>
            <family val="2"/>
          </rPr>
          <t>Energy Section:</t>
        </r>
        <r>
          <rPr>
            <sz val="8"/>
            <color indexed="81"/>
            <rFont val="Tahoma"/>
            <family val="2"/>
          </rPr>
          <t xml:space="preserve">
from sheet "WA(E)-Budget Exp"
</t>
        </r>
      </text>
    </comment>
  </commentList>
</comments>
</file>

<file path=xl/comments2.xml><?xml version="1.0" encoding="utf-8"?>
<comments xmlns="http://schemas.openxmlformats.org/spreadsheetml/2006/main">
  <authors>
    <author>Lori</author>
  </authors>
  <commentList>
    <comment ref="B37" authorId="0">
      <text>
        <r>
          <rPr>
            <sz val="8"/>
            <color indexed="81"/>
            <rFont val="Tahoma"/>
            <family val="2"/>
          </rPr>
          <t>revenue conversion factor</t>
        </r>
      </text>
    </comment>
    <comment ref="C37" authorId="0">
      <text>
        <r>
          <rPr>
            <sz val="8"/>
            <color indexed="81"/>
            <rFont val="Tahoma"/>
            <family val="2"/>
          </rPr>
          <t>gross up factor
for base revenue</t>
        </r>
      </text>
    </comment>
    <comment ref="D37" authorId="0">
      <text>
        <r>
          <rPr>
            <sz val="8"/>
            <color indexed="81"/>
            <rFont val="Tahoma"/>
            <family val="2"/>
          </rPr>
          <t>gross up factor
for base revenue eff Mar 2010</t>
        </r>
      </text>
    </comment>
    <comment ref="E37" authorId="0">
      <text>
        <r>
          <rPr>
            <sz val="8"/>
            <color indexed="81"/>
            <rFont val="Tahoma"/>
            <family val="2"/>
          </rPr>
          <t xml:space="preserve">sch 59 for schedule 48 only
</t>
        </r>
      </text>
    </comment>
    <comment ref="F37" authorId="0">
      <text>
        <r>
          <rPr>
            <sz val="8"/>
            <color indexed="81"/>
            <rFont val="Tahoma"/>
            <family val="2"/>
          </rPr>
          <t xml:space="preserve">revenue conversion factor
revised 12-1-10
</t>
        </r>
      </text>
    </comment>
  </commentList>
</comments>
</file>

<file path=xl/comments3.xml><?xml version="1.0" encoding="utf-8"?>
<comments xmlns="http://schemas.openxmlformats.org/spreadsheetml/2006/main">
  <authors>
    <author>Lori</author>
  </authors>
  <commentList>
    <comment ref="E19" authorId="0">
      <text>
        <r>
          <rPr>
            <b/>
            <sz val="8"/>
            <color indexed="81"/>
            <rFont val="Tahoma"/>
            <family val="2"/>
          </rPr>
          <t>includes a correction for incorrect therms booked in the previous month on journal DJ213</t>
        </r>
      </text>
    </comment>
    <comment ref="B30" authorId="0">
      <text>
        <r>
          <rPr>
            <sz val="8"/>
            <color indexed="81"/>
            <rFont val="Tahoma"/>
            <family val="2"/>
          </rPr>
          <t>revenue conversion factor in forecast</t>
        </r>
      </text>
    </comment>
    <comment ref="B31" authorId="0">
      <text>
        <r>
          <rPr>
            <sz val="8"/>
            <color indexed="81"/>
            <rFont val="Tahoma"/>
            <family val="2"/>
          </rPr>
          <t>revenue conversion factor</t>
        </r>
      </text>
    </comment>
    <comment ref="C31" authorId="0">
      <text>
        <r>
          <rPr>
            <sz val="8"/>
            <color indexed="81"/>
            <rFont val="Tahoma"/>
            <family val="2"/>
          </rPr>
          <t>revenue conversion factor
revised 12-1-10</t>
        </r>
      </text>
    </comment>
    <comment ref="E47" authorId="0">
      <text>
        <r>
          <rPr>
            <b/>
            <sz val="8"/>
            <color indexed="81"/>
            <rFont val="Tahoma"/>
            <family val="2"/>
          </rPr>
          <t>input revenue rather than prorating consumption at Mar vs Apr rates</t>
        </r>
      </text>
    </comment>
    <comment ref="F47" authorId="0">
      <text>
        <r>
          <rPr>
            <b/>
            <sz val="8"/>
            <color indexed="81"/>
            <rFont val="Tahoma"/>
            <family val="2"/>
          </rPr>
          <t>input revenue rather than prorating consumption at Mar vs Apr rates</t>
        </r>
      </text>
    </comment>
  </commentList>
</comments>
</file>

<file path=xl/comments4.xml><?xml version="1.0" encoding="utf-8"?>
<comments xmlns="http://schemas.openxmlformats.org/spreadsheetml/2006/main">
  <authors>
    <author>Lori</author>
  </authors>
  <commentList>
    <comment ref="B39" authorId="0">
      <text>
        <r>
          <rPr>
            <sz val="8"/>
            <color indexed="81"/>
            <rFont val="Tahoma"/>
            <family val="2"/>
          </rPr>
          <t>revenue conversion factor</t>
        </r>
      </text>
    </comment>
    <comment ref="C39" authorId="0">
      <text>
        <r>
          <rPr>
            <sz val="8"/>
            <color indexed="81"/>
            <rFont val="Tahoma"/>
            <family val="2"/>
          </rPr>
          <t>gross up factor
for base revenue</t>
        </r>
      </text>
    </comment>
    <comment ref="D39" authorId="0">
      <text>
        <r>
          <rPr>
            <sz val="8"/>
            <color indexed="81"/>
            <rFont val="Tahoma"/>
            <family val="2"/>
          </rPr>
          <t xml:space="preserve">sch 59 for schedule 48 only
</t>
        </r>
      </text>
    </comment>
    <comment ref="E39" authorId="0">
      <text>
        <r>
          <rPr>
            <sz val="8"/>
            <color indexed="81"/>
            <rFont val="Tahoma"/>
            <family val="2"/>
          </rPr>
          <t xml:space="preserve">sch 66 </t>
        </r>
      </text>
    </comment>
    <comment ref="G39" authorId="0">
      <text>
        <r>
          <rPr>
            <sz val="8"/>
            <color indexed="81"/>
            <rFont val="Tahoma"/>
            <family val="2"/>
          </rPr>
          <t>revenue conversion factor effective 10/1/10</t>
        </r>
      </text>
    </comment>
    <comment ref="H39" authorId="0">
      <text>
        <r>
          <rPr>
            <sz val="8"/>
            <color indexed="81"/>
            <rFont val="Tahoma"/>
            <family val="2"/>
          </rPr>
          <t>revenue conversion factor effective 11/1/10</t>
        </r>
      </text>
    </comment>
    <comment ref="I39" authorId="0">
      <text>
        <r>
          <rPr>
            <sz val="8"/>
            <color indexed="81"/>
            <rFont val="Tahoma"/>
            <family val="2"/>
          </rPr>
          <t>revenue conversion factor effective 11/1/10</t>
        </r>
      </text>
    </comment>
    <comment ref="K63" authorId="0">
      <text>
        <r>
          <rPr>
            <b/>
            <sz val="8"/>
            <color indexed="81"/>
            <rFont val="Tahoma"/>
            <family val="2"/>
          </rPr>
          <t>entered values above due to prorating of new revenue conversion amt</t>
        </r>
      </text>
    </comment>
    <comment ref="L63" authorId="0">
      <text>
        <r>
          <rPr>
            <b/>
            <sz val="8"/>
            <color indexed="81"/>
            <rFont val="Tahoma"/>
            <family val="2"/>
          </rPr>
          <t>entered values above due to prorating of new revenue conversion amt</t>
        </r>
      </text>
    </comment>
  </commentList>
</comments>
</file>

<file path=xl/comments5.xml><?xml version="1.0" encoding="utf-8"?>
<comments xmlns="http://schemas.openxmlformats.org/spreadsheetml/2006/main">
  <authors>
    <author>Lori</author>
  </authors>
  <commentList>
    <comment ref="B30" authorId="0">
      <text>
        <r>
          <rPr>
            <sz val="8"/>
            <color indexed="81"/>
            <rFont val="Tahoma"/>
            <family val="2"/>
          </rPr>
          <t>revenue conversion factor in forecast</t>
        </r>
      </text>
    </comment>
    <comment ref="B31" authorId="0">
      <text>
        <r>
          <rPr>
            <sz val="8"/>
            <color indexed="81"/>
            <rFont val="Tahoma"/>
            <family val="2"/>
          </rPr>
          <t>revenue conversion factor</t>
        </r>
      </text>
    </comment>
    <comment ref="C31" authorId="0">
      <text>
        <r>
          <rPr>
            <sz val="8"/>
            <color indexed="81"/>
            <rFont val="Tahoma"/>
            <family val="2"/>
          </rPr>
          <t>revenue conversion factor effective 10/1/10</t>
        </r>
      </text>
    </comment>
    <comment ref="K49" authorId="0">
      <text>
        <r>
          <rPr>
            <b/>
            <sz val="8"/>
            <color indexed="81"/>
            <rFont val="Tahoma"/>
            <family val="2"/>
          </rPr>
          <t>entered values above due to prorating of revenue conversion factors</t>
        </r>
      </text>
    </comment>
  </commentList>
</comments>
</file>

<file path=xl/sharedStrings.xml><?xml version="1.0" encoding="utf-8"?>
<sst xmlns="http://schemas.openxmlformats.org/spreadsheetml/2006/main" count="1270" uniqueCount="270">
  <si>
    <t>Jan</t>
  </si>
  <si>
    <t>Feb</t>
  </si>
  <si>
    <t>Mar</t>
  </si>
  <si>
    <t>Apr</t>
  </si>
  <si>
    <t>May</t>
  </si>
  <si>
    <t>Jun</t>
  </si>
  <si>
    <t>Jul</t>
  </si>
  <si>
    <t>Aug</t>
  </si>
  <si>
    <t>Sep</t>
  </si>
  <si>
    <t>Oct</t>
  </si>
  <si>
    <t>Nov</t>
  </si>
  <si>
    <t>Dec</t>
  </si>
  <si>
    <t xml:space="preserve">Washington Electric Schedule 91 </t>
  </si>
  <si>
    <t>Tariff Rider Balance</t>
  </si>
  <si>
    <t>Forecasted tariff rider collections</t>
  </si>
  <si>
    <t>Actual tariff rider collections</t>
  </si>
  <si>
    <t>Favorable (Unfavorble) Variance</t>
  </si>
  <si>
    <t>Actual expenditures</t>
  </si>
  <si>
    <t>Budgeted expenditures</t>
  </si>
  <si>
    <t>Favorable (Unfavorable) Variance</t>
  </si>
  <si>
    <t>[c]</t>
  </si>
  <si>
    <t>[b]</t>
  </si>
  <si>
    <t>[a]</t>
  </si>
  <si>
    <t>Favorable (Unfavorable) Net monthly activity ([b]-[c])</t>
  </si>
  <si>
    <t>[d]</t>
  </si>
  <si>
    <t>Tariff Rider Ending Balance ([a]-[d])</t>
  </si>
  <si>
    <t>Variance Explanations:</t>
  </si>
  <si>
    <t xml:space="preserve">Idaho Electric Schedule 91 </t>
  </si>
  <si>
    <t>Jan - Under collections of nearly $11k in tariff rider due to warmer than budgeted weather.  Actual expenditures were less than budget by $16k.  Reduced the underfunded tariff rider balance by $251k.</t>
  </si>
  <si>
    <t>Feb - Under collections of $11k in tariff rider due to warmer than budgeted weather.  Actual non-incentive expenditures exceed budget by $15k.  Underfunded tariff rider balance reduced by $137k.</t>
  </si>
  <si>
    <t>Projected Tariff Rider Balance</t>
  </si>
  <si>
    <t>Projected kWh</t>
  </si>
  <si>
    <t>Actual kWh</t>
  </si>
  <si>
    <t>Variance</t>
  </si>
  <si>
    <t>Total 2010</t>
  </si>
  <si>
    <t>Total 2011</t>
  </si>
  <si>
    <t>Projected and Actual kWh</t>
  </si>
  <si>
    <t>Non-residential</t>
  </si>
  <si>
    <t>Residential</t>
  </si>
  <si>
    <t>Limited Income</t>
  </si>
  <si>
    <t>Demand Response</t>
  </si>
  <si>
    <t>Distributed Gen</t>
  </si>
  <si>
    <t>Regional</t>
  </si>
  <si>
    <t>Common</t>
  </si>
  <si>
    <t>Total Budget-Direct Customer Incentives</t>
  </si>
  <si>
    <t>Total Actual-Direct Customer Incentives</t>
  </si>
  <si>
    <t>Total Actual-Labor Funding</t>
  </si>
  <si>
    <t>Budget-Actual Variance</t>
  </si>
  <si>
    <t>Total Variance</t>
  </si>
  <si>
    <t>I-Direct Customer Incentives:</t>
  </si>
  <si>
    <t>DSM Functional Categories</t>
  </si>
  <si>
    <t>Total Budget-Labor Funding</t>
  </si>
  <si>
    <t>Total Budget-Non-labor, Non-incentive</t>
  </si>
  <si>
    <t>SAL</t>
  </si>
  <si>
    <t>Total</t>
  </si>
  <si>
    <t>Sched 1</t>
  </si>
  <si>
    <t>Sched 11/12</t>
  </si>
  <si>
    <t>Sched 21/22</t>
  </si>
  <si>
    <t>Sched 25</t>
  </si>
  <si>
    <t>Sched 31/32</t>
  </si>
  <si>
    <t>Projected Rev.Collection</t>
  </si>
  <si>
    <t>Actual Rev.Collection</t>
  </si>
  <si>
    <t>Collections at present DSM rates</t>
  </si>
  <si>
    <t>DSM rates by Schedule</t>
  </si>
  <si>
    <t>kWh Savings-Forecasted</t>
  </si>
  <si>
    <t>kWh Savings-Actual</t>
  </si>
  <si>
    <t>DSM Rates from Forecast</t>
  </si>
  <si>
    <t>DSM Rates Per Tariff</t>
  </si>
  <si>
    <t>Variance (%)</t>
  </si>
  <si>
    <t>Jan - Under collections of $96k in tariff rider due to heating degree days being 19% below historical thereby causing retail consumption to be down by 13%.  In spite of the less than forecasted consumption, the Washington electric tariff rider balance was reduced by $533k.</t>
  </si>
  <si>
    <t>Feb - Under collection of $91k in tariff rider due to heating degree days being 17% warmer than historical normal resulting in 8% lower consumption as compared with forecast.  In spite of less than forecasted consumption (less tariff rider collections), tariff rider balance was reduced by $608k.</t>
  </si>
  <si>
    <t>Therm Savings-Actual</t>
  </si>
  <si>
    <t>Therm Savings-Forecasted</t>
  </si>
  <si>
    <t xml:space="preserve">Washington Natural Gas Schedule 191 </t>
  </si>
  <si>
    <t>Local Savings</t>
  </si>
  <si>
    <t xml:space="preserve">SAL </t>
  </si>
  <si>
    <t>SAL calc based on revenue</t>
  </si>
  <si>
    <t>Notes:</t>
  </si>
  <si>
    <t xml:space="preserve">Idaho Natural Gas Schedule 191 </t>
  </si>
  <si>
    <t>Variance explanations:</t>
  </si>
  <si>
    <t>Jan - 79% of the unfavorable variance is due to the payment of nearly $72k more in incentives than budgeted.  Remainder of unfavorable variance was attributable spending of more implementation costs than budgeted.</t>
  </si>
  <si>
    <t>Feb - 91% of the unfavorable variance is due to the payment of over $169k more in incentives than budgeted.  Remainder of unfavorable variance was attributable spending of more implementation costs than budgeted.</t>
  </si>
  <si>
    <t>Feb - in spite of paying more than $69k in incentives as compared with budget, we still had a favorable variance of $173k.</t>
  </si>
  <si>
    <t>Mar - 51% of unfavorable variance was due to paying more than $226k in incentives as compared with budget.  Remainder of the $220k unfavorable variance is due to implementation expenditures that didn't occur in February as budgeted.</t>
  </si>
  <si>
    <t>Mar - 90% of the unfavorable variance is due to the payment of over $108k more in incentives than budgeted.  Remainder of unfavorable variance was attributable spending of more implementation costs than budgeted.</t>
  </si>
  <si>
    <t>Jan - $16k favorable variance due to less incentives processed as compared with budget.</t>
  </si>
  <si>
    <t>1) Some items such as labor charged to a common WA-ID project when allocated to the individual states loses it's "labor" distinction and appears as a general implementation expense.  This explains the variances between non-labor/non-incentive and labor.</t>
  </si>
  <si>
    <t>2) DSM expenditures are budgeted on a annual basis and spread monthly on an equal basis.  This timing difference between budget vs actual could attribute to some variances</t>
  </si>
  <si>
    <t>Sched 101</t>
  </si>
  <si>
    <t>Sched 131/132</t>
  </si>
  <si>
    <t>Sched 121/122</t>
  </si>
  <si>
    <t>Sched 111/112</t>
  </si>
  <si>
    <t>Projected therms</t>
  </si>
  <si>
    <t>Actual therms</t>
  </si>
  <si>
    <t>Sched 25P</t>
  </si>
  <si>
    <t>DSM Rates from Forecast (4/1/10)</t>
  </si>
  <si>
    <t xml:space="preserve"> </t>
  </si>
  <si>
    <t>1st Qtr</t>
  </si>
  <si>
    <t>2nd Qtr</t>
  </si>
  <si>
    <t>3rd Qtr</t>
  </si>
  <si>
    <t>4th Qtr</t>
  </si>
  <si>
    <t>Mar - n/a</t>
  </si>
  <si>
    <t>Jan - Under collections of $86k in tariff rider due to heating degree days being 19% below historical thereby causing retail consumption to be down by 13%.  In spite of the less than forecasted consumption, the Washington electric tariff rider balance was reduced by $378k.</t>
  </si>
  <si>
    <t>Feb - Under collection of $106k in tariff rider due to heating degree days being 17% warmer than historical normal resulting in 8% lower consumption as compared with forecast.  In spite of less than forecasted consumption (less tariff rider collections), tariff rider balance was reduced by $68k.</t>
  </si>
  <si>
    <t>Jan - $77k unfavorable variance due to paying $128k more in incentives than budgeted.</t>
  </si>
  <si>
    <t xml:space="preserve">Mar - in spite of paying $108k more than budgeted in incentives, but reduced the tariff rider balance by $101k.  </t>
  </si>
  <si>
    <t>Jan - n/a</t>
  </si>
  <si>
    <t>Feb - n/a</t>
  </si>
  <si>
    <t>Jan - $347k unfavorable variance due to paying $364k more in incentives than budgeted.</t>
  </si>
  <si>
    <t>Feb - $194k favorable variance mostly due to paying less incentives than budgeted (January's large amount of incentives probably causing February to be lower).</t>
  </si>
  <si>
    <t>Mar - $45k unfavorable variance due to the payment of $86k more in incentives than budgeted.</t>
  </si>
  <si>
    <t>Jan - tariff rider balance increased by $48k due to the payment of $364k more in incentives than budgeted.</t>
  </si>
  <si>
    <t>Feb - reduced the tariff rider balance by $408k  mostly due to the processing of less incentives than budgeted (higher January month most likely contributed to the lower February processing of incentives).</t>
  </si>
  <si>
    <t xml:space="preserve">Jan - Under collections of $11k in tariff rider due to heating degree days being 19% below historical thereby causing retail consumption to be down by 13%.  </t>
  </si>
  <si>
    <t xml:space="preserve">Feb - Under collection of $11k in tariff rider due to heating degree days being 17% warmer than historical normal resulting in 8% lower consumption as compared with forecast.  </t>
  </si>
  <si>
    <t>Feb - $7k unfavorable variance due to spending more on implementation costs as compared with budget.</t>
  </si>
  <si>
    <t>DSM Budget-Direct Customer Incentives:</t>
  </si>
  <si>
    <t>DSM Budget Non-Labor, Non-Incentive Funding:</t>
  </si>
  <si>
    <t>DSM Budget-Labor Funding:</t>
  </si>
  <si>
    <t>2010 Aggregate DSM Budget</t>
  </si>
  <si>
    <t>DSM Actual-Direct Customer Incentives:</t>
  </si>
  <si>
    <t>DSM Actual-Non-Labor, Non-Incentive Funding:</t>
  </si>
  <si>
    <t>DSM Actual-Non-Labor, Non-Incentive Funding</t>
  </si>
  <si>
    <t>DSM Actual-Labor Funding:</t>
  </si>
  <si>
    <t>2010 Aggregate DSM Actual</t>
  </si>
  <si>
    <t>Direct Customer Incentives:</t>
  </si>
  <si>
    <t>Non-Labor, Non-Incentive Funding:</t>
  </si>
  <si>
    <t>DSM Labor Funding:</t>
  </si>
  <si>
    <t>[a]+[b]+[c]</t>
  </si>
  <si>
    <t>[e]</t>
  </si>
  <si>
    <t>[f]</t>
  </si>
  <si>
    <t>[d]+[e]+[f]</t>
  </si>
  <si>
    <t>[a]-[d]</t>
  </si>
  <si>
    <t>[b]-[e]</t>
  </si>
  <si>
    <t>[c]-[f]</t>
  </si>
  <si>
    <t>2010 IRP electric target</t>
  </si>
  <si>
    <t>2010 business plan electric target</t>
  </si>
  <si>
    <t>2010 IRP natural gas target</t>
  </si>
  <si>
    <t>kWh</t>
  </si>
  <si>
    <t>therms</t>
  </si>
  <si>
    <t>2010 business plan natural gas target</t>
  </si>
  <si>
    <t>2010 IRP electric target (WA)</t>
  </si>
  <si>
    <t>2010 b-plan electric target (WA)</t>
  </si>
  <si>
    <t>2010 IRP natural gas target (WA)</t>
  </si>
  <si>
    <t>2010 b-plan natural gas target (WA)</t>
  </si>
  <si>
    <t>regional prg</t>
  </si>
  <si>
    <t>total</t>
  </si>
  <si>
    <t>local prg</t>
  </si>
  <si>
    <t>2010 IRP electric target (ID)</t>
  </si>
  <si>
    <t>2010 b-plan electric target (ID)</t>
  </si>
  <si>
    <t>2010 IRP natural gas target (ID)</t>
  </si>
  <si>
    <t>2010 b-plan natural gas target (ID)</t>
  </si>
  <si>
    <t>2010 I-937 electric target (WA) 6th Plan</t>
  </si>
  <si>
    <t>E to G Conversions</t>
  </si>
  <si>
    <t xml:space="preserve">2010 I-937 electric target (WA) </t>
  </si>
  <si>
    <t>ytd local savings</t>
  </si>
  <si>
    <t>Pct ach'd as compared with local targets</t>
  </si>
  <si>
    <t>Mar - Under collection of $4k in tariff rider due to heating degree days being 5% lower than 30-year normal.  YTD heating degree days are 14% less than 30-year normal.</t>
  </si>
  <si>
    <t>Mar - Under collection of $65k in tariff rider due to heating degree days being 5% less than 30-year normal.  YTD heating degree days are 18% less than 30-year normal.</t>
  </si>
  <si>
    <t>Mar - Under collection of $48k in tariff rider due to heating degree days being 5% less than 30 year normal.  YTD heating degree days are 18% less than 30 year normal.</t>
  </si>
  <si>
    <t>Mar - Under collection of $65k in tariff rider due to heating degree days being 5% less than 30 year normal, 18% less for ytd.  Tariff rider balance increased by $83k due to the timing of February expenditures occuring in March.</t>
  </si>
  <si>
    <t>Mar - reduced tariff rider underfunded balance by $110k, due to processing $86k less incentives as compared with budget and heating degree days being 5% less than 30 year normal (18% less ytd).</t>
  </si>
  <si>
    <t>Mar - Under collections of $4k in tariff rider due to heating degree days being 5% less than 30 year normal (14% less ytd).  Actual expenditures were less than budget by $44k.  Underfunded tariff rider balance reduced by $142k.</t>
  </si>
  <si>
    <t xml:space="preserve">Apr - Collected $146k more in tariff rider even though weather was 1% less than 30-year normal, indicating that usage per customer was higher than budgeted.  </t>
  </si>
  <si>
    <t>DSM Rates Per Tariff (4/1/10)</t>
  </si>
  <si>
    <t>Apr - Collected $43k more in tariff rider revenue while weather was 1% less than 30 year historical.  Indicates that usage per customer was higher than budgeted.</t>
  </si>
  <si>
    <t>Apr - 88% of the unfavorable variance is due to the payment of nearly $19k more in incentives than budgeted.  Remainder of unfavorable variance was attributable spending of more implementation costs than budgeted.</t>
  </si>
  <si>
    <t>Apr - $194k favorable variance mostly due to the payment of less incentives than anticipated.</t>
  </si>
  <si>
    <t>Apr - $56k favorable variance mostly due to the processing of less incentives as compared with budget.</t>
  </si>
  <si>
    <t>Mar - $44k favorable variance mostly due to the processing of less incentives as compared with budget.</t>
  </si>
  <si>
    <t>Apr - Reduced the tariff rider balance by $131k.  Weather was 1% less than the 30 yr normal indicating that usage per customer was higher than budgeted.</t>
  </si>
  <si>
    <t>Apr - tariff rider collections were $66k more than budgeted, while weather was 1% below 30 year normal indicating that usage per customer was higher than budgeted.</t>
  </si>
  <si>
    <t xml:space="preserve">Apr - Under collection of $37k in tariff rider due to heating degree days being 1% lower than 30-year normal.  </t>
  </si>
  <si>
    <t>Apr - reduced the tariff rider balanc eby $90k.  Weather was 1% less than 30 yr normal and while consumption was lower than budgeted, tariff rider expenditures were less than collected, therefore, reducing the balance.</t>
  </si>
  <si>
    <t>Apr - reduced tariff rider underfunded balance by $352k, higher consumption than budgeted coupled with underspending as compared with budget.</t>
  </si>
  <si>
    <t>Apr - reduced the tariff rider balance by $122k due to collected being higher than budget coupled with underspending</t>
  </si>
  <si>
    <t>May - Reduced the tariff rider balance by nearly $724k.</t>
  </si>
  <si>
    <t>May - Collected  $19k more in tariff rider compared with forecast.</t>
  </si>
  <si>
    <t>Apr - unfavorable variance was due to paying more than $470k in incentives as compared with budget.</t>
  </si>
  <si>
    <t xml:space="preserve">May - spent less in all categories incentives, labor and other than budgeted.  Favorable variance of more than $471k.  </t>
  </si>
  <si>
    <t xml:space="preserve">May - reduced the tariff rider balance by nearly $325k. </t>
  </si>
  <si>
    <t>May - collected $205k more in tariff rider revenue than forecast due to tariff rider increase that became effective April 1.</t>
  </si>
  <si>
    <t>May - favorable variance of nearly $189k mostly attributable to paying less in incentive than budgeted.</t>
  </si>
  <si>
    <t>May - Collected $27k more in tariff rider revenue than forecast.</t>
  </si>
  <si>
    <t>May - nearly $30k favorable variance mostly due labor, probably more people taking one leave which goes against a liability account as opposed to the tariff rider.</t>
  </si>
  <si>
    <t>May - reduced the tariff rider underfunded balance by nearly $30k.</t>
  </si>
  <si>
    <t>May - collected $55k more in tariff rider revenue as opposed to forecast.</t>
  </si>
  <si>
    <t>Jun - Reduced the underfunded tariff rider balance by $222k.</t>
  </si>
  <si>
    <t>Jun - Collected $43k less in tariff rider funding in spite of heating degree days being 32% greater than 30-year normal.</t>
  </si>
  <si>
    <t>Jun - nearly $16k favorable variance due to one leave (less expense labor--goes against paid time off accrual) and less incentives paid as compared with budget.</t>
  </si>
  <si>
    <t xml:space="preserve">Jun - added $4k to the underfunded balance.  </t>
  </si>
  <si>
    <t>Jun - collected $152k more in tariff rider funding due to heating degree days being 32% more than 30-year normal.</t>
  </si>
  <si>
    <t>Jun - favorable variance of $36k due to one leave (less expense labor--goes against paid time off accrual) and less incentives paid as compared with budget.</t>
  </si>
  <si>
    <t>Jun - reduced the underfunded tariff rider balance by nearly $119k.</t>
  </si>
  <si>
    <t>May - reduced tariff rider underfunded balance by $166k.</t>
  </si>
  <si>
    <t>Jun - Collected $18k less in tariff rider funding in spite of heating degree days being 32% more than 30-year normal.</t>
  </si>
  <si>
    <t>Jun - added $36k to the underfunded tariff rider balance.</t>
  </si>
  <si>
    <t>Jun - collected $26k more in tariff rider revenue due to heating degree days being 32% greater than 30-year normal.</t>
  </si>
  <si>
    <t>May - $28k favorable variance mostly due to the processing of less incentives as compared with budget.</t>
  </si>
  <si>
    <t>Jun - $20k favorable variance mostly due to one leave (less expense labor--goes against paid time off accrual) and less incentives paid as compared with budget.</t>
  </si>
  <si>
    <t>Jul - Collected $151k less in tariff rider funding.</t>
  </si>
  <si>
    <t>Jul - collected nearly $58k more in tariff rider funding.</t>
  </si>
  <si>
    <t>Jul - Collected over $43k less in tariff rider funding than forecasted.</t>
  </si>
  <si>
    <t>Jul - collected $11k more in tariff rider funding as compared with forecast.</t>
  </si>
  <si>
    <t>Jul - $102k unfavorable variance mostly due to more incentives processed as compared with budget; remainder due to more implementation cost than budgeted most likely due to increased program demand</t>
  </si>
  <si>
    <t xml:space="preserve">Jul - $32k favorable variance due to one leave (less labor expense --goes against paid time off accrual) </t>
  </si>
  <si>
    <t>Jun - $26k favorable variance due to one leave (less labor expense--goes against paid time off accrual) and less incentives paid as compared with budget.</t>
  </si>
  <si>
    <t>Jul - unfavorable variance of nearly $65k most of which is due to higher participation in programs than budgeted and the remainder is due the greater implementation expenditures than anticipated.</t>
  </si>
  <si>
    <t>Jul - $392k favorable variance due less participation in programs than anticipated as well as reduced labor expense associated with the observance of one leave (results in reduction of liability rather than booking of expense) and less implementation expenses associated with the lower demand in program participation</t>
  </si>
  <si>
    <t>Jul - Reduced the underfunded tariff rider balance by over $606k mostly due to less expenditures (mostly incentives)</t>
  </si>
  <si>
    <t>Jul - reduced the underfunded tariff rider balance by nearly $136k mostly due to incurring less expenditures than budgeted.</t>
  </si>
  <si>
    <t>Jul - added nearly $198k to the underfunded tariff rider balance due to incurring higher expenditures than budgeted.  Also, natural gas consumption tends to drop off during the summer months so less funding is collected during these months.</t>
  </si>
  <si>
    <t>Jul - added nearly $240k to the underfunded balance mostly due to higher expenditures than budgeted.  Also, natural gas consumption tends to drop off during the summer months, therefore there is less funding collected during these months.</t>
  </si>
  <si>
    <t>Aug - Includes $561,490 credit from Centralia environmental refund</t>
  </si>
  <si>
    <t>Aug - nearly $12k positive variance due to 38% more HDD and 4% more CDD than budgeted</t>
  </si>
  <si>
    <t xml:space="preserve">Aug - $23k positive variance due to employees taking one leave--expense goes against accrual rather than the tariff rider </t>
  </si>
  <si>
    <t>Aug - reduced the underfunded tariff rider balance by nearly $23k due to more HDD/CDD than budgeted and employees taking one (less expense than budgeted since it goes against an accrual vs the tariff rider)</t>
  </si>
  <si>
    <t>Aug - collected $12k less in tariff rider funding than budgeted due to HDD being 6% less than budgeted.</t>
  </si>
  <si>
    <t>Aug - $170k favorable variance mostly attributable to processing of less incentives than budgeted.</t>
  </si>
  <si>
    <t>Aug - $64k favorable variance mostly attributable to employees taking one leave (reduce accrual rather than going against the tariff rider)</t>
  </si>
  <si>
    <t>Aug  - increased the underfunded tariff rider balance by nearly $63k since we incur more expense than collections due to seasonality of heating.</t>
  </si>
  <si>
    <t>Aug - reduced the underfunded tariff rider balance by nearly $210k mostly due to having less expenditures than collections.</t>
  </si>
  <si>
    <t>Aug - collected nearly $9k less funding than forecast due to 6% less HDD than forecast.</t>
  </si>
  <si>
    <t>Current balance as of 8/31/10</t>
  </si>
  <si>
    <t>Forecasted funding to be collected Sep-Dec 2010</t>
  </si>
  <si>
    <t>Budgeted expenditures for Sep-Dec 2010</t>
  </si>
  <si>
    <t>Updated projection of 2010 year-end tariff rider balance</t>
  </si>
  <si>
    <t>Forecasted funding to be collected 2011</t>
  </si>
  <si>
    <t>Budgeted expenditures from 2011 Business Plan</t>
  </si>
  <si>
    <t>Projection of 2011 year-end tariff rider balance</t>
  </si>
  <si>
    <t>Sep - collected $11k less than forecast due to HDD being 14% below 30-yr avg and CDD being 70% low than 30-yr avg</t>
  </si>
  <si>
    <t>Sep - $87k unfavorable variance due to processing of more rebates than budgeted</t>
  </si>
  <si>
    <t>Sep - collected less funding than forecast due to HDD/CDD being less than forecast and expenditures were higher than budgeted due to processing of more incentives than budgeted</t>
  </si>
  <si>
    <t>Sep - collected nearly $42k less in tariff rider funding than budgeted due to HDD being 14% less than budgeted.</t>
  </si>
  <si>
    <t>Sep - $110k favorable variance mostly attributable to processing of less incentives than budgeted.</t>
  </si>
  <si>
    <t>Sep - increased the underfunded balance by nearly $240k due to HDD being 14% less than budgeted.</t>
  </si>
  <si>
    <t>Aug - Collected nearly 3k less in tariff rider funding than forecasted.</t>
  </si>
  <si>
    <t>Sep - Collected $16k more in tariff rider funding than forecasted in spite of HDD being 14% below 30-yr avg and CDD being 70% below 30-yr avg</t>
  </si>
  <si>
    <t>Sep - nearly $96k favorable variance mostly attributable to processing less rebates than budgeted</t>
  </si>
  <si>
    <t>Sep - reduced the underfunded tariff rider balance by nearly $220k mostly due to the processing of less incentives than budgeted.</t>
  </si>
  <si>
    <t>Sep - collected nearly $17k less funding than forecast due to 14% less HDD than forecast.</t>
  </si>
  <si>
    <t>Sep  - increased the underfunded tariff rider balance by nearly $61k partially due the collection of less funding than forecast</t>
  </si>
  <si>
    <t>Low Income</t>
  </si>
  <si>
    <t>Aug - $48k favorable variance attributable to the processing of less incentives than budgeted.</t>
  </si>
  <si>
    <t>Sep - $40k favorable variance attributable to the processing of less incentives than budgeted.</t>
  </si>
  <si>
    <t>Nov - $17k unfavorable variance due to spending more on implementation costs as compared with budget.</t>
  </si>
  <si>
    <t>Nov - $81k unfavorable variance is primarily attributable to the spending of more implementation costs than budgeted.</t>
  </si>
  <si>
    <t>Nov - 94% of the unfavorable variance is attributable to the spending of more implementation costs than budgeted.</t>
  </si>
  <si>
    <t>Nov - $177k unfavorable variance due to implementation costs</t>
  </si>
  <si>
    <t>Progress toward various targets:</t>
  </si>
  <si>
    <t>Nov - increased the underfunded balance by $11k due higher expenditures than budgeted.</t>
  </si>
  <si>
    <t>Nov - Collected $165k less in tariff rider funding than forecasted.</t>
  </si>
  <si>
    <t>Nov - collected nearly $391k less in tariff rider funding than budgeted due to warmer weather earlier in the month.</t>
  </si>
  <si>
    <t>Nov - collected less funding than forecasted due warmer weather earlier in the month.</t>
  </si>
  <si>
    <t>Nov - tariff rider balance increased by $80k due to more implmentation costs than budgeted coupled with less revenue due to warmer weather early in the month.</t>
  </si>
  <si>
    <t>Nov - Collected nearly $207k less in tariff rider funding than forecasted due warm weather early in the month.</t>
  </si>
  <si>
    <t>Nov - reduced the tariff rider underfunded balance by $109k due to increased winter consumption even though warmer weather early in the month.</t>
  </si>
  <si>
    <t>Nov - collected nearly $25k less funding than forecast due to warm weather early in the month.</t>
  </si>
  <si>
    <t>Dec - $207k unfavorable variance due to processing more rebates and implementation costs</t>
  </si>
  <si>
    <t>Dec - $269 unfavorable variance of which 82% is attributable to processing more rebates than budgeted.</t>
  </si>
  <si>
    <t>Dec - $11k unfavorable variance is primarily attributable to the spending of more implementation costs than budgeted.</t>
  </si>
  <si>
    <t>Dec - $39k unfavorable variance due to spending more on implementation costs as compared with budget.</t>
  </si>
  <si>
    <t>Dec - Collected $6k less in tariff rider funding than forecasted.</t>
  </si>
  <si>
    <t>Dec - Collected nearly $7k less in tariff rider funding than forecasted.</t>
  </si>
  <si>
    <t>Dec - collected nearly $60k less in tariff rider funding than budgeted due to HDD being 5% less than budgeted.</t>
  </si>
  <si>
    <t>Dec - collected $170k more in tariff rider funding as compared with forecast.</t>
  </si>
  <si>
    <t xml:space="preserve">Dec - Expenses were higher than budgeted. </t>
  </si>
  <si>
    <t>Dec - Decreased the underfunded balance by $571k due higher expenditures than budgeted.</t>
  </si>
  <si>
    <t>Dec - reduced the underfunded tariff rider balance by nearly $256k mostly due to the processing of more incentives than budgeted.</t>
  </si>
  <si>
    <t>Dec - reduced the tariff rider underfunded balance by $406k due to increased winter consumption.</t>
  </si>
</sst>
</file>

<file path=xl/styles.xml><?xml version="1.0" encoding="utf-8"?>
<styleSheet xmlns="http://schemas.openxmlformats.org/spreadsheetml/2006/main">
  <numFmts count="11">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 numFmtId="167" formatCode="_(&quot;$&quot;* #,##0.00000_);_(&quot;$&quot;* \(#,##0.00000\);_(&quot;$&quot;* &quot;-&quot;??_);_(@_)"/>
    <numFmt numFmtId="168" formatCode="0.000%"/>
    <numFmt numFmtId="169" formatCode="_(* #,##0.000_);_(* \(#,##0.000\);_(* &quot;-&quot;??_);_(@_)"/>
    <numFmt numFmtId="170" formatCode="_(* #,##0.0000_);_(* \(#,##0.0000\);_(* &quot;-&quot;??_);_(@_)"/>
    <numFmt numFmtId="171" formatCode="#,##0,;\-#,##0,"/>
  </numFmts>
  <fonts count="23">
    <font>
      <sz val="11"/>
      <color theme="1"/>
      <name val="Calibri"/>
      <family val="2"/>
      <scheme val="minor"/>
    </font>
    <font>
      <sz val="11"/>
      <color theme="1"/>
      <name val="Calibri"/>
      <family val="2"/>
      <scheme val="minor"/>
    </font>
    <font>
      <sz val="11"/>
      <color rgb="FFFF0000"/>
      <name val="Calibri"/>
      <family val="2"/>
      <scheme val="minor"/>
    </font>
    <font>
      <sz val="11"/>
      <color theme="3" tint="0.39997558519241921"/>
      <name val="Calibri"/>
      <family val="2"/>
      <scheme val="minor"/>
    </font>
    <font>
      <sz val="8"/>
      <color indexed="81"/>
      <name val="Tahoma"/>
      <family val="2"/>
    </font>
    <font>
      <b/>
      <sz val="8"/>
      <color indexed="81"/>
      <name val="Tahoma"/>
      <family val="2"/>
    </font>
    <font>
      <b/>
      <sz val="11"/>
      <color rgb="FFFF0000"/>
      <name val="Calibri"/>
      <family val="2"/>
      <scheme val="minor"/>
    </font>
    <font>
      <b/>
      <sz val="11"/>
      <color theme="3" tint="0.39997558519241921"/>
      <name val="Calibri"/>
      <family val="2"/>
      <scheme val="minor"/>
    </font>
    <font>
      <b/>
      <sz val="11"/>
      <color rgb="FF00B050"/>
      <name val="Calibri"/>
      <family val="2"/>
      <scheme val="minor"/>
    </font>
    <font>
      <sz val="11"/>
      <color rgb="FF00B050"/>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sz val="9"/>
      <name val="Arial"/>
      <family val="2"/>
    </font>
    <font>
      <sz val="11"/>
      <color rgb="FF0070C0"/>
      <name val="Calibri"/>
      <family val="2"/>
      <scheme val="minor"/>
    </font>
    <font>
      <b/>
      <sz val="11"/>
      <color theme="1"/>
      <name val="Calibri"/>
      <family val="2"/>
      <scheme val="minor"/>
    </font>
    <font>
      <sz val="11"/>
      <name val="Calibri"/>
      <family val="2"/>
      <scheme val="minor"/>
    </font>
    <font>
      <b/>
      <sz val="11"/>
      <name val="Calibri"/>
      <family val="2"/>
      <scheme val="minor"/>
    </font>
    <font>
      <b/>
      <u/>
      <sz val="11"/>
      <color theme="1"/>
      <name val="Calibri"/>
      <family val="2"/>
      <scheme val="minor"/>
    </font>
    <font>
      <sz val="9"/>
      <name val="Calibri"/>
      <family val="2"/>
      <scheme val="minor"/>
    </font>
    <font>
      <b/>
      <sz val="9"/>
      <name val="Calibri"/>
      <family val="2"/>
      <scheme val="minor"/>
    </font>
    <font>
      <b/>
      <u/>
      <sz val="11"/>
      <name val="Calibri"/>
      <family val="2"/>
      <scheme val="minor"/>
    </font>
    <font>
      <sz val="11"/>
      <color theme="4"/>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right/>
      <top style="thin">
        <color indexed="64"/>
      </top>
      <bottom style="thin">
        <color indexed="64"/>
      </bottom>
      <diagonal/>
    </border>
    <border>
      <left/>
      <right/>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164" fontId="0" fillId="0" borderId="0" xfId="1" applyNumberFormat="1" applyFont="1"/>
    <xf numFmtId="164" fontId="0" fillId="0" borderId="0" xfId="1" applyNumberFormat="1" applyFont="1">
      <alignment readingOrder="1"/>
    </xf>
    <xf numFmtId="164" fontId="0" fillId="0" borderId="0" xfId="0" applyNumberFormat="1"/>
    <xf numFmtId="0" fontId="0" fillId="0" borderId="0" xfId="0" applyAlignment="1">
      <alignment wrapText="1"/>
    </xf>
    <xf numFmtId="0" fontId="2" fillId="0" borderId="0" xfId="0" applyFont="1"/>
    <xf numFmtId="0" fontId="3" fillId="0" borderId="0" xfId="0" applyFont="1"/>
    <xf numFmtId="0" fontId="0" fillId="0" borderId="0" xfId="0" applyFont="1"/>
    <xf numFmtId="0" fontId="2" fillId="0" borderId="0" xfId="0" applyFont="1" applyAlignment="1">
      <alignment horizontal="center"/>
    </xf>
    <xf numFmtId="164" fontId="2" fillId="0" borderId="0" xfId="0" applyNumberFormat="1"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applyAlignment="1">
      <alignment horizontal="center"/>
    </xf>
    <xf numFmtId="164" fontId="10" fillId="0" borderId="0" xfId="0" applyNumberFormat="1" applyFont="1"/>
    <xf numFmtId="164" fontId="11" fillId="0" borderId="0" xfId="0" applyNumberFormat="1" applyFont="1"/>
    <xf numFmtId="0" fontId="10" fillId="0" borderId="0" xfId="0" applyFont="1" applyAlignment="1">
      <alignment horizontal="center"/>
    </xf>
    <xf numFmtId="164" fontId="10" fillId="0" borderId="0" xfId="1" applyNumberFormat="1" applyFont="1"/>
    <xf numFmtId="165" fontId="10" fillId="0" borderId="1" xfId="2" applyNumberFormat="1" applyFont="1" applyBorder="1"/>
    <xf numFmtId="165" fontId="10" fillId="0" borderId="0" xfId="2" applyNumberFormat="1" applyFont="1"/>
    <xf numFmtId="165" fontId="12" fillId="0" borderId="2" xfId="0" applyNumberFormat="1" applyFont="1" applyBorder="1"/>
    <xf numFmtId="165" fontId="0" fillId="0" borderId="0" xfId="2" applyNumberFormat="1" applyFont="1"/>
    <xf numFmtId="164" fontId="0" fillId="0" borderId="1" xfId="0" applyNumberFormat="1" applyBorder="1"/>
    <xf numFmtId="164" fontId="2" fillId="0" borderId="1" xfId="0" applyNumberFormat="1" applyFont="1" applyBorder="1"/>
    <xf numFmtId="164" fontId="0" fillId="0" borderId="1" xfId="1" applyNumberFormat="1" applyFont="1" applyBorder="1"/>
    <xf numFmtId="0" fontId="2" fillId="0" borderId="1" xfId="0" applyFont="1" applyBorder="1"/>
    <xf numFmtId="0" fontId="0" fillId="0" borderId="1" xfId="0" applyFont="1" applyBorder="1"/>
    <xf numFmtId="167" fontId="13" fillId="0" borderId="0" xfId="2" applyNumberFormat="1" applyFont="1" applyFill="1"/>
    <xf numFmtId="168" fontId="0" fillId="0" borderId="0" xfId="3" applyNumberFormat="1" applyFont="1"/>
    <xf numFmtId="0" fontId="0" fillId="0" borderId="0" xfId="0" applyFont="1" applyAlignment="1">
      <alignment horizontal="center"/>
    </xf>
    <xf numFmtId="0" fontId="0" fillId="0" borderId="0" xfId="0" applyAlignment="1">
      <alignment horizontal="center"/>
    </xf>
    <xf numFmtId="0" fontId="14" fillId="0" borderId="0" xfId="0" applyFont="1"/>
    <xf numFmtId="0" fontId="14" fillId="0" borderId="1" xfId="0" applyFont="1" applyBorder="1"/>
    <xf numFmtId="3" fontId="0" fillId="0" borderId="0" xfId="0" applyNumberFormat="1">
      <alignment readingOrder="1"/>
    </xf>
    <xf numFmtId="3" fontId="0" fillId="0" borderId="0" xfId="0" applyNumberFormat="1"/>
    <xf numFmtId="3" fontId="0" fillId="0" borderId="0" xfId="0" applyNumberFormat="1" applyFont="1"/>
    <xf numFmtId="3" fontId="0" fillId="0" borderId="0" xfId="0" applyNumberFormat="1" applyBorder="1">
      <alignment readingOrder="1"/>
    </xf>
    <xf numFmtId="37" fontId="0" fillId="0" borderId="0" xfId="1" applyNumberFormat="1" applyFont="1">
      <alignment readingOrder="1"/>
    </xf>
    <xf numFmtId="37" fontId="2" fillId="0" borderId="0" xfId="1" applyNumberFormat="1" applyFont="1"/>
    <xf numFmtId="37" fontId="0" fillId="0" borderId="0" xfId="1" applyNumberFormat="1" applyFont="1"/>
    <xf numFmtId="165" fontId="0" fillId="0" borderId="1" xfId="0" applyNumberFormat="1" applyBorder="1"/>
    <xf numFmtId="170" fontId="13" fillId="0" borderId="0" xfId="1" applyNumberFormat="1" applyFont="1" applyFill="1"/>
    <xf numFmtId="10" fontId="0" fillId="0" borderId="1" xfId="3" applyNumberFormat="1" applyFont="1" applyBorder="1"/>
    <xf numFmtId="166" fontId="0" fillId="0" borderId="1" xfId="0" applyNumberFormat="1" applyBorder="1">
      <alignment readingOrder="1"/>
    </xf>
    <xf numFmtId="166" fontId="0" fillId="0" borderId="0" xfId="2" applyNumberFormat="1" applyFont="1"/>
    <xf numFmtId="0" fontId="14" fillId="0" borderId="0" xfId="0" applyFont="1" applyBorder="1"/>
    <xf numFmtId="164" fontId="0" fillId="0" borderId="0" xfId="1" applyNumberFormat="1" applyFont="1" applyBorder="1"/>
    <xf numFmtId="164" fontId="2" fillId="0" borderId="0" xfId="0" applyNumberFormat="1" applyFont="1" applyBorder="1"/>
    <xf numFmtId="0" fontId="0" fillId="0" borderId="0" xfId="0" applyFont="1" applyBorder="1"/>
    <xf numFmtId="5" fontId="2" fillId="0" borderId="0" xfId="0" applyNumberFormat="1" applyFont="1"/>
    <xf numFmtId="5" fontId="2" fillId="0" borderId="1" xfId="0" applyNumberFormat="1" applyFont="1" applyBorder="1"/>
    <xf numFmtId="0" fontId="0" fillId="0" borderId="0" xfId="0" applyFont="1" applyAlignment="1">
      <alignment horizontal="left"/>
    </xf>
    <xf numFmtId="164" fontId="7" fillId="0" borderId="0" xfId="1" applyNumberFormat="1" applyFont="1"/>
    <xf numFmtId="164" fontId="3" fillId="0" borderId="0" xfId="1" applyNumberFormat="1" applyFont="1"/>
    <xf numFmtId="164" fontId="6" fillId="0" borderId="0" xfId="1" applyNumberFormat="1" applyFont="1"/>
    <xf numFmtId="164" fontId="8" fillId="0" borderId="0" xfId="1" applyNumberFormat="1" applyFont="1"/>
    <xf numFmtId="164" fontId="9" fillId="0" borderId="0" xfId="1" applyNumberFormat="1" applyFont="1"/>
    <xf numFmtId="9" fontId="10" fillId="0" borderId="0" xfId="3" applyFont="1"/>
    <xf numFmtId="164" fontId="10" fillId="0" borderId="0" xfId="3" applyNumberFormat="1" applyFont="1"/>
    <xf numFmtId="165" fontId="10" fillId="0" borderId="0" xfId="2" applyNumberFormat="1" applyFont="1" applyAlignment="1">
      <alignment horizontal="center"/>
    </xf>
    <xf numFmtId="165" fontId="12" fillId="0" borderId="2" xfId="2" applyNumberFormat="1" applyFont="1" applyBorder="1"/>
    <xf numFmtId="0" fontId="15" fillId="0" borderId="0" xfId="0" applyFont="1"/>
    <xf numFmtId="165" fontId="0" fillId="0" borderId="0" xfId="3" applyNumberFormat="1" applyFont="1"/>
    <xf numFmtId="165" fontId="0" fillId="0" borderId="1" xfId="3" applyNumberFormat="1" applyFont="1" applyBorder="1"/>
    <xf numFmtId="3" fontId="0" fillId="0" borderId="0" xfId="0" applyNumberFormat="1" applyBorder="1"/>
    <xf numFmtId="164" fontId="0" fillId="0" borderId="1" xfId="3" applyNumberFormat="1" applyFont="1" applyBorder="1"/>
    <xf numFmtId="0" fontId="16" fillId="0" borderId="0" xfId="0" applyFont="1"/>
    <xf numFmtId="0" fontId="17" fillId="0" borderId="0" xfId="0" applyFont="1"/>
    <xf numFmtId="0" fontId="16" fillId="0" borderId="0" xfId="0" applyFont="1" applyAlignment="1">
      <alignment horizontal="center"/>
    </xf>
    <xf numFmtId="165" fontId="16" fillId="0" borderId="0" xfId="2" applyNumberFormat="1" applyFont="1"/>
    <xf numFmtId="165" fontId="16" fillId="0" borderId="0" xfId="0" applyNumberFormat="1" applyFont="1"/>
    <xf numFmtId="164" fontId="16" fillId="0" borderId="0" xfId="1" applyNumberFormat="1" applyFont="1"/>
    <xf numFmtId="164" fontId="16" fillId="0" borderId="0" xfId="1" applyNumberFormat="1" applyFont="1">
      <alignment readingOrder="1"/>
    </xf>
    <xf numFmtId="164" fontId="16" fillId="0" borderId="0" xfId="0" applyNumberFormat="1" applyFont="1"/>
    <xf numFmtId="164" fontId="16" fillId="0" borderId="1" xfId="0" applyNumberFormat="1" applyFont="1" applyBorder="1"/>
    <xf numFmtId="164" fontId="16" fillId="0" borderId="1" xfId="1" applyNumberFormat="1" applyFont="1" applyBorder="1"/>
    <xf numFmtId="0" fontId="16" fillId="0" borderId="0" xfId="0" applyFont="1" applyAlignment="1">
      <alignment wrapText="1"/>
    </xf>
    <xf numFmtId="0" fontId="16" fillId="0" borderId="0" xfId="0" applyFont="1" applyFill="1" applyBorder="1"/>
    <xf numFmtId="168" fontId="16" fillId="0" borderId="0" xfId="3" applyNumberFormat="1" applyFont="1"/>
    <xf numFmtId="170" fontId="16" fillId="0" borderId="0" xfId="1" applyNumberFormat="1" applyFont="1" applyFill="1" applyAlignment="1">
      <alignment horizontal="center"/>
    </xf>
    <xf numFmtId="169" fontId="16" fillId="0" borderId="0" xfId="1" applyNumberFormat="1" applyFont="1"/>
    <xf numFmtId="0" fontId="16" fillId="0" borderId="1" xfId="0" applyFont="1" applyBorder="1"/>
    <xf numFmtId="0" fontId="18" fillId="0" borderId="0" xfId="0" applyFont="1"/>
    <xf numFmtId="9" fontId="0" fillId="0" borderId="0" xfId="3" applyFont="1"/>
    <xf numFmtId="9" fontId="0" fillId="0" borderId="1" xfId="3" applyFont="1" applyBorder="1"/>
    <xf numFmtId="0" fontId="14" fillId="0" borderId="0" xfId="0" applyFont="1" applyAlignment="1">
      <alignment horizontal="left"/>
    </xf>
    <xf numFmtId="0" fontId="16" fillId="0" borderId="0" xfId="0" applyFont="1" applyAlignment="1">
      <alignment horizontal="left"/>
    </xf>
    <xf numFmtId="0" fontId="2" fillId="0" borderId="0" xfId="0" applyFont="1" applyAlignment="1">
      <alignment horizontal="left"/>
    </xf>
    <xf numFmtId="164" fontId="16" fillId="0" borderId="0" xfId="0" applyNumberFormat="1" applyFont="1" applyBorder="1"/>
    <xf numFmtId="164" fontId="16" fillId="0" borderId="0" xfId="3" applyNumberFormat="1" applyFont="1"/>
    <xf numFmtId="164" fontId="16" fillId="0" borderId="1" xfId="3" applyNumberFormat="1" applyFont="1" applyBorder="1"/>
    <xf numFmtId="5" fontId="16" fillId="0" borderId="0" xfId="0" applyNumberFormat="1" applyFont="1"/>
    <xf numFmtId="5" fontId="16" fillId="0" borderId="1" xfId="0" applyNumberFormat="1" applyFont="1" applyBorder="1"/>
    <xf numFmtId="165" fontId="16" fillId="0" borderId="0" xfId="3" applyNumberFormat="1" applyFont="1"/>
    <xf numFmtId="171" fontId="0" fillId="0" borderId="0" xfId="0" applyNumberFormat="1">
      <alignment readingOrder="1"/>
    </xf>
    <xf numFmtId="10" fontId="13" fillId="0" borderId="0" xfId="3" applyNumberFormat="1" applyFont="1" applyFill="1"/>
    <xf numFmtId="3" fontId="0" fillId="0" borderId="1" xfId="0" applyNumberFormat="1" applyBorder="1">
      <alignment readingOrder="1"/>
    </xf>
    <xf numFmtId="9" fontId="0" fillId="0" borderId="0" xfId="3" applyNumberFormat="1" applyFont="1"/>
    <xf numFmtId="9" fontId="16" fillId="0" borderId="0" xfId="3" applyNumberFormat="1" applyFont="1"/>
    <xf numFmtId="9" fontId="0" fillId="0" borderId="1" xfId="3" applyNumberFormat="1" applyFont="1" applyBorder="1"/>
    <xf numFmtId="9" fontId="16" fillId="0" borderId="1" xfId="3" applyNumberFormat="1" applyFont="1" applyBorder="1"/>
    <xf numFmtId="164" fontId="19" fillId="0" borderId="0" xfId="0" applyNumberFormat="1" applyFont="1"/>
    <xf numFmtId="165" fontId="19" fillId="0" borderId="1" xfId="2" applyNumberFormat="1" applyFont="1" applyBorder="1"/>
    <xf numFmtId="0" fontId="19" fillId="0" borderId="0" xfId="0" applyFont="1"/>
    <xf numFmtId="165" fontId="20" fillId="0" borderId="2" xfId="0" applyNumberFormat="1" applyFont="1" applyBorder="1"/>
    <xf numFmtId="164" fontId="19" fillId="0" borderId="0" xfId="1" applyNumberFormat="1" applyFont="1"/>
    <xf numFmtId="165" fontId="20" fillId="0" borderId="2" xfId="2" applyNumberFormat="1" applyFont="1" applyBorder="1"/>
    <xf numFmtId="165" fontId="19" fillId="0" borderId="0" xfId="2" applyNumberFormat="1" applyFont="1"/>
    <xf numFmtId="164" fontId="0" fillId="0" borderId="2" xfId="0" applyNumberFormat="1" applyBorder="1"/>
    <xf numFmtId="164" fontId="16" fillId="0" borderId="2" xfId="0" applyNumberFormat="1" applyFont="1" applyBorder="1"/>
    <xf numFmtId="0" fontId="21" fillId="0" borderId="0" xfId="0" applyFont="1"/>
    <xf numFmtId="165" fontId="20" fillId="0" borderId="0" xfId="2" applyNumberFormat="1" applyFont="1"/>
    <xf numFmtId="0" fontId="20" fillId="0" borderId="0" xfId="0" applyFont="1"/>
    <xf numFmtId="0" fontId="0" fillId="0" borderId="3" xfId="0" applyBorder="1"/>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xf numFmtId="0" fontId="0" fillId="0" borderId="0" xfId="0" applyBorder="1"/>
    <xf numFmtId="9" fontId="0" fillId="0" borderId="7" xfId="3" applyFont="1" applyBorder="1"/>
    <xf numFmtId="0" fontId="0" fillId="0" borderId="6" xfId="0" applyFill="1" applyBorder="1"/>
    <xf numFmtId="164" fontId="0" fillId="0" borderId="0" xfId="1" applyNumberFormat="1" applyFont="1" applyFill="1" applyBorder="1"/>
    <xf numFmtId="0" fontId="0" fillId="0" borderId="0" xfId="0" applyFill="1" applyBorder="1"/>
    <xf numFmtId="9" fontId="0" fillId="0" borderId="7" xfId="3" applyFont="1" applyFill="1" applyBorder="1"/>
    <xf numFmtId="164" fontId="0" fillId="0" borderId="7" xfId="1" applyNumberFormat="1" applyFont="1" applyBorder="1"/>
    <xf numFmtId="0" fontId="0" fillId="0" borderId="8" xfId="0" applyBorder="1"/>
    <xf numFmtId="0" fontId="0" fillId="0" borderId="9" xfId="0" applyBorder="1"/>
    <xf numFmtId="164" fontId="0" fillId="0" borderId="9" xfId="1" applyNumberFormat="1" applyFont="1" applyBorder="1"/>
    <xf numFmtId="9" fontId="0" fillId="0" borderId="10" xfId="3" applyFont="1" applyBorder="1"/>
    <xf numFmtId="0" fontId="15" fillId="0" borderId="0" xfId="0" applyFont="1" applyAlignment="1">
      <alignment horizontal="left"/>
    </xf>
    <xf numFmtId="10" fontId="0" fillId="0" borderId="0" xfId="3" applyNumberFormat="1" applyFont="1" applyBorder="1"/>
    <xf numFmtId="0" fontId="0" fillId="0" borderId="0" xfId="0" applyAlignment="1">
      <alignment horizontal="left"/>
    </xf>
    <xf numFmtId="0" fontId="15" fillId="0" borderId="0" xfId="0" applyFont="1" applyAlignment="1">
      <alignment horizontal="left"/>
    </xf>
    <xf numFmtId="0" fontId="15" fillId="0" borderId="0" xfId="0" applyFont="1" applyAlignment="1">
      <alignment horizontal="left"/>
    </xf>
    <xf numFmtId="0" fontId="22" fillId="0" borderId="4" xfId="0" applyFont="1" applyBorder="1" applyAlignment="1">
      <alignment horizontal="center" wrapText="1"/>
    </xf>
    <xf numFmtId="164" fontId="22" fillId="0" borderId="0" xfId="1" applyNumberFormat="1" applyFont="1" applyBorder="1"/>
    <xf numFmtId="164" fontId="22" fillId="0" borderId="0" xfId="1" applyNumberFormat="1" applyFont="1" applyFill="1" applyBorder="1"/>
    <xf numFmtId="0" fontId="15" fillId="0" borderId="0" xfId="0" applyFont="1" applyAlignment="1">
      <alignment horizontal="left"/>
    </xf>
    <xf numFmtId="164" fontId="0" fillId="0" borderId="11" xfId="1" applyNumberFormat="1" applyFont="1" applyBorder="1"/>
    <xf numFmtId="0" fontId="0" fillId="2" borderId="11" xfId="0" applyFill="1" applyBorder="1"/>
    <xf numFmtId="164" fontId="16" fillId="0" borderId="0" xfId="1" applyNumberFormat="1" applyFont="1" applyBorder="1"/>
    <xf numFmtId="164" fontId="16" fillId="0" borderId="0" xfId="1" applyNumberFormat="1" applyFont="1" applyFill="1" applyBorder="1"/>
    <xf numFmtId="164" fontId="16" fillId="0" borderId="9" xfId="1" applyNumberFormat="1" applyFont="1" applyFill="1" applyBorder="1"/>
    <xf numFmtId="0" fontId="15" fillId="0" borderId="0" xfId="0" applyFont="1" applyAlignment="1">
      <alignment horizontal="left" wrapText="1"/>
    </xf>
    <xf numFmtId="0" fontId="17" fillId="3" borderId="0" xfId="0" applyFont="1" applyFill="1" applyAlignment="1">
      <alignment horizontal="left"/>
    </xf>
    <xf numFmtId="0" fontId="17" fillId="0" borderId="0" xfId="0" applyFont="1" applyAlignment="1">
      <alignment horizontal="left"/>
    </xf>
    <xf numFmtId="0" fontId="15" fillId="3" borderId="0" xfId="0" applyFont="1" applyFill="1" applyAlignment="1">
      <alignment horizontal="left"/>
    </xf>
    <xf numFmtId="0" fontId="15" fillId="0" borderId="0" xfId="0" applyFont="1" applyAlignment="1">
      <alignment horizontal="left"/>
    </xf>
    <xf numFmtId="164" fontId="0" fillId="0" borderId="0" xfId="1" applyNumberFormat="1" applyFont="1" applyAlignment="1">
      <alignment horizontal="left" wrapText="1"/>
    </xf>
    <xf numFmtId="0" fontId="15" fillId="3" borderId="0" xfId="0" applyFont="1" applyFill="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theme="6" tint="0.39997558519241921"/>
    <pageSetUpPr fitToPage="1"/>
  </sheetPr>
  <dimension ref="B1:BD32"/>
  <sheetViews>
    <sheetView tabSelected="1" workbookViewId="0">
      <selection activeCell="A12" sqref="A12"/>
    </sheetView>
  </sheetViews>
  <sheetFormatPr defaultColWidth="11.42578125" defaultRowHeight="15"/>
  <cols>
    <col min="1" max="1" width="2.42578125" customWidth="1"/>
    <col min="2" max="2" width="34" bestFit="1" customWidth="1"/>
    <col min="3" max="3" width="14.28515625" bestFit="1" customWidth="1"/>
    <col min="4" max="4" width="11.5703125" bestFit="1" customWidth="1"/>
    <col min="5" max="5" width="14.28515625" bestFit="1" customWidth="1"/>
    <col min="7" max="7" width="11.5703125" bestFit="1" customWidth="1"/>
    <col min="10" max="10" width="11.5703125" bestFit="1" customWidth="1"/>
    <col min="15" max="15" width="13.28515625" bestFit="1" customWidth="1"/>
  </cols>
  <sheetData>
    <row r="1" spans="2:56">
      <c r="B1" t="s">
        <v>74</v>
      </c>
    </row>
    <row r="2" spans="2:56">
      <c r="C2" s="8">
        <v>2010</v>
      </c>
      <c r="D2" s="8">
        <v>2010</v>
      </c>
      <c r="E2" s="8">
        <v>2010</v>
      </c>
      <c r="F2" s="8">
        <v>2010</v>
      </c>
      <c r="G2" s="8">
        <v>2010</v>
      </c>
      <c r="H2" s="8">
        <v>2010</v>
      </c>
      <c r="I2" s="8">
        <v>2010</v>
      </c>
      <c r="J2" s="8">
        <v>2010</v>
      </c>
      <c r="K2" s="8">
        <v>2010</v>
      </c>
      <c r="L2" s="8">
        <v>2010</v>
      </c>
      <c r="M2" s="8">
        <v>2010</v>
      </c>
      <c r="N2" s="8">
        <v>2010</v>
      </c>
      <c r="O2" s="8" t="s">
        <v>34</v>
      </c>
    </row>
    <row r="3" spans="2:56">
      <c r="C3" s="32" t="s">
        <v>0</v>
      </c>
      <c r="D3" s="32" t="s">
        <v>1</v>
      </c>
      <c r="E3" s="32" t="s">
        <v>2</v>
      </c>
      <c r="F3" s="32" t="s">
        <v>3</v>
      </c>
      <c r="G3" s="32" t="s">
        <v>4</v>
      </c>
      <c r="H3" s="32" t="s">
        <v>5</v>
      </c>
      <c r="I3" s="32" t="s">
        <v>6</v>
      </c>
      <c r="J3" s="32" t="s">
        <v>7</v>
      </c>
      <c r="K3" s="32" t="s">
        <v>8</v>
      </c>
      <c r="L3" s="32" t="s">
        <v>9</v>
      </c>
      <c r="M3" s="32" t="s">
        <v>10</v>
      </c>
      <c r="N3" s="32" t="s">
        <v>11</v>
      </c>
      <c r="O3" s="31"/>
    </row>
    <row r="4" spans="2:56">
      <c r="B4" s="68" t="s">
        <v>64</v>
      </c>
      <c r="C4" s="3">
        <f>$O$4/12</f>
        <v>6549737.75</v>
      </c>
      <c r="D4" s="3">
        <f t="shared" ref="D4:N4" si="0">$O$4/12</f>
        <v>6549737.75</v>
      </c>
      <c r="E4" s="3">
        <f t="shared" si="0"/>
        <v>6549737.75</v>
      </c>
      <c r="F4" s="3">
        <f t="shared" si="0"/>
        <v>6549737.75</v>
      </c>
      <c r="G4" s="3">
        <f t="shared" si="0"/>
        <v>6549737.75</v>
      </c>
      <c r="H4" s="3">
        <f t="shared" si="0"/>
        <v>6549737.75</v>
      </c>
      <c r="I4" s="3">
        <f t="shared" si="0"/>
        <v>6549737.75</v>
      </c>
      <c r="J4" s="3">
        <f t="shared" si="0"/>
        <v>6549737.75</v>
      </c>
      <c r="K4" s="3">
        <f t="shared" si="0"/>
        <v>6549737.75</v>
      </c>
      <c r="L4" s="3">
        <f t="shared" si="0"/>
        <v>6549737.75</v>
      </c>
      <c r="M4" s="3">
        <f t="shared" si="0"/>
        <v>6549737.75</v>
      </c>
      <c r="N4" s="3">
        <f t="shared" si="0"/>
        <v>6549737.75</v>
      </c>
      <c r="O4" s="3">
        <v>78596853</v>
      </c>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row>
    <row r="5" spans="2:56">
      <c r="B5" s="68" t="s">
        <v>65</v>
      </c>
      <c r="C5" s="1">
        <v>10828281</v>
      </c>
      <c r="D5" s="1">
        <v>5452348</v>
      </c>
      <c r="E5" s="1">
        <v>8783101</v>
      </c>
      <c r="F5" s="1">
        <v>5484481</v>
      </c>
      <c r="G5" s="1">
        <v>3676964</v>
      </c>
      <c r="H5" s="1">
        <v>5372011</v>
      </c>
      <c r="I5" s="1">
        <v>3748765</v>
      </c>
      <c r="J5" s="1">
        <v>10519811</v>
      </c>
      <c r="K5" s="1">
        <v>4538147</v>
      </c>
      <c r="L5" s="1">
        <v>3525065</v>
      </c>
      <c r="M5" s="1">
        <v>5130740</v>
      </c>
      <c r="N5" s="1">
        <v>5840997</v>
      </c>
      <c r="O5" s="3">
        <f>SUM(C5:N5)</f>
        <v>72900711</v>
      </c>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row>
    <row r="6" spans="2:56">
      <c r="B6" s="68" t="s">
        <v>68</v>
      </c>
      <c r="C6" s="44">
        <f>(C5-C4)/C4</f>
        <v>0.65323886441102164</v>
      </c>
      <c r="D6" s="44">
        <f t="shared" ref="D6:O6" si="1">(D5-D4)/D4</f>
        <v>-0.1675471281273819</v>
      </c>
      <c r="E6" s="44">
        <f t="shared" si="1"/>
        <v>0.34098514096995713</v>
      </c>
      <c r="F6" s="44">
        <f t="shared" si="1"/>
        <v>-0.16264113017349435</v>
      </c>
      <c r="G6" s="44">
        <f t="shared" si="1"/>
        <v>-0.43860897331347348</v>
      </c>
      <c r="H6" s="44">
        <f t="shared" si="1"/>
        <v>-0.17981281006250976</v>
      </c>
      <c r="I6" s="44">
        <f t="shared" si="1"/>
        <v>-0.42764654966529003</v>
      </c>
      <c r="J6" s="44">
        <f t="shared" si="1"/>
        <v>0.60614232226320819</v>
      </c>
      <c r="K6" s="44">
        <f t="shared" si="1"/>
        <v>-0.30712538834093012</v>
      </c>
      <c r="L6" s="44">
        <f t="shared" si="1"/>
        <v>-0.46180058888617337</v>
      </c>
      <c r="M6" s="44">
        <f t="shared" si="1"/>
        <v>-0.21664955211374684</v>
      </c>
      <c r="N6" s="44">
        <f t="shared" si="1"/>
        <v>-0.10820902714769</v>
      </c>
      <c r="O6" s="44">
        <f t="shared" si="1"/>
        <v>-7.2472901682208574E-2</v>
      </c>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row>
    <row r="7" spans="2:56">
      <c r="B7" s="68"/>
    </row>
    <row r="8" spans="2:56">
      <c r="B8" s="68" t="s">
        <v>72</v>
      </c>
      <c r="C8" s="1">
        <f>$O$8/12</f>
        <v>160124</v>
      </c>
      <c r="D8" s="1">
        <f t="shared" ref="D8:N8" si="2">$O$8/12</f>
        <v>160124</v>
      </c>
      <c r="E8" s="1">
        <f t="shared" si="2"/>
        <v>160124</v>
      </c>
      <c r="F8" s="1">
        <f t="shared" si="2"/>
        <v>160124</v>
      </c>
      <c r="G8" s="1">
        <f t="shared" si="2"/>
        <v>160124</v>
      </c>
      <c r="H8" s="1">
        <f t="shared" si="2"/>
        <v>160124</v>
      </c>
      <c r="I8" s="1">
        <f t="shared" si="2"/>
        <v>160124</v>
      </c>
      <c r="J8" s="1">
        <f t="shared" si="2"/>
        <v>160124</v>
      </c>
      <c r="K8" s="1">
        <f t="shared" si="2"/>
        <v>160124</v>
      </c>
      <c r="L8" s="1">
        <f t="shared" si="2"/>
        <v>160124</v>
      </c>
      <c r="M8" s="1">
        <f t="shared" si="2"/>
        <v>160124</v>
      </c>
      <c r="N8" s="1">
        <f t="shared" si="2"/>
        <v>160124</v>
      </c>
      <c r="O8" s="1">
        <v>1921488</v>
      </c>
    </row>
    <row r="9" spans="2:56">
      <c r="B9" s="68" t="s">
        <v>71</v>
      </c>
      <c r="C9" s="1">
        <v>294429</v>
      </c>
      <c r="D9" s="1">
        <v>201059</v>
      </c>
      <c r="E9" s="1">
        <v>280411</v>
      </c>
      <c r="F9" s="1">
        <v>228281</v>
      </c>
      <c r="G9" s="1">
        <v>-3636</v>
      </c>
      <c r="H9" s="1">
        <v>173062</v>
      </c>
      <c r="I9" s="1">
        <v>276653</v>
      </c>
      <c r="J9" s="1">
        <v>117719</v>
      </c>
      <c r="K9" s="1">
        <v>102760</v>
      </c>
      <c r="L9" s="1">
        <v>146691</v>
      </c>
      <c r="M9" s="1">
        <v>163776</v>
      </c>
      <c r="N9" s="1">
        <v>196543</v>
      </c>
      <c r="O9" s="1">
        <f>SUM(C9:N9)</f>
        <v>2177748</v>
      </c>
      <c r="P9" s="1"/>
    </row>
    <row r="10" spans="2:56">
      <c r="B10" s="68" t="s">
        <v>68</v>
      </c>
      <c r="C10" s="44">
        <f>(C9-C8)/C8</f>
        <v>0.83875621393420097</v>
      </c>
      <c r="D10" s="44">
        <f t="shared" ref="D10" si="3">(D9-D8)/D8</f>
        <v>0.25564562464090329</v>
      </c>
      <c r="E10" s="44">
        <f t="shared" ref="E10" si="4">(E9-E8)/E8</f>
        <v>0.75121156104019382</v>
      </c>
      <c r="F10" s="44">
        <f t="shared" ref="F10" si="5">(F9-F8)/F8</f>
        <v>0.42565137018810423</v>
      </c>
      <c r="G10" s="44">
        <f t="shared" ref="G10" si="6">(G9-G8)/G8</f>
        <v>-1.0227074017636333</v>
      </c>
      <c r="H10" s="44">
        <f t="shared" ref="H10" si="7">(H9-H8)/H8</f>
        <v>8.0799880092927975E-2</v>
      </c>
      <c r="I10" s="44">
        <f t="shared" ref="I10" si="8">(I9-I8)/I8</f>
        <v>0.72774224975643875</v>
      </c>
      <c r="J10" s="44">
        <f t="shared" ref="J10" si="9">(J9-J8)/J8</f>
        <v>-0.26482600984237215</v>
      </c>
      <c r="K10" s="44">
        <f t="shared" ref="K10" si="10">(K9-K8)/K8</f>
        <v>-0.35824735829731957</v>
      </c>
      <c r="L10" s="44">
        <f t="shared" ref="L10" si="11">(L9-L8)/L8</f>
        <v>-8.3891234293422601E-2</v>
      </c>
      <c r="M10" s="44">
        <f t="shared" ref="M10" si="12">(M9-M8)/M8</f>
        <v>2.280732432364917E-2</v>
      </c>
      <c r="N10" s="44">
        <f t="shared" ref="N10" si="13">(N9-N8)/N8</f>
        <v>0.22744248207639078</v>
      </c>
      <c r="O10" s="44">
        <f t="shared" ref="O10" si="14">(O9-O8)/O8</f>
        <v>0.13336539182133847</v>
      </c>
    </row>
    <row r="13" spans="2:56" ht="15.75" thickBot="1">
      <c r="B13" s="69" t="s">
        <v>249</v>
      </c>
    </row>
    <row r="14" spans="2:56" ht="60">
      <c r="B14" s="115"/>
      <c r="C14" s="116" t="s">
        <v>147</v>
      </c>
      <c r="D14" s="116" t="s">
        <v>145</v>
      </c>
      <c r="E14" s="116" t="s">
        <v>146</v>
      </c>
      <c r="F14" s="116"/>
      <c r="G14" s="135" t="s">
        <v>155</v>
      </c>
      <c r="H14" s="116"/>
      <c r="I14" s="117" t="s">
        <v>156</v>
      </c>
    </row>
    <row r="15" spans="2:56">
      <c r="B15" s="118" t="s">
        <v>135</v>
      </c>
      <c r="C15" s="48">
        <v>65643844</v>
      </c>
      <c r="D15" s="48">
        <v>25460156</v>
      </c>
      <c r="E15" s="48">
        <f>SUM(C15:D15)</f>
        <v>91104000</v>
      </c>
      <c r="F15" s="119" t="s">
        <v>138</v>
      </c>
      <c r="G15" s="141">
        <f>G20+G25</f>
        <v>72900711</v>
      </c>
      <c r="H15" s="48" t="s">
        <v>138</v>
      </c>
      <c r="I15" s="120">
        <f>G15/C15</f>
        <v>1.110549086674449</v>
      </c>
    </row>
    <row r="16" spans="2:56">
      <c r="B16" s="118" t="s">
        <v>136</v>
      </c>
      <c r="C16" s="48">
        <v>78593854</v>
      </c>
      <c r="D16" s="48">
        <v>19867680</v>
      </c>
      <c r="E16" s="48">
        <f t="shared" ref="E16:E23" si="15">SUM(C16:D16)</f>
        <v>98461534</v>
      </c>
      <c r="F16" s="119" t="s">
        <v>138</v>
      </c>
      <c r="G16" s="141">
        <f t="shared" ref="G16:G18" si="16">G21+G26</f>
        <v>72900711</v>
      </c>
      <c r="H16" s="48" t="s">
        <v>138</v>
      </c>
      <c r="I16" s="120">
        <f t="shared" ref="I16:I18" si="17">G16/C16</f>
        <v>0.92756249108231792</v>
      </c>
    </row>
    <row r="17" spans="2:9">
      <c r="B17" s="121" t="s">
        <v>137</v>
      </c>
      <c r="C17" s="122">
        <v>2193338</v>
      </c>
      <c r="D17" s="122">
        <v>0</v>
      </c>
      <c r="E17" s="122">
        <f t="shared" si="15"/>
        <v>2193338</v>
      </c>
      <c r="F17" s="123" t="s">
        <v>139</v>
      </c>
      <c r="G17" s="142">
        <f t="shared" si="16"/>
        <v>2177748</v>
      </c>
      <c r="H17" s="122" t="s">
        <v>139</v>
      </c>
      <c r="I17" s="124">
        <f t="shared" si="17"/>
        <v>0.99289211238760278</v>
      </c>
    </row>
    <row r="18" spans="2:9">
      <c r="B18" s="121" t="s">
        <v>140</v>
      </c>
      <c r="C18" s="122">
        <v>1921488</v>
      </c>
      <c r="D18" s="122">
        <v>0</v>
      </c>
      <c r="E18" s="122">
        <f t="shared" si="15"/>
        <v>1921488</v>
      </c>
      <c r="F18" s="123" t="s">
        <v>139</v>
      </c>
      <c r="G18" s="142">
        <f t="shared" si="16"/>
        <v>2177748</v>
      </c>
      <c r="H18" s="122" t="s">
        <v>139</v>
      </c>
      <c r="I18" s="124">
        <f t="shared" si="17"/>
        <v>1.1333653918213384</v>
      </c>
    </row>
    <row r="19" spans="2:9">
      <c r="B19" s="118"/>
      <c r="C19" s="48"/>
      <c r="D19" s="48"/>
      <c r="E19" s="48"/>
      <c r="F19" s="119"/>
      <c r="G19" s="136"/>
      <c r="H19" s="48"/>
      <c r="I19" s="125"/>
    </row>
    <row r="20" spans="2:9">
      <c r="B20" s="118" t="s">
        <v>141</v>
      </c>
      <c r="C20" s="48">
        <f>C15*0.6179</f>
        <v>40561331.207599998</v>
      </c>
      <c r="D20" s="48">
        <f>D15*0.6179</f>
        <v>15731830.3924</v>
      </c>
      <c r="E20" s="48">
        <f t="shared" si="15"/>
        <v>56293161.599999994</v>
      </c>
      <c r="F20" s="119" t="s">
        <v>138</v>
      </c>
      <c r="G20" s="136">
        <f>11613399+2111821+35052695</f>
        <v>48777915</v>
      </c>
      <c r="H20" s="48" t="s">
        <v>138</v>
      </c>
      <c r="I20" s="120">
        <f>G20/C20</f>
        <v>1.2025718473179809</v>
      </c>
    </row>
    <row r="21" spans="2:9">
      <c r="B21" s="118" t="s">
        <v>142</v>
      </c>
      <c r="C21" s="48">
        <v>54489401</v>
      </c>
      <c r="D21" s="48">
        <v>13425871</v>
      </c>
      <c r="E21" s="48">
        <f t="shared" si="15"/>
        <v>67915272</v>
      </c>
      <c r="F21" s="119" t="s">
        <v>138</v>
      </c>
      <c r="G21" s="141">
        <f>G20</f>
        <v>48777915</v>
      </c>
      <c r="H21" s="48" t="s">
        <v>138</v>
      </c>
      <c r="I21" s="120">
        <f t="shared" ref="I21:I23" si="18">G21/C21</f>
        <v>0.89518170698921795</v>
      </c>
    </row>
    <row r="22" spans="2:9">
      <c r="B22" s="121" t="s">
        <v>143</v>
      </c>
      <c r="C22" s="122">
        <v>1542529</v>
      </c>
      <c r="D22" s="122">
        <v>0</v>
      </c>
      <c r="E22" s="122">
        <f t="shared" si="15"/>
        <v>1542529</v>
      </c>
      <c r="F22" s="123" t="s">
        <v>139</v>
      </c>
      <c r="G22" s="137">
        <f>862142+47487+751871</f>
        <v>1661500</v>
      </c>
      <c r="H22" s="122" t="s">
        <v>139</v>
      </c>
      <c r="I22" s="124">
        <f t="shared" si="18"/>
        <v>1.0771272371540503</v>
      </c>
    </row>
    <row r="23" spans="2:9">
      <c r="B23" s="121" t="s">
        <v>144</v>
      </c>
      <c r="C23" s="122">
        <v>1385606</v>
      </c>
      <c r="D23" s="122">
        <v>0</v>
      </c>
      <c r="E23" s="122">
        <f t="shared" si="15"/>
        <v>1385606</v>
      </c>
      <c r="F23" s="123" t="s">
        <v>139</v>
      </c>
      <c r="G23" s="142">
        <f>G22</f>
        <v>1661500</v>
      </c>
      <c r="H23" s="122" t="s">
        <v>139</v>
      </c>
      <c r="I23" s="124">
        <f t="shared" si="18"/>
        <v>1.1991143225419059</v>
      </c>
    </row>
    <row r="24" spans="2:9">
      <c r="B24" s="118"/>
      <c r="C24" s="131"/>
      <c r="D24" s="48"/>
      <c r="E24" s="48"/>
      <c r="F24" s="119"/>
      <c r="G24" s="136"/>
      <c r="H24" s="48"/>
      <c r="I24" s="125"/>
    </row>
    <row r="25" spans="2:9">
      <c r="B25" s="118" t="s">
        <v>148</v>
      </c>
      <c r="C25" s="48">
        <f>C15-C20</f>
        <v>25082512.792400002</v>
      </c>
      <c r="D25" s="48">
        <f>D15-D20</f>
        <v>9728325.6075999998</v>
      </c>
      <c r="E25" s="48">
        <f t="shared" ref="E25:E28" si="19">SUM(C25:D25)</f>
        <v>34810838.400000006</v>
      </c>
      <c r="F25" s="119" t="s">
        <v>138</v>
      </c>
      <c r="G25" s="137">
        <f>6361558+371355+17389883</f>
        <v>24122796</v>
      </c>
      <c r="H25" s="48" t="s">
        <v>138</v>
      </c>
      <c r="I25" s="120">
        <f>G25/C25</f>
        <v>0.96173761375731082</v>
      </c>
    </row>
    <row r="26" spans="2:9">
      <c r="B26" s="118" t="s">
        <v>149</v>
      </c>
      <c r="C26" s="48">
        <v>24104453</v>
      </c>
      <c r="D26" s="48">
        <v>6441809</v>
      </c>
      <c r="E26" s="48">
        <f t="shared" si="19"/>
        <v>30546262</v>
      </c>
      <c r="F26" s="119" t="s">
        <v>138</v>
      </c>
      <c r="G26" s="142">
        <f>G25</f>
        <v>24122796</v>
      </c>
      <c r="H26" s="48" t="s">
        <v>138</v>
      </c>
      <c r="I26" s="120">
        <f t="shared" ref="I26:I28" si="20">G26/C26</f>
        <v>1.0007609797243688</v>
      </c>
    </row>
    <row r="27" spans="2:9">
      <c r="B27" s="118" t="s">
        <v>150</v>
      </c>
      <c r="C27" s="48">
        <f>C17-C22</f>
        <v>650809</v>
      </c>
      <c r="D27" s="48">
        <v>0</v>
      </c>
      <c r="E27" s="48">
        <f t="shared" si="19"/>
        <v>650809</v>
      </c>
      <c r="F27" s="119" t="s">
        <v>139</v>
      </c>
      <c r="G27" s="136">
        <f>319663+16720+179865</f>
        <v>516248</v>
      </c>
      <c r="H27" s="48" t="s">
        <v>139</v>
      </c>
      <c r="I27" s="120">
        <f t="shared" si="20"/>
        <v>0.79324041308586701</v>
      </c>
    </row>
    <row r="28" spans="2:9">
      <c r="B28" s="118" t="s">
        <v>151</v>
      </c>
      <c r="C28" s="48">
        <v>535882</v>
      </c>
      <c r="D28" s="48">
        <v>0</v>
      </c>
      <c r="E28" s="48">
        <f t="shared" si="19"/>
        <v>535882</v>
      </c>
      <c r="F28" s="119" t="s">
        <v>139</v>
      </c>
      <c r="G28" s="141">
        <f>G27</f>
        <v>516248</v>
      </c>
      <c r="H28" s="48" t="s">
        <v>139</v>
      </c>
      <c r="I28" s="120">
        <f t="shared" si="20"/>
        <v>0.96336133701075988</v>
      </c>
    </row>
    <row r="29" spans="2:9">
      <c r="B29" s="118"/>
      <c r="C29" s="48"/>
      <c r="D29" s="119"/>
      <c r="E29" s="119"/>
      <c r="F29" s="119"/>
      <c r="G29" s="136"/>
      <c r="H29" s="48"/>
      <c r="I29" s="125"/>
    </row>
    <row r="30" spans="2:9">
      <c r="B30" s="118" t="s">
        <v>152</v>
      </c>
      <c r="C30" s="48"/>
      <c r="D30" s="119"/>
      <c r="E30" s="48">
        <v>59991200</v>
      </c>
      <c r="F30" s="119" t="s">
        <v>138</v>
      </c>
      <c r="G30" s="142">
        <f>G20-G31</f>
        <v>45895560</v>
      </c>
      <c r="H30" s="48" t="s">
        <v>138</v>
      </c>
      <c r="I30" s="120">
        <f>G30/E30</f>
        <v>0.76503820560348856</v>
      </c>
    </row>
    <row r="31" spans="2:9">
      <c r="B31" s="118" t="s">
        <v>153</v>
      </c>
      <c r="C31" s="48"/>
      <c r="D31" s="119"/>
      <c r="E31" s="48">
        <v>1284824</v>
      </c>
      <c r="F31" s="119" t="s">
        <v>138</v>
      </c>
      <c r="G31" s="137">
        <f>1422548+1459807</f>
        <v>2882355</v>
      </c>
      <c r="H31" s="48" t="s">
        <v>138</v>
      </c>
      <c r="I31" s="120">
        <f t="shared" ref="I31:I32" si="21">G31/E31</f>
        <v>2.2433850862063598</v>
      </c>
    </row>
    <row r="32" spans="2:9" ht="15.75" thickBot="1">
      <c r="B32" s="126" t="s">
        <v>154</v>
      </c>
      <c r="C32" s="127"/>
      <c r="D32" s="127"/>
      <c r="E32" s="128">
        <f>SUM(E30:E31)</f>
        <v>61276024</v>
      </c>
      <c r="F32" s="127" t="s">
        <v>138</v>
      </c>
      <c r="G32" s="143">
        <f>SUM(G30:G31)</f>
        <v>48777915</v>
      </c>
      <c r="H32" s="128" t="s">
        <v>138</v>
      </c>
      <c r="I32" s="129">
        <f t="shared" si="21"/>
        <v>0.79603590141553571</v>
      </c>
    </row>
  </sheetData>
  <pageMargins left="0.7" right="0.7" top="0.75" bottom="0.75" header="0.3" footer="0.3"/>
  <pageSetup scale="63" orientation="landscape" r:id="rId1"/>
</worksheet>
</file>

<file path=xl/worksheets/sheet10.xml><?xml version="1.0" encoding="utf-8"?>
<worksheet xmlns="http://schemas.openxmlformats.org/spreadsheetml/2006/main" xmlns:r="http://schemas.openxmlformats.org/officeDocument/2006/relationships">
  <dimension ref="A2:B14"/>
  <sheetViews>
    <sheetView workbookViewId="0">
      <selection activeCell="B11" sqref="B11"/>
    </sheetView>
  </sheetViews>
  <sheetFormatPr defaultRowHeight="15"/>
  <cols>
    <col min="1" max="1" width="51.5703125" bestFit="1" customWidth="1"/>
    <col min="2" max="2" width="14.28515625" bestFit="1" customWidth="1"/>
  </cols>
  <sheetData>
    <row r="2" spans="1:2">
      <c r="A2" s="132" t="s">
        <v>223</v>
      </c>
      <c r="B2" s="1">
        <f>'ID-Sch91 Rider Balance'!J17</f>
        <v>915532.59426851559</v>
      </c>
    </row>
    <row r="3" spans="1:2">
      <c r="A3" s="132"/>
    </row>
    <row r="4" spans="1:2">
      <c r="A4" s="132" t="s">
        <v>224</v>
      </c>
      <c r="B4" s="1">
        <v>2607000</v>
      </c>
    </row>
    <row r="5" spans="1:2">
      <c r="A5" s="132" t="s">
        <v>225</v>
      </c>
      <c r="B5" s="139">
        <f>SUM('ID-Sch91 Rider Balance'!K11:N11)</f>
        <v>1858259</v>
      </c>
    </row>
    <row r="6" spans="1:2">
      <c r="A6" s="132"/>
      <c r="B6" s="1">
        <f>B5-B4</f>
        <v>-748741</v>
      </c>
    </row>
    <row r="8" spans="1:2">
      <c r="A8" s="132" t="s">
        <v>226</v>
      </c>
      <c r="B8" s="3">
        <f>B2+B6</f>
        <v>166791.59426851559</v>
      </c>
    </row>
    <row r="10" spans="1:2">
      <c r="A10" s="132" t="s">
        <v>227</v>
      </c>
      <c r="B10" s="1">
        <v>7706000</v>
      </c>
    </row>
    <row r="11" spans="1:2">
      <c r="A11" t="s">
        <v>228</v>
      </c>
      <c r="B11" s="140"/>
    </row>
    <row r="12" spans="1:2">
      <c r="B12" s="3">
        <f>B11-B10</f>
        <v>-7706000</v>
      </c>
    </row>
    <row r="14" spans="1:2">
      <c r="A14" t="s">
        <v>229</v>
      </c>
      <c r="B14" s="3">
        <f>B8+B12</f>
        <v>-7539208.4057314843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theme="4" tint="0.39997558519241921"/>
  </sheetPr>
  <dimension ref="A2:AF32"/>
  <sheetViews>
    <sheetView workbookViewId="0">
      <pane xSplit="2" ySplit="4" topLeftCell="C9" activePane="bottomRight" state="frozen"/>
      <selection pane="topRight" activeCell="C1" sqref="C1"/>
      <selection pane="bottomLeft" activeCell="A5" sqref="A5"/>
      <selection pane="bottomRight" activeCell="A20" sqref="A20"/>
    </sheetView>
  </sheetViews>
  <sheetFormatPr defaultRowHeight="15"/>
  <cols>
    <col min="1" max="1" width="3.42578125" bestFit="1" customWidth="1"/>
    <col min="2" max="2" width="34.85546875" customWidth="1"/>
    <col min="3" max="12" width="10.5703125" bestFit="1" customWidth="1"/>
    <col min="13" max="15" width="11.28515625" bestFit="1" customWidth="1"/>
    <col min="16" max="16" width="11.5703125" bestFit="1" customWidth="1"/>
    <col min="17" max="19" width="11.28515625" bestFit="1" customWidth="1"/>
    <col min="21" max="22" width="9.7109375" bestFit="1" customWidth="1"/>
    <col min="23" max="32" width="11.28515625" bestFit="1" customWidth="1"/>
  </cols>
  <sheetData>
    <row r="2" spans="1:32">
      <c r="B2" s="63" t="s">
        <v>27</v>
      </c>
    </row>
    <row r="3" spans="1:32">
      <c r="C3" s="32">
        <v>2010</v>
      </c>
      <c r="D3" s="32">
        <v>2010</v>
      </c>
      <c r="E3" s="32">
        <v>2010</v>
      </c>
      <c r="F3" s="32">
        <v>2010</v>
      </c>
      <c r="G3" s="32">
        <v>2010</v>
      </c>
      <c r="H3" s="32">
        <v>2010</v>
      </c>
      <c r="I3" s="32">
        <v>2010</v>
      </c>
      <c r="J3" s="32">
        <v>2010</v>
      </c>
      <c r="K3" s="32">
        <v>2010</v>
      </c>
      <c r="L3" s="32">
        <v>2010</v>
      </c>
      <c r="M3" s="32">
        <v>2010</v>
      </c>
      <c r="N3" s="32">
        <v>2010</v>
      </c>
      <c r="O3" s="70" t="s">
        <v>34</v>
      </c>
      <c r="P3" s="70">
        <v>2010</v>
      </c>
      <c r="Q3" s="70">
        <v>2010</v>
      </c>
      <c r="R3" s="70">
        <v>2010</v>
      </c>
      <c r="S3" s="70">
        <v>2010</v>
      </c>
      <c r="U3" s="70">
        <v>2011</v>
      </c>
      <c r="V3" s="70">
        <v>2011</v>
      </c>
      <c r="W3" s="70">
        <v>2011</v>
      </c>
      <c r="X3" s="70">
        <v>2011</v>
      </c>
      <c r="Y3" s="70">
        <v>2011</v>
      </c>
      <c r="Z3" s="70">
        <v>2011</v>
      </c>
      <c r="AA3" s="70">
        <v>2011</v>
      </c>
      <c r="AB3" s="70">
        <v>2011</v>
      </c>
      <c r="AC3" s="70">
        <v>2011</v>
      </c>
      <c r="AD3" s="70">
        <v>2011</v>
      </c>
      <c r="AE3" s="70">
        <v>2011</v>
      </c>
      <c r="AF3" s="70">
        <v>2011</v>
      </c>
    </row>
    <row r="4" spans="1:32">
      <c r="C4" s="32" t="s">
        <v>0</v>
      </c>
      <c r="D4" s="32" t="s">
        <v>1</v>
      </c>
      <c r="E4" s="32" t="s">
        <v>2</v>
      </c>
      <c r="F4" s="32" t="s">
        <v>3</v>
      </c>
      <c r="G4" s="32" t="s">
        <v>4</v>
      </c>
      <c r="H4" s="32" t="s">
        <v>5</v>
      </c>
      <c r="I4" s="32" t="s">
        <v>6</v>
      </c>
      <c r="J4" s="32" t="s">
        <v>7</v>
      </c>
      <c r="K4" s="32" t="s">
        <v>8</v>
      </c>
      <c r="L4" s="32" t="s">
        <v>9</v>
      </c>
      <c r="M4" s="32" t="s">
        <v>10</v>
      </c>
      <c r="N4" s="32" t="s">
        <v>11</v>
      </c>
      <c r="O4" s="70"/>
      <c r="P4" s="70" t="s">
        <v>97</v>
      </c>
      <c r="Q4" s="70" t="s">
        <v>98</v>
      </c>
      <c r="R4" s="70" t="s">
        <v>99</v>
      </c>
      <c r="S4" s="70" t="s">
        <v>100</v>
      </c>
      <c r="U4" s="70" t="s">
        <v>0</v>
      </c>
      <c r="V4" s="70" t="s">
        <v>1</v>
      </c>
      <c r="W4" s="70" t="s">
        <v>2</v>
      </c>
      <c r="X4" s="70" t="s">
        <v>3</v>
      </c>
      <c r="Y4" s="70" t="s">
        <v>4</v>
      </c>
      <c r="Z4" s="70" t="s">
        <v>5</v>
      </c>
      <c r="AA4" s="70" t="s">
        <v>6</v>
      </c>
      <c r="AB4" s="70" t="s">
        <v>7</v>
      </c>
      <c r="AC4" s="70" t="s">
        <v>8</v>
      </c>
      <c r="AD4" s="70" t="s">
        <v>9</v>
      </c>
      <c r="AE4" s="70" t="s">
        <v>10</v>
      </c>
      <c r="AF4" s="70" t="s">
        <v>11</v>
      </c>
    </row>
    <row r="5" spans="1:32">
      <c r="A5" t="s">
        <v>22</v>
      </c>
      <c r="B5" t="s">
        <v>13</v>
      </c>
      <c r="C5" s="1">
        <v>2369036</v>
      </c>
      <c r="D5" s="1">
        <f>C17</f>
        <v>2417282.7042496516</v>
      </c>
      <c r="E5" s="1">
        <f>D17</f>
        <v>2008878.0759582312</v>
      </c>
      <c r="F5" s="1">
        <f>E17</f>
        <v>1899184.6391990476</v>
      </c>
      <c r="G5" s="1">
        <f>F17</f>
        <v>1546950.2058988889</v>
      </c>
      <c r="H5" s="1">
        <f t="shared" ref="H5:N5" si="0">G17</f>
        <v>1380554.5555852479</v>
      </c>
      <c r="I5" s="1">
        <f t="shared" si="0"/>
        <v>1261713.3583502132</v>
      </c>
      <c r="J5" s="1">
        <f t="shared" si="0"/>
        <v>1126002.1138560926</v>
      </c>
      <c r="K5" s="1">
        <f t="shared" si="0"/>
        <v>915532.59426851559</v>
      </c>
      <c r="L5" s="1">
        <f t="shared" si="0"/>
        <v>695193.95695712604</v>
      </c>
      <c r="M5" s="1">
        <f t="shared" si="0"/>
        <v>642945.39044433367</v>
      </c>
      <c r="N5" s="1">
        <f t="shared" si="0"/>
        <v>722637.00044433365</v>
      </c>
      <c r="O5" s="68"/>
      <c r="P5" s="72">
        <f>C5</f>
        <v>2369036</v>
      </c>
      <c r="Q5" s="75">
        <f>P17</f>
        <v>1899184.6391990478</v>
      </c>
      <c r="R5" s="75">
        <f>Q17</f>
        <v>1261713.3583502136</v>
      </c>
      <c r="S5" s="75">
        <f>R17</f>
        <v>695193.9569571265</v>
      </c>
      <c r="U5" s="75" t="str">
        <f>N19</f>
        <v xml:space="preserve"> </v>
      </c>
      <c r="V5" s="75" t="e">
        <f>U19</f>
        <v>#VALUE!</v>
      </c>
      <c r="W5" s="75" t="e">
        <f t="shared" ref="W5:AF5" si="1">V19</f>
        <v>#VALUE!</v>
      </c>
      <c r="X5" s="75" t="e">
        <f t="shared" si="1"/>
        <v>#VALUE!</v>
      </c>
      <c r="Y5" s="75" t="e">
        <f t="shared" si="1"/>
        <v>#VALUE!</v>
      </c>
      <c r="Z5" s="75" t="e">
        <f t="shared" si="1"/>
        <v>#VALUE!</v>
      </c>
      <c r="AA5" s="75" t="e">
        <f t="shared" si="1"/>
        <v>#VALUE!</v>
      </c>
      <c r="AB5" s="75" t="e">
        <f t="shared" si="1"/>
        <v>#VALUE!</v>
      </c>
      <c r="AC5" s="75" t="e">
        <f t="shared" si="1"/>
        <v>#VALUE!</v>
      </c>
      <c r="AD5" s="75" t="e">
        <f t="shared" si="1"/>
        <v>#VALUE!</v>
      </c>
      <c r="AE5" s="75" t="e">
        <f t="shared" si="1"/>
        <v>#VALUE!</v>
      </c>
      <c r="AF5" s="75" t="e">
        <f t="shared" si="1"/>
        <v>#VALUE!</v>
      </c>
    </row>
    <row r="6" spans="1:32">
      <c r="C6" s="1"/>
      <c r="D6" s="1"/>
      <c r="E6" s="1"/>
      <c r="F6" s="1"/>
      <c r="G6" s="1"/>
      <c r="H6" s="1"/>
      <c r="I6" s="1"/>
      <c r="J6" s="1"/>
      <c r="K6" s="1"/>
      <c r="L6" s="1"/>
      <c r="M6" s="1"/>
      <c r="N6" s="1"/>
      <c r="O6" s="68"/>
      <c r="P6" s="68"/>
      <c r="Q6" s="68"/>
      <c r="R6" s="68"/>
      <c r="S6" s="68"/>
      <c r="U6" s="68"/>
      <c r="V6" s="68"/>
      <c r="W6" s="68"/>
      <c r="X6" s="68"/>
      <c r="Y6" s="68"/>
      <c r="Z6" s="68"/>
      <c r="AA6" s="68"/>
      <c r="AB6" s="68"/>
      <c r="AC6" s="68"/>
      <c r="AD6" s="68"/>
      <c r="AE6" s="68"/>
      <c r="AF6" s="68"/>
    </row>
    <row r="7" spans="1:32">
      <c r="B7" t="s">
        <v>14</v>
      </c>
      <c r="C7" s="2">
        <f>'ID-Sch91 Forecasted-Act Rev'!B52</f>
        <v>762517.58312813356</v>
      </c>
      <c r="D7" s="2">
        <f>'ID-Sch91 Forecasted-Act Rev'!C52</f>
        <v>674515.55651750427</v>
      </c>
      <c r="E7" s="2">
        <f>'ID-Sch91 Forecasted-Act Rev'!D52</f>
        <v>666481.51311140764</v>
      </c>
      <c r="F7" s="2">
        <f>'ID-Sch91 Forecasted-Act Rev'!E52</f>
        <v>579081.23508125055</v>
      </c>
      <c r="G7" s="2">
        <f>'ID-Sch91 Forecasted-Act Rev'!F52</f>
        <v>572813.44250258419</v>
      </c>
      <c r="H7" s="2">
        <f>'ID-Sch91 Forecasted-Act Rev'!G52</f>
        <v>574689.38997737388</v>
      </c>
      <c r="I7" s="2">
        <f>'ID-Sch91 Forecasted-Act Rev'!H52</f>
        <v>610752.61206215969</v>
      </c>
      <c r="J7" s="2">
        <f>'ID-Sch91 Forecasted-Act Rev'!I52</f>
        <v>612737.13680048392</v>
      </c>
      <c r="K7" s="2">
        <f>'ID-Sch91 Forecasted-Act Rev'!J52</f>
        <v>571980.18213039427</v>
      </c>
      <c r="L7" s="2">
        <f>'ID-Sch91 Forecasted-Act Rev'!K52</f>
        <v>622702.35335211549</v>
      </c>
      <c r="M7" s="2">
        <f>'ID-Sch91 Forecasted-Act Rev'!L52</f>
        <v>672378.20568990125</v>
      </c>
      <c r="N7" s="2">
        <f>'ID-Sch91 Forecasted-Act Rev'!M52</f>
        <v>738830.05628822499</v>
      </c>
      <c r="O7" s="75">
        <f>SUM(C7:N7)</f>
        <v>7659479.2666415349</v>
      </c>
      <c r="P7" s="75">
        <f>SUM(C7:E7)</f>
        <v>2103514.6527570458</v>
      </c>
      <c r="Q7" s="75">
        <f>SUM(F7:H7)</f>
        <v>1726584.0675612085</v>
      </c>
      <c r="R7" s="75">
        <f>SUM(I7:K7)</f>
        <v>1795469.930993038</v>
      </c>
      <c r="S7" s="75">
        <f>SUM(L7:N7)</f>
        <v>2033910.6153302416</v>
      </c>
      <c r="U7" s="35">
        <v>762778.11165984534</v>
      </c>
      <c r="V7" s="35">
        <v>671867.30492284673</v>
      </c>
      <c r="W7" s="35">
        <v>648731.76707517984</v>
      </c>
      <c r="X7" s="35">
        <v>590746.2629297208</v>
      </c>
      <c r="Y7" s="35">
        <v>585782.99211067788</v>
      </c>
      <c r="Z7" s="35">
        <v>553320.76451037533</v>
      </c>
      <c r="AA7" s="35">
        <v>603172.1232499996</v>
      </c>
      <c r="AB7" s="35">
        <v>633284.55743700219</v>
      </c>
      <c r="AC7" s="35">
        <v>578426.89090722485</v>
      </c>
      <c r="AD7" s="35">
        <v>623036.32630861411</v>
      </c>
      <c r="AE7" s="35">
        <v>697313.8773052051</v>
      </c>
      <c r="AF7" s="35">
        <v>740080.2960976836</v>
      </c>
    </row>
    <row r="8" spans="1:32">
      <c r="A8" t="s">
        <v>21</v>
      </c>
      <c r="B8" t="s">
        <v>15</v>
      </c>
      <c r="C8" s="1">
        <f>'ID-Sch91 Forecasted-Act Rev'!B63</f>
        <v>762818.20575034816</v>
      </c>
      <c r="D8" s="1">
        <f>'ID-Sch91 Forecasted-Act Rev'!C63</f>
        <v>679100.83829142037</v>
      </c>
      <c r="E8" s="1">
        <f>'ID-Sch91 Forecasted-Act Rev'!D63</f>
        <v>619689.10675918369</v>
      </c>
      <c r="F8" s="1">
        <f>'ID-Sch91 Forecasted-Act Rev'!E63</f>
        <v>623154.43330015859</v>
      </c>
      <c r="G8" s="1">
        <f>'ID-Sch91 Forecasted-Act Rev'!F63</f>
        <v>601224.65031364083</v>
      </c>
      <c r="H8" s="1">
        <f>'ID-Sch91 Forecasted-Act Rev'!G63</f>
        <v>557359.19723503478</v>
      </c>
      <c r="I8" s="1">
        <f>'ID-Sch91 Forecasted-Act Rev'!H63</f>
        <v>568063.24449412059</v>
      </c>
      <c r="J8" s="1">
        <f>'ID-Sch91 Forecasted-Act Rev'!I63</f>
        <v>610837.51958757697</v>
      </c>
      <c r="K8" s="1">
        <f>'ID-Sch91 Forecasted-Act Rev'!J63</f>
        <v>588924.63731138955</v>
      </c>
      <c r="L8" s="1">
        <f>'ID-Sch91 Forecasted-Act Rev'!K63</f>
        <v>539118.56651279237</v>
      </c>
      <c r="M8" s="1">
        <f>'ID-Sch91 Forecasted-Act Rev'!L63</f>
        <v>465423.26</v>
      </c>
      <c r="N8" s="1">
        <f>'ID-Sch91 Forecasted-Act Rev'!M63</f>
        <v>732025.97766273364</v>
      </c>
      <c r="O8" s="75">
        <f t="shared" ref="O8:O9" si="2">SUM(C8:N8)</f>
        <v>7347739.6372183999</v>
      </c>
      <c r="P8" s="75">
        <f>SUM(C8:E8)</f>
        <v>2061608.1508009522</v>
      </c>
      <c r="Q8" s="75">
        <f>SUM(F8:H8)</f>
        <v>1781738.2808488342</v>
      </c>
      <c r="R8" s="75">
        <f>SUM(I8:K8)</f>
        <v>1767825.4013930871</v>
      </c>
      <c r="S8" s="75">
        <f>SUM(L8:N8)</f>
        <v>1736567.8041755259</v>
      </c>
      <c r="U8" s="68"/>
      <c r="V8" s="68"/>
      <c r="W8" s="68"/>
      <c r="X8" s="68"/>
      <c r="Y8" s="68"/>
      <c r="Z8" s="68"/>
      <c r="AA8" s="68"/>
      <c r="AB8" s="68"/>
      <c r="AC8" s="68"/>
      <c r="AD8" s="68"/>
      <c r="AE8" s="68"/>
      <c r="AF8" s="68"/>
    </row>
    <row r="9" spans="1:32">
      <c r="B9" t="s">
        <v>16</v>
      </c>
      <c r="C9" s="24">
        <f>C8-C7</f>
        <v>300.62262221460696</v>
      </c>
      <c r="D9" s="24">
        <f>D8-D7</f>
        <v>4585.2817739160964</v>
      </c>
      <c r="E9" s="24">
        <f t="shared" ref="E9:N9" si="3">E8-E7</f>
        <v>-46792.406352223945</v>
      </c>
      <c r="F9" s="24">
        <f t="shared" si="3"/>
        <v>44073.198218908045</v>
      </c>
      <c r="G9" s="24">
        <f t="shared" si="3"/>
        <v>28411.207811056636</v>
      </c>
      <c r="H9" s="24">
        <f t="shared" si="3"/>
        <v>-17330.192742339103</v>
      </c>
      <c r="I9" s="24">
        <f t="shared" si="3"/>
        <v>-42689.367568039102</v>
      </c>
      <c r="J9" s="24">
        <f t="shared" si="3"/>
        <v>-1899.6172129069455</v>
      </c>
      <c r="K9" s="24">
        <f t="shared" si="3"/>
        <v>16944.455180995283</v>
      </c>
      <c r="L9" s="24">
        <f t="shared" si="3"/>
        <v>-83583.786839323118</v>
      </c>
      <c r="M9" s="24">
        <f t="shared" si="3"/>
        <v>-206954.94568990124</v>
      </c>
      <c r="N9" s="24">
        <f t="shared" si="3"/>
        <v>-6804.0786254913546</v>
      </c>
      <c r="O9" s="76">
        <f t="shared" si="2"/>
        <v>-311739.62942313415</v>
      </c>
      <c r="P9" s="76">
        <f t="shared" ref="P9:S9" si="4">P8-P7</f>
        <v>-41906.501956093591</v>
      </c>
      <c r="Q9" s="76">
        <f t="shared" si="4"/>
        <v>55154.213287625695</v>
      </c>
      <c r="R9" s="76">
        <f t="shared" si="4"/>
        <v>-27644.529599950882</v>
      </c>
      <c r="S9" s="76">
        <f t="shared" si="4"/>
        <v>-297342.81115471572</v>
      </c>
      <c r="U9" s="68"/>
      <c r="V9" s="68"/>
      <c r="W9" s="68"/>
      <c r="X9" s="68"/>
      <c r="Y9" s="68"/>
      <c r="Z9" s="68"/>
      <c r="AA9" s="68"/>
      <c r="AB9" s="68"/>
      <c r="AC9" s="68"/>
      <c r="AD9" s="68"/>
      <c r="AE9" s="68"/>
      <c r="AF9" s="68"/>
    </row>
    <row r="10" spans="1:32">
      <c r="C10" s="1"/>
      <c r="D10" s="1"/>
      <c r="E10" s="1"/>
      <c r="F10" s="1"/>
      <c r="G10" s="1"/>
      <c r="H10" s="1"/>
      <c r="I10" s="1"/>
      <c r="J10" s="1"/>
      <c r="K10" s="1"/>
      <c r="L10" s="1"/>
      <c r="M10" s="1"/>
      <c r="N10" s="1"/>
      <c r="O10" s="68"/>
      <c r="P10" s="68"/>
      <c r="Q10" s="68"/>
      <c r="R10" s="68"/>
      <c r="S10" s="68"/>
      <c r="U10" s="68"/>
      <c r="V10" s="68"/>
      <c r="W10" s="68"/>
      <c r="X10" s="68"/>
      <c r="Y10" s="68"/>
      <c r="Z10" s="68"/>
      <c r="AA10" s="68"/>
      <c r="AB10" s="68"/>
      <c r="AC10" s="68"/>
      <c r="AD10" s="68"/>
      <c r="AE10" s="68"/>
      <c r="AF10" s="68"/>
    </row>
    <row r="11" spans="1:32">
      <c r="B11" t="s">
        <v>18</v>
      </c>
      <c r="C11" s="1">
        <f>5574777/12</f>
        <v>464564.75</v>
      </c>
      <c r="D11" s="1">
        <f t="shared" ref="D11:N11" si="5">5574777/12</f>
        <v>464564.75</v>
      </c>
      <c r="E11" s="1">
        <f t="shared" si="5"/>
        <v>464564.75</v>
      </c>
      <c r="F11" s="1">
        <f t="shared" si="5"/>
        <v>464564.75</v>
      </c>
      <c r="G11" s="1">
        <f t="shared" si="5"/>
        <v>464564.75</v>
      </c>
      <c r="H11" s="1">
        <f t="shared" si="5"/>
        <v>464564.75</v>
      </c>
      <c r="I11" s="1">
        <f t="shared" si="5"/>
        <v>464564.75</v>
      </c>
      <c r="J11" s="1">
        <f t="shared" si="5"/>
        <v>464564.75</v>
      </c>
      <c r="K11" s="1">
        <f t="shared" si="5"/>
        <v>464564.75</v>
      </c>
      <c r="L11" s="1">
        <f t="shared" si="5"/>
        <v>464564.75</v>
      </c>
      <c r="M11" s="1">
        <f t="shared" si="5"/>
        <v>464564.75</v>
      </c>
      <c r="N11" s="1">
        <f t="shared" si="5"/>
        <v>464564.75</v>
      </c>
      <c r="O11" s="75">
        <f t="shared" ref="O11:O13" si="6">SUM(C11:N11)</f>
        <v>5574777</v>
      </c>
      <c r="P11" s="75">
        <f>SUM(C11:E11)</f>
        <v>1393694.25</v>
      </c>
      <c r="Q11" s="75">
        <f>SUM(F11:H11)</f>
        <v>1393694.25</v>
      </c>
      <c r="R11" s="75">
        <f>SUM(I11:K11)</f>
        <v>1393694.25</v>
      </c>
      <c r="S11" s="75">
        <f>SUM(L11:N11)</f>
        <v>1393694.25</v>
      </c>
      <c r="U11" s="73">
        <f>5530873*(C12/(SUM($C$12:$K$12)+SUM($L$11:$N$11)))</f>
        <v>841470.03995998297</v>
      </c>
      <c r="V11" s="73">
        <f t="shared" ref="V11:AC11" si="7">5530873*(D12/(SUM($C$12:$K$12)+SUM($L$11:$N$11)))</f>
        <v>280844.04569507996</v>
      </c>
      <c r="W11" s="73">
        <f t="shared" si="7"/>
        <v>529114.34278955346</v>
      </c>
      <c r="X11" s="73">
        <f t="shared" si="7"/>
        <v>281076.22511490306</v>
      </c>
      <c r="Y11" s="73">
        <f t="shared" si="7"/>
        <v>451129.83128040819</v>
      </c>
      <c r="Z11" s="73">
        <f t="shared" si="7"/>
        <v>454957.12418771983</v>
      </c>
      <c r="AA11" s="73">
        <f t="shared" si="7"/>
        <v>448559.97372242203</v>
      </c>
      <c r="AB11" s="73">
        <f t="shared" si="7"/>
        <v>415376.96034550242</v>
      </c>
      <c r="AC11" s="73">
        <f t="shared" si="7"/>
        <v>382403.51952680369</v>
      </c>
      <c r="AD11" s="73">
        <f>5530873*(L11/(SUM($C$12:$K$12)+SUM($L$11:$N$11)))</f>
        <v>481980.31245920813</v>
      </c>
      <c r="AE11" s="73">
        <f t="shared" ref="AE11:AF11" si="8">5530873*(M11/(SUM($C$12:$K$12)+SUM($L$11:$N$11)))</f>
        <v>481980.31245920813</v>
      </c>
      <c r="AF11" s="73">
        <f t="shared" si="8"/>
        <v>481980.31245920813</v>
      </c>
    </row>
    <row r="12" spans="1:32">
      <c r="A12" t="s">
        <v>20</v>
      </c>
      <c r="B12" t="s">
        <v>17</v>
      </c>
      <c r="C12" s="1">
        <f>'ID-Sch91 Budget-Act Exp'!C68</f>
        <v>811064.90999999992</v>
      </c>
      <c r="D12" s="1">
        <f>'ID-Sch91 Budget-Act Exp'!D68</f>
        <v>270696.20999999996</v>
      </c>
      <c r="E12" s="1">
        <f>'ID-Sch91 Budget-Act Exp'!E68</f>
        <v>509995.67000000004</v>
      </c>
      <c r="F12" s="1">
        <f>'ID-Sch91 Budget-Act Exp'!F68</f>
        <v>270920</v>
      </c>
      <c r="G12" s="1">
        <f>'ID-Sch91 Budget-Act Exp'!G68</f>
        <v>434829</v>
      </c>
      <c r="H12" s="1">
        <f>'ID-Sch91 Budget-Act Exp'!H68</f>
        <v>438518</v>
      </c>
      <c r="I12" s="1">
        <f>'ID-Sch91 Budget-Act Exp'!I68</f>
        <v>432352</v>
      </c>
      <c r="J12" s="1">
        <f>'ID-Sch91 Budget-Act Exp'!J68</f>
        <v>400368</v>
      </c>
      <c r="K12" s="1">
        <f>'ID-Sch91 Budget-Act Exp'!K68</f>
        <v>368586</v>
      </c>
      <c r="L12" s="1">
        <f>'ID-Sch91 Budget-Act Exp'!L68</f>
        <v>486870</v>
      </c>
      <c r="M12" s="1">
        <f>'ID-Sch91 Budget-Act Exp'!M68</f>
        <v>545114.87</v>
      </c>
      <c r="N12" s="1">
        <f>'ID-Sch91 Budget-Act Exp'!N68</f>
        <v>475700.15</v>
      </c>
      <c r="O12" s="75">
        <f t="shared" si="6"/>
        <v>5445014.8100000005</v>
      </c>
      <c r="P12" s="75">
        <f>SUM(C12:E12)</f>
        <v>1591756.79</v>
      </c>
      <c r="Q12" s="75">
        <f>SUM(F12:H12)</f>
        <v>1144267</v>
      </c>
      <c r="R12" s="75">
        <f>SUM(I12:K12)</f>
        <v>1201306</v>
      </c>
      <c r="S12" s="75">
        <f>SUM(L12:N12)</f>
        <v>1507685.02</v>
      </c>
      <c r="U12" s="68"/>
      <c r="V12" s="68"/>
      <c r="W12" s="68"/>
      <c r="X12" s="68"/>
      <c r="Y12" s="68"/>
      <c r="Z12" s="68"/>
      <c r="AA12" s="68"/>
      <c r="AB12" s="68"/>
      <c r="AC12" s="68"/>
      <c r="AD12" s="68"/>
      <c r="AE12" s="68"/>
      <c r="AF12" s="68"/>
    </row>
    <row r="13" spans="1:32">
      <c r="B13" t="s">
        <v>19</v>
      </c>
      <c r="C13" s="26">
        <f>C11-C12</f>
        <v>-346500.15999999992</v>
      </c>
      <c r="D13" s="26">
        <f t="shared" ref="D13:N13" si="9">D11-D12</f>
        <v>193868.54000000004</v>
      </c>
      <c r="E13" s="26">
        <f t="shared" si="9"/>
        <v>-45430.920000000042</v>
      </c>
      <c r="F13" s="26">
        <f t="shared" si="9"/>
        <v>193644.75</v>
      </c>
      <c r="G13" s="26">
        <f t="shared" si="9"/>
        <v>29735.75</v>
      </c>
      <c r="H13" s="26">
        <f t="shared" si="9"/>
        <v>26046.75</v>
      </c>
      <c r="I13" s="26">
        <f t="shared" si="9"/>
        <v>32212.75</v>
      </c>
      <c r="J13" s="26">
        <f t="shared" si="9"/>
        <v>64196.75</v>
      </c>
      <c r="K13" s="26">
        <f t="shared" si="9"/>
        <v>95978.75</v>
      </c>
      <c r="L13" s="26">
        <f t="shared" si="9"/>
        <v>-22305.25</v>
      </c>
      <c r="M13" s="26">
        <f t="shared" si="9"/>
        <v>-80550.12</v>
      </c>
      <c r="N13" s="26">
        <f t="shared" si="9"/>
        <v>-11135.400000000023</v>
      </c>
      <c r="O13" s="76">
        <f t="shared" si="6"/>
        <v>129762.19000000006</v>
      </c>
      <c r="P13" s="77">
        <f t="shared" ref="P13:S13" si="10">P11-P12</f>
        <v>-198062.54000000004</v>
      </c>
      <c r="Q13" s="77">
        <f t="shared" si="10"/>
        <v>249427.25</v>
      </c>
      <c r="R13" s="77">
        <f t="shared" si="10"/>
        <v>192388.25</v>
      </c>
      <c r="S13" s="77">
        <f t="shared" si="10"/>
        <v>-113990.77000000002</v>
      </c>
      <c r="U13" s="68"/>
      <c r="V13" s="68"/>
      <c r="W13" s="68"/>
      <c r="X13" s="68"/>
      <c r="Y13" s="68"/>
      <c r="Z13" s="68"/>
      <c r="AA13" s="68"/>
      <c r="AB13" s="68"/>
      <c r="AC13" s="68"/>
      <c r="AD13" s="68"/>
      <c r="AE13" s="68"/>
      <c r="AF13" s="68"/>
    </row>
    <row r="14" spans="1:32">
      <c r="C14" s="1"/>
      <c r="D14" s="1"/>
      <c r="E14" s="1"/>
      <c r="F14" s="1"/>
      <c r="G14" s="1"/>
      <c r="H14" s="1"/>
      <c r="I14" s="1"/>
      <c r="J14" s="1"/>
      <c r="K14" s="1"/>
      <c r="L14" s="1"/>
      <c r="M14" s="1"/>
      <c r="N14" s="1"/>
      <c r="O14" s="68"/>
      <c r="P14" s="68"/>
      <c r="Q14" s="68"/>
      <c r="R14" s="68"/>
      <c r="S14" s="68"/>
      <c r="U14" s="68"/>
      <c r="V14" s="68"/>
      <c r="W14" s="68"/>
      <c r="X14" s="68"/>
      <c r="Y14" s="68"/>
      <c r="Z14" s="68"/>
      <c r="AA14" s="68"/>
      <c r="AB14" s="68"/>
      <c r="AC14" s="68"/>
      <c r="AD14" s="68"/>
      <c r="AE14" s="68"/>
      <c r="AF14" s="68"/>
    </row>
    <row r="15" spans="1:32" ht="30">
      <c r="A15" t="s">
        <v>24</v>
      </c>
      <c r="B15" s="4" t="s">
        <v>23</v>
      </c>
      <c r="C15" s="1">
        <f>C8-C12</f>
        <v>-48246.704249651753</v>
      </c>
      <c r="D15" s="1">
        <f t="shared" ref="D15:S15" si="11">D8-D12</f>
        <v>408404.62829142041</v>
      </c>
      <c r="E15" s="1">
        <f t="shared" si="11"/>
        <v>109693.43675918365</v>
      </c>
      <c r="F15" s="1">
        <f t="shared" si="11"/>
        <v>352234.43330015859</v>
      </c>
      <c r="G15" s="1">
        <f t="shared" si="11"/>
        <v>166395.65031364083</v>
      </c>
      <c r="H15" s="1">
        <f t="shared" si="11"/>
        <v>118841.19723503478</v>
      </c>
      <c r="I15" s="1">
        <f t="shared" si="11"/>
        <v>135711.24449412059</v>
      </c>
      <c r="J15" s="1">
        <f t="shared" si="11"/>
        <v>210469.51958757697</v>
      </c>
      <c r="K15" s="1">
        <f t="shared" si="11"/>
        <v>220338.63731138955</v>
      </c>
      <c r="L15" s="1">
        <f t="shared" si="11"/>
        <v>52248.566512792371</v>
      </c>
      <c r="M15" s="1">
        <f t="shared" si="11"/>
        <v>-79691.609999999986</v>
      </c>
      <c r="N15" s="1">
        <f t="shared" si="11"/>
        <v>256325.82766273362</v>
      </c>
      <c r="O15" s="73">
        <f t="shared" si="11"/>
        <v>1902724.8272183994</v>
      </c>
      <c r="P15" s="73">
        <f t="shared" si="11"/>
        <v>469851.36080095218</v>
      </c>
      <c r="Q15" s="73">
        <f t="shared" si="11"/>
        <v>637471.2808488342</v>
      </c>
      <c r="R15" s="73">
        <f t="shared" si="11"/>
        <v>566519.40139308712</v>
      </c>
      <c r="S15" s="73">
        <f t="shared" si="11"/>
        <v>228882.78417552589</v>
      </c>
      <c r="U15" s="68"/>
      <c r="V15" s="68"/>
      <c r="W15" s="68"/>
      <c r="X15" s="68"/>
      <c r="Y15" s="68"/>
      <c r="Z15" s="68"/>
      <c r="AA15" s="68"/>
      <c r="AB15" s="68"/>
      <c r="AC15" s="68"/>
      <c r="AD15" s="68"/>
      <c r="AE15" s="68"/>
      <c r="AF15" s="68"/>
    </row>
    <row r="16" spans="1:32">
      <c r="C16" s="1"/>
      <c r="D16" s="1"/>
      <c r="E16" s="1"/>
      <c r="F16" s="1"/>
      <c r="G16" s="1"/>
      <c r="H16" s="1"/>
      <c r="I16" s="1"/>
      <c r="J16" s="1"/>
      <c r="K16" s="1"/>
      <c r="L16" s="1"/>
      <c r="M16" s="1"/>
      <c r="N16" s="1"/>
      <c r="O16" s="68"/>
      <c r="P16" s="68"/>
      <c r="Q16" s="68"/>
      <c r="R16" s="68"/>
      <c r="S16" s="68"/>
      <c r="U16" s="68"/>
      <c r="V16" s="68"/>
      <c r="W16" s="68"/>
      <c r="X16" s="68"/>
      <c r="Y16" s="68"/>
      <c r="Z16" s="68"/>
      <c r="AA16" s="68"/>
      <c r="AB16" s="68"/>
      <c r="AC16" s="68"/>
      <c r="AD16" s="68"/>
      <c r="AE16" s="68"/>
      <c r="AF16" s="68"/>
    </row>
    <row r="17" spans="2:32" ht="15.75" thickBot="1">
      <c r="B17" t="s">
        <v>25</v>
      </c>
      <c r="C17" s="110">
        <f>C5-C15</f>
        <v>2417282.7042496516</v>
      </c>
      <c r="D17" s="110">
        <f t="shared" ref="D17:N17" si="12">D5-D15</f>
        <v>2008878.0759582312</v>
      </c>
      <c r="E17" s="110">
        <f t="shared" si="12"/>
        <v>1899184.6391990476</v>
      </c>
      <c r="F17" s="110">
        <f t="shared" si="12"/>
        <v>1546950.2058988889</v>
      </c>
      <c r="G17" s="110">
        <f t="shared" si="12"/>
        <v>1380554.5555852479</v>
      </c>
      <c r="H17" s="110">
        <f t="shared" si="12"/>
        <v>1261713.3583502132</v>
      </c>
      <c r="I17" s="110">
        <f t="shared" si="12"/>
        <v>1126002.1138560926</v>
      </c>
      <c r="J17" s="110">
        <f t="shared" si="12"/>
        <v>915532.59426851559</v>
      </c>
      <c r="K17" s="110">
        <f t="shared" si="12"/>
        <v>695193.95695712604</v>
      </c>
      <c r="L17" s="110">
        <f t="shared" si="12"/>
        <v>642945.39044433367</v>
      </c>
      <c r="M17" s="110">
        <f t="shared" si="12"/>
        <v>722637.00044433365</v>
      </c>
      <c r="N17" s="110">
        <f t="shared" si="12"/>
        <v>466311.17278160003</v>
      </c>
      <c r="O17" s="75"/>
      <c r="P17" s="75">
        <f t="shared" ref="P17:S17" si="13">P5-P15</f>
        <v>1899184.6391990478</v>
      </c>
      <c r="Q17" s="75">
        <f t="shared" si="13"/>
        <v>1261713.3583502136</v>
      </c>
      <c r="R17" s="75">
        <f t="shared" si="13"/>
        <v>695193.9569571265</v>
      </c>
      <c r="S17" s="75">
        <f t="shared" si="13"/>
        <v>466311.17278160062</v>
      </c>
      <c r="U17" s="68"/>
      <c r="V17" s="68"/>
      <c r="W17" s="68"/>
      <c r="X17" s="68"/>
      <c r="Y17" s="68"/>
      <c r="Z17" s="68"/>
      <c r="AA17" s="68"/>
      <c r="AB17" s="68"/>
      <c r="AC17" s="68"/>
      <c r="AD17" s="68"/>
      <c r="AE17" s="68"/>
      <c r="AF17" s="68"/>
    </row>
    <row r="18" spans="2:32" ht="15.75" thickTop="1">
      <c r="O18" s="68"/>
      <c r="P18" s="68"/>
      <c r="Q18" s="68"/>
      <c r="R18" s="68"/>
      <c r="S18" s="68"/>
      <c r="U18" s="68"/>
      <c r="V18" s="68"/>
      <c r="W18" s="68"/>
      <c r="X18" s="68"/>
      <c r="Y18" s="68"/>
      <c r="Z18" s="68"/>
      <c r="AA18" s="68"/>
      <c r="AB18" s="68"/>
      <c r="AC18" s="68"/>
      <c r="AD18" s="68"/>
      <c r="AE18" s="68"/>
      <c r="AF18" s="68"/>
    </row>
    <row r="19" spans="2:32">
      <c r="B19" t="s">
        <v>30</v>
      </c>
      <c r="E19" s="3"/>
      <c r="F19" s="3"/>
      <c r="G19" s="3"/>
      <c r="H19" s="3"/>
      <c r="I19" s="3"/>
      <c r="J19" s="3"/>
      <c r="K19" s="3"/>
      <c r="L19" s="3"/>
      <c r="M19" s="3" t="s">
        <v>96</v>
      </c>
      <c r="N19" s="3" t="s">
        <v>96</v>
      </c>
      <c r="O19" s="68"/>
      <c r="P19" s="75"/>
      <c r="Q19" s="68"/>
      <c r="R19" s="68"/>
      <c r="S19" s="68"/>
      <c r="U19" s="75" t="e">
        <f>U5-U7+U11</f>
        <v>#VALUE!</v>
      </c>
      <c r="V19" s="75" t="e">
        <f t="shared" ref="V19:AF19" si="14">V5-V7+V11</f>
        <v>#VALUE!</v>
      </c>
      <c r="W19" s="75" t="e">
        <f t="shared" si="14"/>
        <v>#VALUE!</v>
      </c>
      <c r="X19" s="75" t="e">
        <f t="shared" si="14"/>
        <v>#VALUE!</v>
      </c>
      <c r="Y19" s="75" t="e">
        <f t="shared" si="14"/>
        <v>#VALUE!</v>
      </c>
      <c r="Z19" s="75" t="e">
        <f t="shared" si="14"/>
        <v>#VALUE!</v>
      </c>
      <c r="AA19" s="75" t="e">
        <f t="shared" si="14"/>
        <v>#VALUE!</v>
      </c>
      <c r="AB19" s="75" t="e">
        <f t="shared" si="14"/>
        <v>#VALUE!</v>
      </c>
      <c r="AC19" s="75" t="e">
        <f t="shared" si="14"/>
        <v>#VALUE!</v>
      </c>
      <c r="AD19" s="75" t="e">
        <f t="shared" si="14"/>
        <v>#VALUE!</v>
      </c>
      <c r="AE19" s="75" t="e">
        <f t="shared" si="14"/>
        <v>#VALUE!</v>
      </c>
      <c r="AF19" s="75" t="e">
        <f t="shared" si="14"/>
        <v>#VALUE!</v>
      </c>
    </row>
    <row r="21" spans="2:32">
      <c r="B21" s="84" t="s">
        <v>26</v>
      </c>
    </row>
    <row r="22" spans="2:32">
      <c r="B22" s="148" t="s">
        <v>111</v>
      </c>
      <c r="C22" s="148"/>
      <c r="D22" s="148"/>
      <c r="E22" s="148"/>
      <c r="F22" s="148"/>
      <c r="G22" s="148"/>
      <c r="H22" s="148"/>
      <c r="I22" s="148"/>
      <c r="J22" s="148"/>
      <c r="K22" s="148"/>
      <c r="L22" s="148"/>
      <c r="M22" s="148"/>
      <c r="N22" s="148"/>
      <c r="O22" s="148"/>
    </row>
    <row r="23" spans="2:32" ht="30.75" customHeight="1">
      <c r="B23" s="144" t="s">
        <v>112</v>
      </c>
      <c r="C23" s="144"/>
      <c r="D23" s="144"/>
      <c r="E23" s="144"/>
      <c r="F23" s="144"/>
      <c r="G23" s="144"/>
      <c r="H23" s="144"/>
      <c r="I23" s="144"/>
      <c r="J23" s="144"/>
      <c r="K23" s="144"/>
      <c r="L23" s="144"/>
      <c r="M23" s="144"/>
      <c r="N23" s="144"/>
      <c r="O23" s="144"/>
    </row>
    <row r="24" spans="2:32" ht="18" customHeight="1">
      <c r="B24" s="130" t="s">
        <v>161</v>
      </c>
      <c r="C24" s="130"/>
      <c r="D24" s="130"/>
      <c r="E24" s="130"/>
      <c r="F24" s="130"/>
      <c r="G24" s="130"/>
      <c r="H24" s="130"/>
      <c r="I24" s="130"/>
      <c r="J24" s="130"/>
      <c r="K24" s="130"/>
      <c r="L24" s="130"/>
      <c r="M24" s="130"/>
      <c r="N24" s="130"/>
      <c r="O24" s="132"/>
    </row>
    <row r="25" spans="2:32">
      <c r="B25" s="130" t="s">
        <v>174</v>
      </c>
      <c r="C25" s="130"/>
      <c r="D25" s="130"/>
      <c r="E25" s="130"/>
      <c r="F25" s="130"/>
      <c r="G25" s="130"/>
      <c r="H25" s="130"/>
      <c r="I25" s="130"/>
      <c r="J25" s="130"/>
      <c r="K25" s="130"/>
      <c r="L25" s="130"/>
      <c r="M25" s="130"/>
      <c r="N25" s="130"/>
    </row>
    <row r="26" spans="2:32">
      <c r="B26" s="134" t="s">
        <v>194</v>
      </c>
      <c r="C26" s="133"/>
      <c r="D26" s="133"/>
      <c r="E26" s="133"/>
      <c r="F26" s="133"/>
      <c r="G26" s="133"/>
      <c r="H26" s="133"/>
      <c r="I26" s="133"/>
      <c r="J26" s="133"/>
      <c r="K26" s="133"/>
      <c r="L26" s="133"/>
      <c r="M26" s="133"/>
      <c r="N26" s="133"/>
    </row>
    <row r="27" spans="2:32">
      <c r="B27" s="134" t="s">
        <v>193</v>
      </c>
      <c r="C27" s="134"/>
      <c r="D27" s="134"/>
      <c r="E27" s="134"/>
      <c r="F27" s="134"/>
      <c r="G27" s="134"/>
      <c r="H27" s="134"/>
      <c r="I27" s="134"/>
      <c r="J27" s="134"/>
      <c r="K27" s="134"/>
      <c r="L27" s="134"/>
      <c r="M27" s="134"/>
      <c r="N27" s="134"/>
    </row>
    <row r="28" spans="2:32">
      <c r="B28" s="138" t="s">
        <v>210</v>
      </c>
      <c r="C28" s="138"/>
      <c r="D28" s="138"/>
      <c r="E28" s="138"/>
      <c r="F28" s="138"/>
      <c r="G28" s="138"/>
      <c r="H28" s="138"/>
      <c r="I28" s="138"/>
      <c r="J28" s="138"/>
      <c r="K28" s="138"/>
      <c r="L28" s="138"/>
      <c r="M28" s="138"/>
      <c r="N28" s="138"/>
    </row>
    <row r="29" spans="2:32">
      <c r="B29" s="148" t="s">
        <v>221</v>
      </c>
      <c r="C29" s="148"/>
      <c r="D29" s="148"/>
      <c r="E29" s="148"/>
      <c r="F29" s="148"/>
      <c r="G29" s="148"/>
      <c r="H29" s="148"/>
      <c r="I29" s="148"/>
      <c r="J29" s="148"/>
      <c r="K29" s="148"/>
      <c r="L29" s="148"/>
      <c r="M29" s="148"/>
      <c r="N29" s="148"/>
      <c r="O29" s="148"/>
    </row>
    <row r="30" spans="2:32">
      <c r="B30" s="148" t="s">
        <v>239</v>
      </c>
      <c r="C30" s="148"/>
      <c r="D30" s="148"/>
      <c r="E30" s="148"/>
      <c r="F30" s="148"/>
      <c r="G30" s="148"/>
      <c r="H30" s="148"/>
      <c r="I30" s="148"/>
      <c r="J30" s="148"/>
      <c r="K30" s="148"/>
      <c r="L30" s="148"/>
      <c r="M30" s="148"/>
      <c r="N30" s="148"/>
      <c r="O30" s="148"/>
    </row>
    <row r="31" spans="2:32">
      <c r="B31" s="148" t="s">
        <v>254</v>
      </c>
      <c r="C31" s="148"/>
      <c r="D31" s="148"/>
      <c r="E31" s="148"/>
      <c r="F31" s="148"/>
      <c r="G31" s="148"/>
      <c r="H31" s="148"/>
      <c r="I31" s="148"/>
      <c r="J31" s="148"/>
      <c r="K31" s="148"/>
      <c r="L31" s="148"/>
      <c r="M31" s="148"/>
      <c r="N31" s="148"/>
      <c r="O31" s="148"/>
    </row>
    <row r="32" spans="2:32">
      <c r="B32" s="148" t="s">
        <v>268</v>
      </c>
      <c r="C32" s="148"/>
      <c r="D32" s="148"/>
      <c r="E32" s="148"/>
      <c r="F32" s="148"/>
      <c r="G32" s="148"/>
      <c r="H32" s="148"/>
      <c r="I32" s="148"/>
      <c r="J32" s="148"/>
      <c r="K32" s="148"/>
      <c r="L32" s="148"/>
      <c r="M32" s="148"/>
      <c r="N32" s="148"/>
      <c r="O32" s="148"/>
    </row>
  </sheetData>
  <mergeCells count="6">
    <mergeCell ref="B32:O32"/>
    <mergeCell ref="B22:O22"/>
    <mergeCell ref="B23:O23"/>
    <mergeCell ref="B29:O29"/>
    <mergeCell ref="B30:O30"/>
    <mergeCell ref="B31:O31"/>
  </mergeCells>
  <pageMargins left="0" right="0" top="0.75" bottom="0.75" header="0.3" footer="0.3"/>
  <pageSetup scale="75" orientation="landscape" r:id="rId1"/>
</worksheet>
</file>

<file path=xl/worksheets/sheet12.xml><?xml version="1.0" encoding="utf-8"?>
<worksheet xmlns="http://schemas.openxmlformats.org/spreadsheetml/2006/main" xmlns:r="http://schemas.openxmlformats.org/officeDocument/2006/relationships">
  <sheetPr>
    <tabColor theme="4" tint="0.39997558519241921"/>
  </sheetPr>
  <dimension ref="A2:BD274"/>
  <sheetViews>
    <sheetView zoomScaleNormal="100" workbookViewId="0">
      <pane xSplit="1" ySplit="4" topLeftCell="B67" activePane="bottomRight" state="frozen"/>
      <selection activeCell="B105" sqref="B105:O105"/>
      <selection pane="topRight" activeCell="B105" sqref="B105:O105"/>
      <selection pane="bottomLeft" activeCell="B105" sqref="B105:O105"/>
      <selection pane="bottomRight" activeCell="A73" sqref="A73"/>
    </sheetView>
  </sheetViews>
  <sheetFormatPr defaultRowHeight="15"/>
  <cols>
    <col min="1" max="1" width="34.85546875" customWidth="1"/>
    <col min="2" max="13" width="12.5703125" bestFit="1" customWidth="1"/>
    <col min="14" max="14" width="14.28515625" style="68" bestFit="1" customWidth="1"/>
    <col min="15" max="27" width="11.7109375" style="7" hidden="1" customWidth="1"/>
    <col min="28" max="28" width="1.28515625" style="7" customWidth="1"/>
    <col min="29" max="55" width="11.7109375" style="7" customWidth="1"/>
  </cols>
  <sheetData>
    <row r="2" spans="1:55">
      <c r="A2" s="63" t="s">
        <v>27</v>
      </c>
    </row>
    <row r="3" spans="1:55">
      <c r="B3" s="8">
        <v>2010</v>
      </c>
      <c r="C3" s="8">
        <v>2010</v>
      </c>
      <c r="D3" s="8">
        <v>2010</v>
      </c>
      <c r="E3" s="8">
        <v>2010</v>
      </c>
      <c r="F3" s="8">
        <v>2010</v>
      </c>
      <c r="G3" s="8">
        <v>2010</v>
      </c>
      <c r="H3" s="8">
        <v>2010</v>
      </c>
      <c r="I3" s="8">
        <v>2010</v>
      </c>
      <c r="J3" s="8">
        <v>2010</v>
      </c>
      <c r="K3" s="8">
        <v>2010</v>
      </c>
      <c r="L3" s="8">
        <v>2010</v>
      </c>
      <c r="M3" s="8">
        <v>2010</v>
      </c>
      <c r="N3" s="8" t="s">
        <v>34</v>
      </c>
      <c r="O3" s="5">
        <v>2011</v>
      </c>
      <c r="P3" s="5">
        <v>2011</v>
      </c>
      <c r="Q3" s="5">
        <v>2011</v>
      </c>
      <c r="R3" s="5">
        <v>2011</v>
      </c>
      <c r="S3" s="5">
        <v>2011</v>
      </c>
      <c r="T3" s="5">
        <v>2011</v>
      </c>
      <c r="U3" s="5">
        <v>2011</v>
      </c>
      <c r="V3" s="5">
        <v>2011</v>
      </c>
      <c r="W3" s="5">
        <v>2011</v>
      </c>
      <c r="X3" s="5">
        <v>2011</v>
      </c>
      <c r="Y3" s="5">
        <v>2011</v>
      </c>
      <c r="Z3" s="5">
        <v>2011</v>
      </c>
      <c r="AA3" s="8" t="s">
        <v>35</v>
      </c>
    </row>
    <row r="4" spans="1:55">
      <c r="B4" s="32" t="s">
        <v>0</v>
      </c>
      <c r="C4" s="32" t="s">
        <v>1</v>
      </c>
      <c r="D4" s="32" t="s">
        <v>2</v>
      </c>
      <c r="E4" s="32" t="s">
        <v>3</v>
      </c>
      <c r="F4" s="32" t="s">
        <v>4</v>
      </c>
      <c r="G4" s="32" t="s">
        <v>5</v>
      </c>
      <c r="H4" s="32" t="s">
        <v>6</v>
      </c>
      <c r="I4" s="32" t="s">
        <v>7</v>
      </c>
      <c r="J4" s="32" t="s">
        <v>8</v>
      </c>
      <c r="K4" s="32" t="s">
        <v>9</v>
      </c>
      <c r="L4" s="32" t="s">
        <v>10</v>
      </c>
      <c r="M4" s="32" t="s">
        <v>11</v>
      </c>
      <c r="N4" s="70"/>
      <c r="O4" s="5" t="s">
        <v>0</v>
      </c>
      <c r="P4" s="5" t="s">
        <v>1</v>
      </c>
      <c r="Q4" s="5" t="s">
        <v>2</v>
      </c>
      <c r="R4" s="5" t="s">
        <v>3</v>
      </c>
      <c r="S4" s="5" t="s">
        <v>4</v>
      </c>
      <c r="T4" s="5" t="s">
        <v>5</v>
      </c>
      <c r="U4" s="5" t="s">
        <v>6</v>
      </c>
      <c r="V4" s="5" t="s">
        <v>7</v>
      </c>
      <c r="W4" s="5" t="s">
        <v>8</v>
      </c>
      <c r="X4" s="5" t="s">
        <v>9</v>
      </c>
      <c r="Y4" s="5" t="s">
        <v>10</v>
      </c>
      <c r="Z4" s="5" t="s">
        <v>11</v>
      </c>
      <c r="AA4" s="5"/>
    </row>
    <row r="5" spans="1:55">
      <c r="D5" s="3"/>
      <c r="E5" s="3"/>
      <c r="F5" s="3"/>
      <c r="G5" s="3"/>
      <c r="H5" s="3"/>
      <c r="I5" s="3"/>
      <c r="J5" s="3"/>
      <c r="K5" s="3"/>
      <c r="L5" s="3"/>
      <c r="M5" s="3"/>
    </row>
    <row r="6" spans="1:55">
      <c r="D6" s="3"/>
      <c r="E6" s="3"/>
      <c r="F6" s="3"/>
      <c r="G6" s="3"/>
      <c r="H6" s="3"/>
      <c r="I6" s="3"/>
      <c r="J6" s="3"/>
      <c r="K6" s="3"/>
      <c r="L6" s="3"/>
      <c r="M6" s="3"/>
    </row>
    <row r="7" spans="1:55">
      <c r="A7" s="89" t="s">
        <v>31</v>
      </c>
      <c r="D7" s="3"/>
      <c r="E7" s="3"/>
      <c r="F7" s="3"/>
      <c r="G7" s="3"/>
      <c r="H7" s="3"/>
      <c r="I7" s="3"/>
      <c r="J7" s="3"/>
      <c r="K7" s="3"/>
      <c r="L7" s="3"/>
      <c r="M7" s="3"/>
    </row>
    <row r="8" spans="1:55">
      <c r="A8" s="5" t="s">
        <v>55</v>
      </c>
      <c r="B8" s="38">
        <v>134865720.10603535</v>
      </c>
      <c r="C8" s="38">
        <v>114389213.001035</v>
      </c>
      <c r="D8" s="38">
        <v>106989688.45560229</v>
      </c>
      <c r="E8" s="38">
        <v>86080718.963351101</v>
      </c>
      <c r="F8" s="38">
        <v>79221129.134225637</v>
      </c>
      <c r="G8" s="38">
        <v>77096100.288154632</v>
      </c>
      <c r="H8" s="38">
        <v>81876727.376474544</v>
      </c>
      <c r="I8" s="38">
        <v>81642389.761553317</v>
      </c>
      <c r="J8" s="38">
        <v>78632890.125782564</v>
      </c>
      <c r="K8" s="38">
        <v>93603039.204677999</v>
      </c>
      <c r="L8" s="38">
        <v>115734047.07433486</v>
      </c>
      <c r="M8" s="38">
        <v>131035210.17271662</v>
      </c>
      <c r="N8" s="75">
        <f t="shared" ref="N8:N274" si="0">SUM(B8:M8)</f>
        <v>1181166873.6639438</v>
      </c>
    </row>
    <row r="9" spans="1:55">
      <c r="A9" s="5" t="s">
        <v>56</v>
      </c>
      <c r="B9" s="37">
        <v>33271454.761605285</v>
      </c>
      <c r="C9" s="37">
        <v>29468506.809608281</v>
      </c>
      <c r="D9" s="37">
        <v>28853945.399784055</v>
      </c>
      <c r="E9" s="37">
        <v>24091840.796363447</v>
      </c>
      <c r="F9" s="37">
        <v>23699439.016890462</v>
      </c>
      <c r="G9" s="37">
        <v>24347321.405727752</v>
      </c>
      <c r="H9" s="37">
        <v>26529629.407782093</v>
      </c>
      <c r="I9" s="37">
        <v>26710922.357670449</v>
      </c>
      <c r="J9" s="37">
        <v>24778641.911232021</v>
      </c>
      <c r="K9" s="37">
        <v>25536353.322089668</v>
      </c>
      <c r="L9" s="37">
        <v>26382755.239106618</v>
      </c>
      <c r="M9" s="37">
        <v>30479411.490709413</v>
      </c>
      <c r="N9" s="75">
        <f t="shared" si="0"/>
        <v>324150221.91856951</v>
      </c>
      <c r="BA9"/>
      <c r="BB9"/>
      <c r="BC9"/>
    </row>
    <row r="10" spans="1:55">
      <c r="A10" s="5" t="s">
        <v>57</v>
      </c>
      <c r="B10" s="37">
        <v>64922924.881834321</v>
      </c>
      <c r="C10" s="37">
        <v>60030919.300747946</v>
      </c>
      <c r="D10" s="37">
        <v>59686120.176578909</v>
      </c>
      <c r="E10" s="37">
        <v>53043079.653146133</v>
      </c>
      <c r="F10" s="37">
        <v>54958551.648427799</v>
      </c>
      <c r="G10" s="37">
        <v>56007082.020005465</v>
      </c>
      <c r="H10" s="37">
        <v>59537958.606291629</v>
      </c>
      <c r="I10" s="37">
        <v>61688214.575964011</v>
      </c>
      <c r="J10" s="37">
        <v>58673348.133209072</v>
      </c>
      <c r="K10" s="37">
        <v>58705347.447984375</v>
      </c>
      <c r="L10" s="37">
        <v>57447781.929879241</v>
      </c>
      <c r="M10" s="37">
        <v>61138026.934454687</v>
      </c>
      <c r="N10" s="75">
        <f t="shared" si="0"/>
        <v>705839355.30852354</v>
      </c>
    </row>
    <row r="11" spans="1:55">
      <c r="A11" s="5" t="s">
        <v>58</v>
      </c>
      <c r="B11" s="35">
        <v>21679522.225000001</v>
      </c>
      <c r="C11" s="35">
        <v>21387943.325000003</v>
      </c>
      <c r="D11" s="35">
        <v>23313711.520000003</v>
      </c>
      <c r="E11" s="35">
        <v>22906181.384999998</v>
      </c>
      <c r="F11" s="35">
        <v>23296431.379999999</v>
      </c>
      <c r="G11" s="35">
        <v>23333559.888675001</v>
      </c>
      <c r="H11" s="35">
        <v>23750645.946024999</v>
      </c>
      <c r="I11" s="35">
        <v>23390351.190350004</v>
      </c>
      <c r="J11" s="35">
        <v>23184361.594449997</v>
      </c>
      <c r="K11" s="35">
        <v>22930041.807500001</v>
      </c>
      <c r="L11" s="35">
        <v>23278019.908649996</v>
      </c>
      <c r="M11" s="35">
        <v>24877477.503474995</v>
      </c>
      <c r="N11" s="75">
        <f t="shared" si="0"/>
        <v>277328247.67412502</v>
      </c>
    </row>
    <row r="12" spans="1:55">
      <c r="A12" s="5" t="s">
        <v>94</v>
      </c>
      <c r="B12" s="35">
        <v>76640455.799999997</v>
      </c>
      <c r="C12" s="35">
        <v>69019928.949999988</v>
      </c>
      <c r="D12" s="35">
        <v>75869381.25</v>
      </c>
      <c r="E12" s="35">
        <v>73625365</v>
      </c>
      <c r="F12" s="35">
        <v>76426613.75</v>
      </c>
      <c r="G12" s="35">
        <v>74782401.749999985</v>
      </c>
      <c r="H12" s="35">
        <v>76576702.962499991</v>
      </c>
      <c r="I12" s="35">
        <v>75185194.5</v>
      </c>
      <c r="J12" s="35">
        <v>65699393.152499996</v>
      </c>
      <c r="K12" s="35">
        <v>76364131.200000003</v>
      </c>
      <c r="L12" s="35">
        <v>73519629.99000001</v>
      </c>
      <c r="M12" s="35">
        <v>75574846.5</v>
      </c>
      <c r="N12" s="75">
        <f t="shared" si="0"/>
        <v>889284044.80500007</v>
      </c>
    </row>
    <row r="13" spans="1:55">
      <c r="A13" s="5" t="s">
        <v>59</v>
      </c>
      <c r="B13" s="37">
        <v>3867500.6641068645</v>
      </c>
      <c r="C13" s="37">
        <v>3412676.9470494883</v>
      </c>
      <c r="D13" s="37">
        <v>3612818.0394120589</v>
      </c>
      <c r="E13" s="37">
        <v>3584327.8668571347</v>
      </c>
      <c r="F13" s="37">
        <v>4992659.5173053853</v>
      </c>
      <c r="G13" s="37">
        <v>7187086.274717194</v>
      </c>
      <c r="H13" s="37">
        <v>9576061.8293891363</v>
      </c>
      <c r="I13" s="37">
        <v>9448025.0826208852</v>
      </c>
      <c r="J13" s="37">
        <v>6910004.7808561977</v>
      </c>
      <c r="K13" s="37">
        <v>4768387.5476670731</v>
      </c>
      <c r="L13" s="37">
        <v>3420373.1130588907</v>
      </c>
      <c r="M13" s="37">
        <v>3690953.8251747536</v>
      </c>
      <c r="N13" s="75">
        <f t="shared" si="0"/>
        <v>64470875.488215066</v>
      </c>
    </row>
    <row r="14" spans="1:55">
      <c r="A14" s="5" t="s">
        <v>53</v>
      </c>
      <c r="B14" s="38">
        <v>1178640.122</v>
      </c>
      <c r="C14" s="38">
        <v>1176782.122</v>
      </c>
      <c r="D14" s="38">
        <v>1174791.122</v>
      </c>
      <c r="E14" s="38">
        <v>1174990.122</v>
      </c>
      <c r="F14" s="38">
        <v>1172514.122</v>
      </c>
      <c r="G14" s="38">
        <v>1172021.122</v>
      </c>
      <c r="H14" s="38">
        <v>1184357.122</v>
      </c>
      <c r="I14" s="38">
        <v>1180490.122</v>
      </c>
      <c r="J14" s="38">
        <v>1180551.122</v>
      </c>
      <c r="K14" s="38">
        <v>1180369.122</v>
      </c>
      <c r="L14" s="38">
        <v>1179615.122</v>
      </c>
      <c r="M14" s="38">
        <v>1180368.122</v>
      </c>
      <c r="N14" s="75">
        <f t="shared" si="0"/>
        <v>14135489.463999996</v>
      </c>
    </row>
    <row r="15" spans="1:55">
      <c r="A15" s="27" t="s">
        <v>54</v>
      </c>
      <c r="B15" s="26">
        <f>SUM(B8:B14)</f>
        <v>336426218.5605818</v>
      </c>
      <c r="C15" s="26">
        <f t="shared" ref="C15:M15" si="1">SUM(C8:C14)</f>
        <v>298885970.4554407</v>
      </c>
      <c r="D15" s="26">
        <f t="shared" si="1"/>
        <v>299500455.9633773</v>
      </c>
      <c r="E15" s="26">
        <f t="shared" si="1"/>
        <v>264506503.78671783</v>
      </c>
      <c r="F15" s="26">
        <f t="shared" si="1"/>
        <v>263767338.5688493</v>
      </c>
      <c r="G15" s="26">
        <f t="shared" si="1"/>
        <v>263925572.74928004</v>
      </c>
      <c r="H15" s="26">
        <f t="shared" si="1"/>
        <v>279032083.25046235</v>
      </c>
      <c r="I15" s="26">
        <f t="shared" si="1"/>
        <v>279245587.59015858</v>
      </c>
      <c r="J15" s="26">
        <f t="shared" si="1"/>
        <v>259059190.82002985</v>
      </c>
      <c r="K15" s="26">
        <f t="shared" si="1"/>
        <v>283087669.65191913</v>
      </c>
      <c r="L15" s="26">
        <f t="shared" si="1"/>
        <v>300962222.3770296</v>
      </c>
      <c r="M15" s="26">
        <f t="shared" si="1"/>
        <v>327976294.54853046</v>
      </c>
      <c r="N15" s="76">
        <f>SUM(N8:N14)</f>
        <v>3456375108.3223772</v>
      </c>
      <c r="O15" s="28"/>
      <c r="P15" s="28"/>
      <c r="Q15" s="28"/>
      <c r="R15" s="28"/>
      <c r="S15" s="28"/>
      <c r="T15" s="28"/>
      <c r="U15" s="28"/>
      <c r="V15" s="28"/>
      <c r="W15" s="28"/>
      <c r="X15" s="28"/>
      <c r="Y15" s="28"/>
      <c r="Z15" s="28"/>
      <c r="AA15" s="28"/>
      <c r="AE15" s="96"/>
      <c r="AF15" s="96"/>
      <c r="AG15" s="96"/>
      <c r="AH15" s="96"/>
      <c r="AI15" s="96"/>
      <c r="AJ15" s="96"/>
      <c r="AK15" s="96"/>
      <c r="AL15" s="96"/>
      <c r="AM15" s="96"/>
      <c r="AN15" s="96"/>
      <c r="AO15" s="96"/>
      <c r="AP15" s="96"/>
    </row>
    <row r="16" spans="1:55">
      <c r="A16" s="5"/>
      <c r="D16" s="3"/>
      <c r="E16" s="3"/>
      <c r="F16" s="3"/>
      <c r="G16" s="3"/>
      <c r="H16" s="3"/>
      <c r="I16" s="3"/>
      <c r="J16" s="3"/>
      <c r="K16" s="3"/>
      <c r="L16" s="3"/>
      <c r="M16" s="3"/>
      <c r="N16" s="75"/>
      <c r="AE16" s="96"/>
      <c r="AF16" s="96"/>
      <c r="AG16" s="96"/>
      <c r="AH16" s="96"/>
      <c r="AI16" s="96"/>
      <c r="AJ16" s="96"/>
      <c r="AK16" s="96"/>
      <c r="AL16" s="96"/>
      <c r="AM16" s="96"/>
      <c r="AN16" s="96"/>
      <c r="AO16" s="96"/>
      <c r="AP16" s="96"/>
    </row>
    <row r="17" spans="1:42">
      <c r="D17" s="3"/>
      <c r="E17" s="3"/>
      <c r="F17" s="3"/>
      <c r="G17" s="3"/>
      <c r="H17" s="3"/>
      <c r="I17" s="3"/>
      <c r="J17" s="3"/>
      <c r="K17" s="3"/>
      <c r="L17" s="3"/>
      <c r="M17" s="3"/>
      <c r="N17" s="75"/>
      <c r="AE17" s="37"/>
      <c r="AF17" s="37"/>
      <c r="AG17" s="37"/>
      <c r="AH17" s="37"/>
      <c r="AI17" s="37"/>
      <c r="AJ17" s="37"/>
      <c r="AK17" s="37"/>
      <c r="AL17" s="37"/>
      <c r="AM17" s="37"/>
      <c r="AN17" s="37"/>
      <c r="AO17" s="37"/>
      <c r="AP17" s="37"/>
    </row>
    <row r="18" spans="1:42">
      <c r="A18" s="87" t="s">
        <v>32</v>
      </c>
      <c r="D18" s="3"/>
      <c r="E18" s="3"/>
      <c r="F18" s="3"/>
      <c r="G18" s="3"/>
      <c r="H18" s="3"/>
      <c r="I18" s="3"/>
      <c r="J18" s="3"/>
      <c r="K18" s="3"/>
      <c r="L18" s="3"/>
      <c r="M18" s="3"/>
      <c r="N18" s="75"/>
    </row>
    <row r="19" spans="1:42">
      <c r="A19" s="33" t="s">
        <v>55</v>
      </c>
      <c r="B19" s="39">
        <v>135971161</v>
      </c>
      <c r="C19" s="39">
        <v>115780364</v>
      </c>
      <c r="D19" s="39">
        <v>105956517</v>
      </c>
      <c r="E19" s="39">
        <v>99489324</v>
      </c>
      <c r="F19" s="39">
        <v>88826192</v>
      </c>
      <c r="G19" s="39">
        <v>76315346</v>
      </c>
      <c r="H19" s="39">
        <v>75094798</v>
      </c>
      <c r="I19" s="39">
        <v>81685317</v>
      </c>
      <c r="J19" s="39">
        <v>76495344</v>
      </c>
      <c r="K19" s="39">
        <v>71538053</v>
      </c>
      <c r="L19" s="39">
        <v>87845150</v>
      </c>
      <c r="M19" s="39">
        <v>132659192</v>
      </c>
      <c r="N19" s="75">
        <f t="shared" si="0"/>
        <v>1147656758</v>
      </c>
    </row>
    <row r="20" spans="1:42">
      <c r="A20" s="33" t="s">
        <v>56</v>
      </c>
      <c r="B20" s="39">
        <v>31617683</v>
      </c>
      <c r="C20" s="39">
        <v>28846682</v>
      </c>
      <c r="D20" s="39">
        <v>27044136</v>
      </c>
      <c r="E20" s="39">
        <f>24022780+1810575</f>
        <v>25833355</v>
      </c>
      <c r="F20" s="39">
        <v>24473563</v>
      </c>
      <c r="G20" s="39">
        <v>22858697</v>
      </c>
      <c r="H20" s="39">
        <v>23419944</v>
      </c>
      <c r="I20" s="39">
        <v>26276061</v>
      </c>
      <c r="J20" s="39">
        <v>25516626</v>
      </c>
      <c r="K20" s="39">
        <v>22613629</v>
      </c>
      <c r="L20" s="39">
        <f>22115890+1493979</f>
        <v>23609869</v>
      </c>
      <c r="M20" s="39">
        <f>28896616+2401961</f>
        <v>31298577</v>
      </c>
      <c r="N20" s="75">
        <f t="shared" si="0"/>
        <v>313408822</v>
      </c>
    </row>
    <row r="21" spans="1:42">
      <c r="A21" s="33" t="s">
        <v>57</v>
      </c>
      <c r="B21" s="41">
        <v>65135816</v>
      </c>
      <c r="C21" s="41">
        <v>59021590</v>
      </c>
      <c r="D21" s="41">
        <v>55814448</v>
      </c>
      <c r="E21" s="41">
        <f>54520066+1374280</f>
        <v>55894346</v>
      </c>
      <c r="F21" s="41">
        <v>56485557</v>
      </c>
      <c r="G21" s="41">
        <v>54576227</v>
      </c>
      <c r="H21" s="41">
        <v>55841322</v>
      </c>
      <c r="I21" s="41">
        <v>60510891</v>
      </c>
      <c r="J21" s="41">
        <v>60261969</v>
      </c>
      <c r="K21" s="41">
        <v>57255868</v>
      </c>
      <c r="L21" s="41">
        <f>54441122+889040</f>
        <v>55330162</v>
      </c>
      <c r="M21" s="41">
        <f>63747125+1272640</f>
        <v>65019765</v>
      </c>
      <c r="N21" s="75">
        <f t="shared" si="0"/>
        <v>701147961</v>
      </c>
    </row>
    <row r="22" spans="1:42">
      <c r="A22" s="33" t="s">
        <v>58</v>
      </c>
      <c r="B22" s="41">
        <v>23652721</v>
      </c>
      <c r="C22" s="41">
        <v>23412466</v>
      </c>
      <c r="D22" s="41">
        <v>21746038</v>
      </c>
      <c r="E22" s="41">
        <v>23812869</v>
      </c>
      <c r="F22" s="41">
        <v>22655951</v>
      </c>
      <c r="G22" s="41">
        <v>21990636</v>
      </c>
      <c r="H22" s="41">
        <v>23979527</v>
      </c>
      <c r="I22" s="41">
        <v>22902029</v>
      </c>
      <c r="J22" s="41">
        <v>23679734</v>
      </c>
      <c r="K22" s="41">
        <v>22314514</v>
      </c>
      <c r="L22" s="41">
        <f>23134926</f>
        <v>23134926</v>
      </c>
      <c r="M22" s="41">
        <v>22850646</v>
      </c>
      <c r="N22" s="75">
        <f t="shared" si="0"/>
        <v>276132057</v>
      </c>
    </row>
    <row r="23" spans="1:42">
      <c r="A23" s="33" t="s">
        <v>94</v>
      </c>
      <c r="B23" s="41">
        <v>76575300</v>
      </c>
      <c r="C23" s="41">
        <v>70283230</v>
      </c>
      <c r="D23" s="41">
        <v>57759730</v>
      </c>
      <c r="E23" s="41">
        <v>71117050</v>
      </c>
      <c r="F23" s="41">
        <v>76955210</v>
      </c>
      <c r="G23" s="41">
        <v>75268340</v>
      </c>
      <c r="H23" s="41">
        <v>77360440</v>
      </c>
      <c r="I23" s="41">
        <v>78313370</v>
      </c>
      <c r="J23" s="41">
        <v>74186560</v>
      </c>
      <c r="K23" s="41">
        <v>77908790</v>
      </c>
      <c r="L23" s="41">
        <v>0</v>
      </c>
      <c r="M23" s="41">
        <v>78341110</v>
      </c>
      <c r="N23" s="75">
        <f t="shared" si="0"/>
        <v>814069130</v>
      </c>
    </row>
    <row r="24" spans="1:42">
      <c r="A24" s="33" t="s">
        <v>59</v>
      </c>
      <c r="B24" s="41">
        <v>3428592</v>
      </c>
      <c r="C24" s="41">
        <v>3114008</v>
      </c>
      <c r="D24" s="41">
        <v>2968837</v>
      </c>
      <c r="E24" s="41">
        <f>2989654+265113</f>
        <v>3254767</v>
      </c>
      <c r="F24" s="38">
        <v>3702680</v>
      </c>
      <c r="G24" s="41">
        <v>4343070</v>
      </c>
      <c r="H24" s="41">
        <v>5547545</v>
      </c>
      <c r="I24" s="41">
        <v>8363956</v>
      </c>
      <c r="J24" s="41">
        <v>7951937</v>
      </c>
      <c r="K24" s="41">
        <v>4832307</v>
      </c>
      <c r="L24" s="41">
        <f>2817104+275384</f>
        <v>3092488</v>
      </c>
      <c r="M24" s="41">
        <f>3136283+326085</f>
        <v>3462368</v>
      </c>
      <c r="N24" s="75">
        <f t="shared" si="0"/>
        <v>54062555</v>
      </c>
    </row>
    <row r="25" spans="1:42">
      <c r="A25" s="33" t="s">
        <v>75</v>
      </c>
      <c r="B25" s="41">
        <v>1110711</v>
      </c>
      <c r="C25" s="41">
        <v>1139131</v>
      </c>
      <c r="D25" s="41">
        <v>1137668</v>
      </c>
      <c r="E25" s="41">
        <v>265113</v>
      </c>
      <c r="F25" s="41">
        <v>1194167</v>
      </c>
      <c r="G25" s="41">
        <v>1151270</v>
      </c>
      <c r="H25" s="41">
        <v>1149715</v>
      </c>
      <c r="I25" s="41">
        <v>1154267</v>
      </c>
      <c r="J25" s="41">
        <v>1153827</v>
      </c>
      <c r="K25" s="41">
        <v>1147356</v>
      </c>
      <c r="L25" s="41">
        <f>743790+82898+99263+227361</f>
        <v>1153312</v>
      </c>
      <c r="M25" s="41">
        <f>746276+81870+99286+227680</f>
        <v>1155112</v>
      </c>
      <c r="N25" s="75">
        <f t="shared" si="0"/>
        <v>12911649</v>
      </c>
    </row>
    <row r="26" spans="1:42">
      <c r="A26" s="34" t="s">
        <v>54</v>
      </c>
      <c r="B26" s="26">
        <f>SUM(B19:B25)</f>
        <v>337491984</v>
      </c>
      <c r="C26" s="26">
        <f t="shared" ref="C26:M26" si="2">SUM(C19:C25)</f>
        <v>301597471</v>
      </c>
      <c r="D26" s="26">
        <f t="shared" si="2"/>
        <v>272427374</v>
      </c>
      <c r="E26" s="26">
        <f t="shared" si="2"/>
        <v>279666824</v>
      </c>
      <c r="F26" s="26">
        <f t="shared" si="2"/>
        <v>274293320</v>
      </c>
      <c r="G26" s="26">
        <f t="shared" si="2"/>
        <v>256503586</v>
      </c>
      <c r="H26" s="26">
        <f t="shared" si="2"/>
        <v>262393291</v>
      </c>
      <c r="I26" s="26">
        <f t="shared" si="2"/>
        <v>279205891</v>
      </c>
      <c r="J26" s="26">
        <f t="shared" si="2"/>
        <v>269245997</v>
      </c>
      <c r="K26" s="26">
        <f t="shared" si="2"/>
        <v>257610517</v>
      </c>
      <c r="L26" s="26">
        <f t="shared" si="2"/>
        <v>194165907</v>
      </c>
      <c r="M26" s="26">
        <f t="shared" si="2"/>
        <v>334786770</v>
      </c>
      <c r="N26" s="76">
        <f>SUM(B26:M26)</f>
        <v>3319388932</v>
      </c>
      <c r="O26" s="28"/>
      <c r="P26" s="28"/>
      <c r="Q26" s="28"/>
      <c r="R26" s="28"/>
      <c r="S26" s="28"/>
      <c r="T26" s="28"/>
      <c r="U26" s="28"/>
      <c r="V26" s="28"/>
      <c r="W26" s="28"/>
      <c r="X26" s="28"/>
      <c r="Y26" s="28"/>
      <c r="Z26" s="28"/>
      <c r="AA26" s="28"/>
    </row>
    <row r="27" spans="1:42">
      <c r="A27" s="47"/>
      <c r="B27" s="48"/>
      <c r="C27" s="48"/>
      <c r="D27" s="48"/>
      <c r="E27" s="48"/>
      <c r="F27" s="48"/>
      <c r="G27" s="48"/>
      <c r="H27" s="48"/>
      <c r="I27" s="48"/>
      <c r="J27" s="48"/>
      <c r="K27" s="48"/>
      <c r="L27" s="48"/>
      <c r="M27" s="48"/>
      <c r="N27" s="90"/>
      <c r="O27" s="50"/>
      <c r="P27" s="50"/>
      <c r="Q27" s="50"/>
      <c r="R27" s="50"/>
      <c r="S27" s="50"/>
      <c r="T27" s="50"/>
      <c r="U27" s="50"/>
      <c r="V27" s="50"/>
      <c r="W27" s="50"/>
      <c r="X27" s="50"/>
      <c r="Y27" s="50"/>
      <c r="Z27" s="50"/>
      <c r="AA27" s="50"/>
    </row>
    <row r="28" spans="1:42">
      <c r="A28" s="79" t="s">
        <v>76</v>
      </c>
      <c r="B28" s="1">
        <f>((215821-1009602*($E$39/100))/$C$39)+((21400-101109*(($D$39+$E$39)/100))/$C$39)</f>
        <v>224747.4121658011</v>
      </c>
      <c r="C28" s="1">
        <f>((240734-1037920*($E$39/100))/$C$39)+((21412-101211*(($D$39+$E$39)/100))/$C$39)</f>
        <v>248624.62891902289</v>
      </c>
      <c r="D28" s="1">
        <f>((240515-1037087*($E$39/100))/$C$39)+((21314-100581*(($D$39+$E$39)/100))/$C$39)</f>
        <v>248322.85167339872</v>
      </c>
      <c r="E28" s="1">
        <f>((241075-1039120*($E$39/100))/$C$39)+((21388-100988*(($D$39+$E$39)/100))/$C$39)</f>
        <v>248925.64320061551</v>
      </c>
      <c r="F28" s="1">
        <f>((255412-1092939*($E$39/100))/$C$39)+((21611-101678*(($D$39+$E$39)/100))/$C$39)</f>
        <v>262749.92011925369</v>
      </c>
      <c r="G28" s="1">
        <f>((244165-1050019*($E$39/100))/$C$39)+((21428-101251*(($D$39+$E$39)/100))/$C$39)</f>
        <v>251899.64088286206</v>
      </c>
      <c r="H28" s="1">
        <f>((244107-1049707*($E$39/100))/$C$39)+((21266-100008*(($D$39+$E$39)/100))/$C$39)</f>
        <v>251689.75141373341</v>
      </c>
      <c r="I28" s="1">
        <f>((245281-1054055*($E$39/100))/$C$39)+((21281-100212*(($D$39+$E$39)/100))/$C$39)</f>
        <v>252818.748028467</v>
      </c>
      <c r="J28" s="1">
        <f>((245493-1055512*($E$39/100))/$C$39)+((20939-98315*(($D$39+$E$39)/100))/$C$39)</f>
        <v>252689.90716483939</v>
      </c>
      <c r="K28" s="1">
        <f>((246602-1047836*($E$39/100))/$C$39)+((21503-99520*(($D$39+$E$39)/100))/$C$39)</f>
        <v>254323.62777457203</v>
      </c>
      <c r="L28" s="1">
        <f>(((192110+12433+52321)-(743790+82898+227361)*($E$39/100))/$C$39)+((22053-99263*(($D$39+$E$39)/100))/$C$39)</f>
        <v>264701.36256010772</v>
      </c>
      <c r="M28" s="1">
        <f>(((192664+12281+52400)-(746276+81870+227680)*($E$39/100))/$C$39)+((22129-99286*(($D$39+$E$39)/100))/$C$39)</f>
        <v>265231.15143296786</v>
      </c>
      <c r="N28" s="75"/>
    </row>
    <row r="29" spans="1:42">
      <c r="B29" s="1"/>
      <c r="D29" s="3"/>
      <c r="E29" s="3"/>
      <c r="F29" s="3"/>
      <c r="G29" s="3"/>
      <c r="H29" s="3"/>
      <c r="I29" s="3"/>
      <c r="J29" s="3"/>
      <c r="K29" s="3"/>
      <c r="L29" s="3"/>
      <c r="M29" s="3"/>
      <c r="N29" s="75"/>
    </row>
    <row r="30" spans="1:42">
      <c r="A30" s="53" t="s">
        <v>33</v>
      </c>
      <c r="D30" s="3"/>
      <c r="E30" s="3"/>
      <c r="F30" s="3"/>
      <c r="G30" s="3"/>
      <c r="H30" s="3"/>
      <c r="I30" s="3"/>
      <c r="J30" s="3"/>
      <c r="K30" s="3"/>
      <c r="L30" s="3"/>
      <c r="M30" s="3"/>
      <c r="N30" s="75"/>
    </row>
    <row r="31" spans="1:42">
      <c r="A31" s="7" t="s">
        <v>55</v>
      </c>
      <c r="B31" s="99">
        <f t="shared" ref="B31:N31" si="3">(B19-B8)/B8</f>
        <v>8.1966039486944375E-3</v>
      </c>
      <c r="C31" s="99">
        <f t="shared" si="3"/>
        <v>1.2161557567079406E-2</v>
      </c>
      <c r="D31" s="99">
        <f t="shared" si="3"/>
        <v>-9.656738612067511E-3</v>
      </c>
      <c r="E31" s="99">
        <f t="shared" si="3"/>
        <v>0.15576780954115424</v>
      </c>
      <c r="F31" s="99">
        <f t="shared" si="3"/>
        <v>0.1212437006483504</v>
      </c>
      <c r="G31" s="99">
        <f t="shared" si="3"/>
        <v>-1.0127026986274041E-2</v>
      </c>
      <c r="H31" s="99">
        <f t="shared" si="3"/>
        <v>-8.2830977663418195E-2</v>
      </c>
      <c r="I31" s="99">
        <f t="shared" si="3"/>
        <v>5.2579595688045141E-4</v>
      </c>
      <c r="J31" s="99">
        <f t="shared" si="3"/>
        <v>-2.7183868256187807E-2</v>
      </c>
      <c r="K31" s="99">
        <f t="shared" si="3"/>
        <v>-0.23572937793642984</v>
      </c>
      <c r="L31" s="99">
        <f t="shared" si="3"/>
        <v>-0.24097400703893204</v>
      </c>
      <c r="M31" s="99">
        <f t="shared" si="3"/>
        <v>1.2393476723873096E-2</v>
      </c>
      <c r="N31" s="100">
        <f t="shared" si="3"/>
        <v>-2.837034834882933E-2</v>
      </c>
    </row>
    <row r="32" spans="1:42">
      <c r="A32" s="7" t="s">
        <v>56</v>
      </c>
      <c r="B32" s="99">
        <f t="shared" ref="B32:N32" si="4">(B20-B9)/B9</f>
        <v>-4.9705423867239813E-2</v>
      </c>
      <c r="C32" s="99">
        <f t="shared" si="4"/>
        <v>-2.1101334167550462E-2</v>
      </c>
      <c r="D32" s="99">
        <f t="shared" si="4"/>
        <v>-6.2723117227413874E-2</v>
      </c>
      <c r="E32" s="99">
        <f t="shared" si="4"/>
        <v>7.2286473182216399E-2</v>
      </c>
      <c r="F32" s="99">
        <f t="shared" si="4"/>
        <v>3.2664232370978215E-2</v>
      </c>
      <c r="G32" s="99">
        <f t="shared" si="4"/>
        <v>-6.1141198283009068E-2</v>
      </c>
      <c r="H32" s="99">
        <f t="shared" si="4"/>
        <v>-0.11721556151364521</v>
      </c>
      <c r="I32" s="99">
        <f t="shared" si="4"/>
        <v>-1.6280282344708012E-2</v>
      </c>
      <c r="J32" s="99">
        <f t="shared" si="4"/>
        <v>2.9783072511066686E-2</v>
      </c>
      <c r="K32" s="99">
        <f t="shared" si="4"/>
        <v>-0.11445347286769521</v>
      </c>
      <c r="L32" s="99">
        <f t="shared" si="4"/>
        <v>-0.10510222355383206</v>
      </c>
      <c r="M32" s="99">
        <f t="shared" si="4"/>
        <v>2.6876027758616049E-2</v>
      </c>
      <c r="N32" s="100">
        <f t="shared" si="4"/>
        <v>-3.313710493546377E-2</v>
      </c>
    </row>
    <row r="33" spans="1:56">
      <c r="A33" s="7" t="s">
        <v>57</v>
      </c>
      <c r="B33" s="99">
        <f t="shared" ref="B33:N33" si="5">(B21-B10)/B10</f>
        <v>3.2791362766412735E-3</v>
      </c>
      <c r="C33" s="99">
        <f t="shared" si="5"/>
        <v>-1.6813490656228721E-2</v>
      </c>
      <c r="D33" s="99">
        <f t="shared" si="5"/>
        <v>-6.4867211424108784E-2</v>
      </c>
      <c r="E33" s="99">
        <f t="shared" si="5"/>
        <v>5.3753785894381997E-2</v>
      </c>
      <c r="F33" s="99">
        <f t="shared" si="5"/>
        <v>2.7784672371654169E-2</v>
      </c>
      <c r="G33" s="99">
        <f t="shared" si="5"/>
        <v>-2.5547751612811573E-2</v>
      </c>
      <c r="H33" s="99">
        <f t="shared" si="5"/>
        <v>-6.2088736208382365E-2</v>
      </c>
      <c r="I33" s="99">
        <f t="shared" si="5"/>
        <v>-1.9085064854879746E-2</v>
      </c>
      <c r="J33" s="99">
        <f t="shared" si="5"/>
        <v>2.70756811624965E-2</v>
      </c>
      <c r="K33" s="99">
        <f t="shared" si="5"/>
        <v>-2.4690756651575569E-2</v>
      </c>
      <c r="L33" s="99">
        <f t="shared" si="5"/>
        <v>-3.6861648243686894E-2</v>
      </c>
      <c r="M33" s="99">
        <f t="shared" si="5"/>
        <v>6.3491385970091505E-2</v>
      </c>
      <c r="N33" s="100">
        <f t="shared" si="5"/>
        <v>-6.6465468002601235E-3</v>
      </c>
    </row>
    <row r="34" spans="1:56">
      <c r="A34" s="7" t="s">
        <v>58</v>
      </c>
      <c r="B34" s="99">
        <f t="shared" ref="B34:N34" si="6">(B22-B11)/B11</f>
        <v>9.1016709433041867E-2</v>
      </c>
      <c r="C34" s="99">
        <f t="shared" si="6"/>
        <v>9.465719280420791E-2</v>
      </c>
      <c r="D34" s="99">
        <f t="shared" si="6"/>
        <v>-6.7242554608053381E-2</v>
      </c>
      <c r="E34" s="99">
        <f t="shared" si="6"/>
        <v>3.958266110621747E-2</v>
      </c>
      <c r="F34" s="99">
        <f t="shared" si="6"/>
        <v>-2.7492639089343605E-2</v>
      </c>
      <c r="G34" s="99">
        <f t="shared" si="6"/>
        <v>-5.7553322128390358E-2</v>
      </c>
      <c r="H34" s="99">
        <f t="shared" si="6"/>
        <v>9.6368349094651633E-3</v>
      </c>
      <c r="I34" s="99">
        <f t="shared" si="6"/>
        <v>-2.0877078175357507E-2</v>
      </c>
      <c r="J34" s="99">
        <f t="shared" si="6"/>
        <v>2.1366661468417921E-2</v>
      </c>
      <c r="K34" s="99">
        <f t="shared" si="6"/>
        <v>-2.6843728095544642E-2</v>
      </c>
      <c r="L34" s="99">
        <f t="shared" si="6"/>
        <v>-6.1471684108674101E-3</v>
      </c>
      <c r="M34" s="99">
        <f t="shared" si="6"/>
        <v>-8.1472548942788867E-2</v>
      </c>
      <c r="N34" s="100">
        <f t="shared" si="6"/>
        <v>-4.3132666223406188E-3</v>
      </c>
    </row>
    <row r="35" spans="1:56">
      <c r="A35" s="7" t="s">
        <v>59</v>
      </c>
      <c r="B35" s="99">
        <f t="shared" ref="B35:N35" si="7">(B24-B13)/B13</f>
        <v>-0.11348638364312297</v>
      </c>
      <c r="C35" s="99">
        <f t="shared" si="7"/>
        <v>-8.7517497754280471E-2</v>
      </c>
      <c r="D35" s="99">
        <f t="shared" si="7"/>
        <v>-0.17824895480118305</v>
      </c>
      <c r="E35" s="99">
        <f t="shared" si="7"/>
        <v>-9.1944955678986293E-2</v>
      </c>
      <c r="F35" s="99">
        <f t="shared" si="7"/>
        <v>-0.25837522323204748</v>
      </c>
      <c r="G35" s="99">
        <f t="shared" si="7"/>
        <v>-0.39571199871662927</v>
      </c>
      <c r="H35" s="99">
        <f t="shared" si="7"/>
        <v>-0.42068617571218397</v>
      </c>
      <c r="I35" s="99">
        <f t="shared" si="7"/>
        <v>-0.11474028414837401</v>
      </c>
      <c r="J35" s="99">
        <f t="shared" si="7"/>
        <v>0.15078603448009475</v>
      </c>
      <c r="K35" s="99">
        <f t="shared" si="7"/>
        <v>1.3404835847329443E-2</v>
      </c>
      <c r="L35" s="99">
        <f t="shared" si="7"/>
        <v>-9.5862381740469862E-2</v>
      </c>
      <c r="M35" s="99">
        <f t="shared" si="7"/>
        <v>-6.1931369505531762E-2</v>
      </c>
      <c r="N35" s="100">
        <f t="shared" si="7"/>
        <v>-0.16144220796439551</v>
      </c>
    </row>
    <row r="36" spans="1:56">
      <c r="A36" s="7" t="s">
        <v>53</v>
      </c>
      <c r="B36" s="99">
        <f t="shared" ref="B36:N36" si="8">(B25-B14)/B14</f>
        <v>-5.7633471601775302E-2</v>
      </c>
      <c r="C36" s="99">
        <f t="shared" si="8"/>
        <v>-3.1994981310567508E-2</v>
      </c>
      <c r="D36" s="99">
        <f t="shared" si="8"/>
        <v>-3.1599763825930563E-2</v>
      </c>
      <c r="E36" s="99">
        <f t="shared" si="8"/>
        <v>-0.7743700180655646</v>
      </c>
      <c r="F36" s="99">
        <f t="shared" si="8"/>
        <v>1.8467050923929109E-2</v>
      </c>
      <c r="G36" s="99">
        <f t="shared" si="8"/>
        <v>-1.7705416404602967E-2</v>
      </c>
      <c r="H36" s="99">
        <f t="shared" si="8"/>
        <v>-2.9249726587112949E-2</v>
      </c>
      <c r="I36" s="99">
        <f t="shared" si="8"/>
        <v>-2.2213758091912245E-2</v>
      </c>
      <c r="J36" s="99">
        <f t="shared" si="8"/>
        <v>-2.2636988353986736E-2</v>
      </c>
      <c r="K36" s="99">
        <f t="shared" si="8"/>
        <v>-2.796847306888461E-2</v>
      </c>
      <c r="L36" s="99">
        <f t="shared" si="8"/>
        <v>-2.2298054263159891E-2</v>
      </c>
      <c r="M36" s="99">
        <f t="shared" si="8"/>
        <v>-2.1396818102141169E-2</v>
      </c>
      <c r="N36" s="100">
        <f t="shared" si="8"/>
        <v>-8.6579277436189969E-2</v>
      </c>
    </row>
    <row r="37" spans="1:56">
      <c r="A37" s="28" t="s">
        <v>48</v>
      </c>
      <c r="B37" s="101">
        <f t="shared" ref="B37:N37" si="9">(B26-B15)/B15</f>
        <v>3.1679024422595035E-3</v>
      </c>
      <c r="C37" s="101">
        <f t="shared" si="9"/>
        <v>9.0720234891839557E-3</v>
      </c>
      <c r="D37" s="101">
        <f t="shared" si="9"/>
        <v>-9.039412603327647E-2</v>
      </c>
      <c r="E37" s="101">
        <f t="shared" si="9"/>
        <v>5.7315491287528192E-2</v>
      </c>
      <c r="F37" s="101">
        <f t="shared" si="9"/>
        <v>3.9906310949121483E-2</v>
      </c>
      <c r="G37" s="101">
        <f t="shared" si="9"/>
        <v>-2.8121514228295948E-2</v>
      </c>
      <c r="H37" s="101">
        <f t="shared" si="9"/>
        <v>-5.9630391088494238E-2</v>
      </c>
      <c r="I37" s="101">
        <f t="shared" si="9"/>
        <v>-1.4215655295095792E-4</v>
      </c>
      <c r="J37" s="101">
        <f t="shared" si="9"/>
        <v>3.9322311429000743E-2</v>
      </c>
      <c r="K37" s="101">
        <f t="shared" si="9"/>
        <v>-8.9997394387560214E-2</v>
      </c>
      <c r="L37" s="101">
        <f t="shared" si="9"/>
        <v>-0.35484957059906613</v>
      </c>
      <c r="M37" s="101">
        <f t="shared" si="9"/>
        <v>2.0765145422611628E-2</v>
      </c>
      <c r="N37" s="102">
        <f t="shared" si="9"/>
        <v>-3.9632902109651598E-2</v>
      </c>
      <c r="O37" s="28"/>
      <c r="P37" s="28"/>
      <c r="Q37" s="28"/>
      <c r="R37" s="28"/>
      <c r="S37" s="28"/>
      <c r="T37" s="28"/>
      <c r="U37" s="28"/>
      <c r="V37" s="28"/>
      <c r="W37" s="28"/>
      <c r="X37" s="28"/>
      <c r="Y37" s="28"/>
    </row>
    <row r="38" spans="1:56">
      <c r="A38" s="5"/>
      <c r="D38" s="3"/>
      <c r="E38" s="3"/>
      <c r="F38" s="3"/>
      <c r="G38" s="3"/>
      <c r="H38" s="3"/>
      <c r="I38" s="3"/>
      <c r="J38" s="3"/>
      <c r="K38" s="3"/>
      <c r="L38" s="3"/>
      <c r="M38" s="3"/>
      <c r="N38" s="75"/>
    </row>
    <row r="39" spans="1:56">
      <c r="A39" s="69" t="s">
        <v>62</v>
      </c>
      <c r="B39" s="80">
        <v>0.99580999999999997</v>
      </c>
      <c r="C39" s="81">
        <f>1+0.0398</f>
        <v>1.0398000000000001</v>
      </c>
      <c r="D39" s="82">
        <v>-0.28899999999999998</v>
      </c>
      <c r="E39" s="82">
        <v>0.34399999999999997</v>
      </c>
      <c r="F39" s="75"/>
      <c r="G39" s="80">
        <v>0.96543400000000001</v>
      </c>
      <c r="H39" s="80">
        <v>0.99580999999999997</v>
      </c>
      <c r="I39" s="80">
        <v>0.96543400000000001</v>
      </c>
      <c r="J39" s="3"/>
      <c r="K39" s="3"/>
      <c r="L39" s="3"/>
      <c r="M39" s="3"/>
      <c r="N39" s="75"/>
    </row>
    <row r="40" spans="1:56">
      <c r="A40" s="68" t="s">
        <v>63</v>
      </c>
      <c r="B40" s="70" t="s">
        <v>55</v>
      </c>
      <c r="C40" s="70" t="s">
        <v>56</v>
      </c>
      <c r="D40" s="70" t="s">
        <v>57</v>
      </c>
      <c r="E40" s="70" t="s">
        <v>58</v>
      </c>
      <c r="F40" s="70" t="s">
        <v>94</v>
      </c>
      <c r="G40" s="70" t="s">
        <v>59</v>
      </c>
      <c r="H40" s="70" t="s">
        <v>53</v>
      </c>
      <c r="I40" s="3"/>
      <c r="J40" s="3"/>
      <c r="K40" s="3"/>
      <c r="L40" s="3"/>
      <c r="M40" s="3"/>
      <c r="N40" s="3"/>
      <c r="O40" s="75"/>
      <c r="BD40" s="7"/>
    </row>
    <row r="41" spans="1:56">
      <c r="A41" s="68" t="s">
        <v>66</v>
      </c>
      <c r="B41" s="29">
        <v>2.5799999999999998E-3</v>
      </c>
      <c r="C41" s="29">
        <v>3.0300000000000001E-3</v>
      </c>
      <c r="D41" s="29">
        <v>2.32E-3</v>
      </c>
      <c r="E41" s="29">
        <v>1.66E-3</v>
      </c>
      <c r="F41" s="29">
        <v>1.4599999999999999E-3</v>
      </c>
      <c r="G41" s="29">
        <v>2.4199999999999998E-3</v>
      </c>
      <c r="H41" s="97">
        <v>3.9800000000000002E-2</v>
      </c>
      <c r="I41" s="3"/>
      <c r="J41" s="3"/>
      <c r="K41" s="3"/>
      <c r="L41" s="3"/>
      <c r="M41" s="3"/>
      <c r="N41" s="3"/>
      <c r="O41" s="75"/>
      <c r="BD41" s="7"/>
    </row>
    <row r="42" spans="1:56">
      <c r="A42" s="68" t="s">
        <v>67</v>
      </c>
      <c r="B42" s="29">
        <v>2.5799999999999998E-3</v>
      </c>
      <c r="C42" s="29">
        <v>3.0300000000000001E-3</v>
      </c>
      <c r="D42" s="29">
        <v>2.32E-3</v>
      </c>
      <c r="E42" s="29">
        <v>1.66E-3</v>
      </c>
      <c r="F42" s="29">
        <v>1.4599999999999999E-3</v>
      </c>
      <c r="G42" s="29">
        <v>2.4199999999999998E-3</v>
      </c>
      <c r="H42" s="97">
        <v>3.9800000000000002E-2</v>
      </c>
      <c r="I42" s="3"/>
      <c r="J42" s="3"/>
      <c r="K42" s="3"/>
      <c r="L42" s="3"/>
      <c r="M42" s="3"/>
      <c r="N42" s="3"/>
      <c r="O42" s="75"/>
      <c r="BD42" s="7"/>
    </row>
    <row r="43" spans="1:56">
      <c r="A43" s="68"/>
      <c r="B43" s="29"/>
      <c r="C43" s="29"/>
      <c r="D43" s="29"/>
      <c r="E43" s="29"/>
      <c r="F43" s="29"/>
      <c r="G43" s="43"/>
      <c r="H43" s="3"/>
      <c r="I43" s="3"/>
      <c r="J43" s="3"/>
      <c r="K43" s="3"/>
      <c r="L43" s="3"/>
      <c r="M43" s="3"/>
      <c r="N43" s="75"/>
    </row>
    <row r="44" spans="1:56">
      <c r="A44" s="89" t="s">
        <v>60</v>
      </c>
      <c r="D44" s="3"/>
      <c r="E44" s="3"/>
      <c r="F44" s="3"/>
      <c r="G44" s="3"/>
      <c r="H44" s="3"/>
      <c r="I44" s="3"/>
      <c r="J44" s="3"/>
      <c r="K44" s="3"/>
      <c r="L44" s="3"/>
      <c r="M44" s="3"/>
      <c r="N44" s="75"/>
    </row>
    <row r="45" spans="1:56">
      <c r="A45" s="5" t="s">
        <v>55</v>
      </c>
      <c r="B45" s="46">
        <f t="shared" ref="B45:M45" si="10">($B$41*B8)*$B$39</f>
        <v>346495.63246608089</v>
      </c>
      <c r="C45" s="46">
        <f t="shared" si="10"/>
        <v>293887.59927228652</v>
      </c>
      <c r="D45" s="46">
        <f t="shared" si="10"/>
        <v>274876.81628531113</v>
      </c>
      <c r="E45" s="46">
        <f t="shared" si="10"/>
        <v>221157.70513730819</v>
      </c>
      <c r="F45" s="46">
        <f t="shared" si="10"/>
        <v>203534.1169161353</v>
      </c>
      <c r="G45" s="46">
        <f t="shared" si="10"/>
        <v>198074.51448010394</v>
      </c>
      <c r="H45" s="46">
        <f t="shared" si="10"/>
        <v>210356.85283301913</v>
      </c>
      <c r="I45" s="46">
        <f t="shared" si="10"/>
        <v>209754.7950230072</v>
      </c>
      <c r="J45" s="46">
        <f t="shared" si="10"/>
        <v>202022.81925568127</v>
      </c>
      <c r="K45" s="46">
        <f t="shared" si="10"/>
        <v>240483.97357365879</v>
      </c>
      <c r="L45" s="46">
        <f t="shared" si="10"/>
        <v>297342.73325610091</v>
      </c>
      <c r="M45" s="46">
        <f t="shared" si="10"/>
        <v>336654.32541659975</v>
      </c>
      <c r="N45" s="93">
        <f>SUM(B45:M45)</f>
        <v>3034641.8839152926</v>
      </c>
    </row>
    <row r="46" spans="1:56">
      <c r="A46" s="5" t="s">
        <v>56</v>
      </c>
      <c r="B46" s="46">
        <f t="shared" ref="B46:M46" si="11">(B9*$C$41)*$B$39</f>
        <v>100390.1035194471</v>
      </c>
      <c r="C46" s="46">
        <f t="shared" si="11"/>
        <v>88915.452311210349</v>
      </c>
      <c r="D46" s="46">
        <f t="shared" si="11"/>
        <v>87061.13352673364</v>
      </c>
      <c r="E46" s="46">
        <f t="shared" si="11"/>
        <v>72692.414829782851</v>
      </c>
      <c r="F46" s="46">
        <f t="shared" si="11"/>
        <v>71508.419253251355</v>
      </c>
      <c r="G46" s="46">
        <f t="shared" si="11"/>
        <v>73463.277570984385</v>
      </c>
      <c r="H46" s="46">
        <f t="shared" si="11"/>
        <v>80047.964889507362</v>
      </c>
      <c r="I46" s="46">
        <f t="shared" si="11"/>
        <v>80594.980886765174</v>
      </c>
      <c r="J46" s="46">
        <f t="shared" si="11"/>
        <v>74764.702786920592</v>
      </c>
      <c r="K46" s="46">
        <f t="shared" si="11"/>
        <v>77050.948685060444</v>
      </c>
      <c r="L46" s="46">
        <f t="shared" si="11"/>
        <v>79604.800828803927</v>
      </c>
      <c r="M46" s="46">
        <f t="shared" si="11"/>
        <v>91965.659352386923</v>
      </c>
      <c r="N46" s="93">
        <f t="shared" ref="N46:N51" si="12">SUM(B46:M46)</f>
        <v>978059.85844085412</v>
      </c>
    </row>
    <row r="47" spans="1:56">
      <c r="A47" s="5" t="s">
        <v>57</v>
      </c>
      <c r="B47" s="46">
        <f t="shared" ref="B47:M47" si="13">(B10*$D$41)*$B$39</f>
        <v>149990.08295766427</v>
      </c>
      <c r="C47" s="46">
        <f t="shared" si="13"/>
        <v>138688.18421739654</v>
      </c>
      <c r="D47" s="46">
        <f t="shared" si="13"/>
        <v>137891.60197265059</v>
      </c>
      <c r="E47" s="46">
        <f t="shared" si="13"/>
        <v>122544.32362660673</v>
      </c>
      <c r="F47" s="46">
        <f t="shared" si="13"/>
        <v>126969.59873548846</v>
      </c>
      <c r="G47" s="46">
        <f t="shared" si="13"/>
        <v>129391.99664351261</v>
      </c>
      <c r="H47" s="46">
        <f t="shared" si="13"/>
        <v>137549.30737857654</v>
      </c>
      <c r="I47" s="46">
        <f t="shared" si="13"/>
        <v>142516.99901998648</v>
      </c>
      <c r="J47" s="46">
        <f t="shared" si="13"/>
        <v>135551.81578651172</v>
      </c>
      <c r="K47" s="46">
        <f t="shared" si="13"/>
        <v>135625.74313785139</v>
      </c>
      <c r="L47" s="46">
        <f t="shared" si="13"/>
        <v>132720.41567873588</v>
      </c>
      <c r="M47" s="46">
        <f t="shared" si="13"/>
        <v>141245.91195571041</v>
      </c>
      <c r="N47" s="93">
        <f t="shared" si="12"/>
        <v>1630685.9811106916</v>
      </c>
    </row>
    <row r="48" spans="1:56">
      <c r="A48" s="5" t="s">
        <v>58</v>
      </c>
      <c r="B48" s="46">
        <f t="shared" ref="B48:M48" si="14">(B11*$E$41)*$B$39</f>
        <v>35837.217144616239</v>
      </c>
      <c r="C48" s="46">
        <f t="shared" si="14"/>
        <v>35355.2242184973</v>
      </c>
      <c r="D48" s="46">
        <f t="shared" si="14"/>
        <v>38538.604934093797</v>
      </c>
      <c r="E48" s="46">
        <f t="shared" si="14"/>
        <v>37864.939445094766</v>
      </c>
      <c r="F48" s="46">
        <f t="shared" si="14"/>
        <v>38510.04009197955</v>
      </c>
      <c r="G48" s="46">
        <f t="shared" si="14"/>
        <v>38571.415172750807</v>
      </c>
      <c r="H48" s="46">
        <f t="shared" si="14"/>
        <v>39260.877027588518</v>
      </c>
      <c r="I48" s="46">
        <f t="shared" si="14"/>
        <v>38665.293727311648</v>
      </c>
      <c r="J48" s="46">
        <f t="shared" si="14"/>
        <v>38324.783738152953</v>
      </c>
      <c r="K48" s="46">
        <f t="shared" si="14"/>
        <v>37904.381787662111</v>
      </c>
      <c r="L48" s="46">
        <f t="shared" si="14"/>
        <v>38479.605108686374</v>
      </c>
      <c r="M48" s="46">
        <f t="shared" si="14"/>
        <v>41123.579848740817</v>
      </c>
      <c r="N48" s="93">
        <f t="shared" si="12"/>
        <v>458435.96224517486</v>
      </c>
    </row>
    <row r="49" spans="1:27">
      <c r="A49" s="5" t="s">
        <v>94</v>
      </c>
      <c r="B49" s="46">
        <f>(B12*$F$41)*$B$39</f>
        <v>111426.22514368907</v>
      </c>
      <c r="C49" s="46">
        <f t="shared" ref="C49:M49" si="15">(C12*$F$41)*$B$39</f>
        <v>100346.87375364124</v>
      </c>
      <c r="D49" s="46">
        <f t="shared" si="15"/>
        <v>110305.17327214124</v>
      </c>
      <c r="E49" s="46">
        <f t="shared" si="15"/>
        <v>107042.63709214899</v>
      </c>
      <c r="F49" s="46">
        <f t="shared" si="15"/>
        <v>111115.32390804574</v>
      </c>
      <c r="G49" s="46">
        <f t="shared" si="15"/>
        <v>108724.83269053452</v>
      </c>
      <c r="H49" s="46">
        <f t="shared" si="15"/>
        <v>111333.53600254717</v>
      </c>
      <c r="I49" s="46">
        <f t="shared" si="15"/>
        <v>109310.4460611657</v>
      </c>
      <c r="J49" s="46">
        <f t="shared" si="15"/>
        <v>95519.204534978882</v>
      </c>
      <c r="K49" s="46">
        <f t="shared" si="15"/>
        <v>111024.48161579711</v>
      </c>
      <c r="L49" s="46">
        <f t="shared" si="15"/>
        <v>106888.91080089919</v>
      </c>
      <c r="M49" s="46">
        <f t="shared" si="15"/>
        <v>109876.95432402089</v>
      </c>
      <c r="N49" s="93">
        <f t="shared" ref="N49" si="16">SUM(B49:M49)</f>
        <v>1292914.5991996094</v>
      </c>
    </row>
    <row r="50" spans="1:27">
      <c r="A50" s="5" t="s">
        <v>59</v>
      </c>
      <c r="B50" s="46">
        <f t="shared" ref="B50:M50" si="17">(B13*$G$41)*$B$39</f>
        <v>9320.1359239046997</v>
      </c>
      <c r="C50" s="46">
        <f t="shared" si="17"/>
        <v>8224.0743501520701</v>
      </c>
      <c r="D50" s="46">
        <f t="shared" si="17"/>
        <v>8706.3864030211516</v>
      </c>
      <c r="E50" s="46">
        <f t="shared" si="17"/>
        <v>8637.7290700899084</v>
      </c>
      <c r="F50" s="46">
        <f t="shared" si="17"/>
        <v>12031.611462905459</v>
      </c>
      <c r="G50" s="46">
        <f t="shared" si="17"/>
        <v>17319.87316740723</v>
      </c>
      <c r="H50" s="46">
        <f t="shared" si="17"/>
        <v>23076.970275384068</v>
      </c>
      <c r="I50" s="46">
        <f t="shared" si="17"/>
        <v>22768.419615209779</v>
      </c>
      <c r="J50" s="46">
        <f t="shared" si="17"/>
        <v>16652.145503195068</v>
      </c>
      <c r="K50" s="46">
        <f t="shared" si="17"/>
        <v>11491.147369298482</v>
      </c>
      <c r="L50" s="46">
        <f t="shared" si="17"/>
        <v>8242.6210343107214</v>
      </c>
      <c r="M50" s="46">
        <f t="shared" si="17"/>
        <v>8894.6827233263957</v>
      </c>
      <c r="N50" s="93">
        <f t="shared" si="12"/>
        <v>155365.79689820504</v>
      </c>
    </row>
    <row r="51" spans="1:27">
      <c r="A51" s="5" t="s">
        <v>53</v>
      </c>
      <c r="B51" s="46">
        <f>B52-SUM(B45:B50)</f>
        <v>9058.1859727313276</v>
      </c>
      <c r="C51" s="46">
        <f t="shared" ref="C51:M51" si="18">C52-SUM(C45:C50)</f>
        <v>9098.1483943202766</v>
      </c>
      <c r="D51" s="46">
        <f t="shared" si="18"/>
        <v>9101.7967174560763</v>
      </c>
      <c r="E51" s="46">
        <f t="shared" si="18"/>
        <v>9141.4858802191447</v>
      </c>
      <c r="F51" s="46">
        <f t="shared" si="18"/>
        <v>9144.3321347783785</v>
      </c>
      <c r="G51" s="46">
        <f t="shared" si="18"/>
        <v>9143.4802520803642</v>
      </c>
      <c r="H51" s="46">
        <f t="shared" si="18"/>
        <v>9127.1036555370083</v>
      </c>
      <c r="I51" s="46">
        <f t="shared" si="18"/>
        <v>9126.2024670379469</v>
      </c>
      <c r="J51" s="46">
        <f t="shared" si="18"/>
        <v>9144.7105249537854</v>
      </c>
      <c r="K51" s="46">
        <f t="shared" si="18"/>
        <v>9121.6771827872144</v>
      </c>
      <c r="L51" s="46">
        <f t="shared" si="18"/>
        <v>9099.1189823644236</v>
      </c>
      <c r="M51" s="46">
        <f t="shared" si="18"/>
        <v>9068.9426674398128</v>
      </c>
      <c r="N51" s="93">
        <f t="shared" si="12"/>
        <v>109375.18483170576</v>
      </c>
    </row>
    <row r="52" spans="1:27">
      <c r="A52" s="27" t="s">
        <v>54</v>
      </c>
      <c r="B52" s="98">
        <v>762517.58312813356</v>
      </c>
      <c r="C52" s="98">
        <v>674515.55651750427</v>
      </c>
      <c r="D52" s="98">
        <v>666481.51311140764</v>
      </c>
      <c r="E52" s="98">
        <v>579081.23508125055</v>
      </c>
      <c r="F52" s="98">
        <v>572813.44250258419</v>
      </c>
      <c r="G52" s="98">
        <v>574689.38997737388</v>
      </c>
      <c r="H52" s="98">
        <v>610752.61206215969</v>
      </c>
      <c r="I52" s="98">
        <v>612737.13680048392</v>
      </c>
      <c r="J52" s="98">
        <v>571980.18213039427</v>
      </c>
      <c r="K52" s="98">
        <v>622702.35335211549</v>
      </c>
      <c r="L52" s="98">
        <v>672378.20568990125</v>
      </c>
      <c r="M52" s="98">
        <v>738830.05628822499</v>
      </c>
      <c r="N52" s="45">
        <f t="shared" ref="N52" si="19">SUM(N45:N51)</f>
        <v>7659479.2666415321</v>
      </c>
      <c r="O52" s="28"/>
      <c r="P52" s="28"/>
      <c r="Q52" s="28"/>
      <c r="R52" s="28"/>
      <c r="S52" s="28"/>
      <c r="T52" s="28"/>
      <c r="U52" s="28"/>
      <c r="V52" s="28"/>
      <c r="W52" s="28"/>
    </row>
    <row r="53" spans="1:27">
      <c r="A53" s="5"/>
      <c r="D53" s="3"/>
      <c r="E53" s="3"/>
      <c r="F53" s="3"/>
      <c r="G53" s="3"/>
      <c r="H53" s="3"/>
      <c r="I53" s="3"/>
      <c r="J53" s="3"/>
      <c r="K53" s="3"/>
      <c r="L53" s="3"/>
      <c r="M53" s="3"/>
      <c r="N53" s="75"/>
    </row>
    <row r="54" spans="1:27">
      <c r="D54" s="3"/>
      <c r="E54" s="3"/>
      <c r="F54" s="3"/>
      <c r="G54" s="3"/>
      <c r="H54" s="3"/>
      <c r="I54" s="3"/>
      <c r="J54" s="3"/>
      <c r="K54" s="3"/>
      <c r="L54" s="3"/>
      <c r="M54" s="3"/>
      <c r="N54" s="75"/>
    </row>
    <row r="55" spans="1:27">
      <c r="A55" s="87" t="s">
        <v>61</v>
      </c>
      <c r="D55" s="3"/>
      <c r="E55" s="3"/>
      <c r="F55" s="3"/>
      <c r="G55" s="3"/>
      <c r="H55" s="3"/>
      <c r="I55" s="3"/>
      <c r="J55" s="3"/>
      <c r="K55" s="3"/>
      <c r="L55" s="3"/>
      <c r="M55" s="3"/>
      <c r="N55" s="75"/>
    </row>
    <row r="56" spans="1:27">
      <c r="A56" s="33" t="s">
        <v>55</v>
      </c>
      <c r="B56" s="23">
        <f t="shared" ref="B56:G56" si="20">($B$42*B19)*$B$39</f>
        <v>349335.71993535775</v>
      </c>
      <c r="C56" s="23">
        <f t="shared" si="20"/>
        <v>297461.73022908717</v>
      </c>
      <c r="D56" s="23">
        <f t="shared" si="20"/>
        <v>272222.40271992661</v>
      </c>
      <c r="E56" s="23">
        <f t="shared" si="20"/>
        <v>255606.95642969516</v>
      </c>
      <c r="F56" s="23">
        <f t="shared" si="20"/>
        <v>228211.34645924158</v>
      </c>
      <c r="G56" s="23">
        <f t="shared" si="20"/>
        <v>196068.60852667078</v>
      </c>
      <c r="H56" s="23">
        <f t="shared" ref="H56:I56" si="21">($B$42*H19)*$B$39</f>
        <v>192932.78905466036</v>
      </c>
      <c r="I56" s="23">
        <f t="shared" si="21"/>
        <v>209865.08324616659</v>
      </c>
      <c r="J56" s="23">
        <f t="shared" ref="J56" si="22">($B$42*J19)*$B$39</f>
        <v>196531.0575522912</v>
      </c>
      <c r="K56" s="23">
        <f>($B$42*K19)*$G$39</f>
        <v>178188.39314280514</v>
      </c>
      <c r="L56" s="23">
        <f>218806.43</f>
        <v>218806.43</v>
      </c>
      <c r="M56" s="23">
        <f>($B$42*M19)*$I$39</f>
        <v>330430.13147286623</v>
      </c>
      <c r="N56" s="93">
        <f>SUM(B56:M56)</f>
        <v>2925660.6487687686</v>
      </c>
    </row>
    <row r="57" spans="1:27">
      <c r="A57" s="33" t="s">
        <v>56</v>
      </c>
      <c r="B57" s="23">
        <f t="shared" ref="B57:G57" si="23">(B20*$C$42)*$B$39</f>
        <v>95400.170871936905</v>
      </c>
      <c r="C57" s="23">
        <f t="shared" si="23"/>
        <v>87039.217639332608</v>
      </c>
      <c r="D57" s="23">
        <f t="shared" si="23"/>
        <v>81600.387842584794</v>
      </c>
      <c r="E57" s="23">
        <f t="shared" si="23"/>
        <v>77947.093124926498</v>
      </c>
      <c r="F57" s="23">
        <f t="shared" si="23"/>
        <v>73844.186876220891</v>
      </c>
      <c r="G57" s="23">
        <f t="shared" si="23"/>
        <v>68971.6447504971</v>
      </c>
      <c r="H57" s="23">
        <f t="shared" ref="H57:I57" si="24">(H20*$C$42)*$B$39</f>
        <v>70665.0977369592</v>
      </c>
      <c r="I57" s="23">
        <f t="shared" si="24"/>
        <v>79282.871842362292</v>
      </c>
      <c r="J57" s="23">
        <f t="shared" ref="J57" si="25">(J20*$C$42)*$B$39</f>
        <v>76991.425351291808</v>
      </c>
      <c r="K57" s="23">
        <f>(K20*$C$42)*$G$39</f>
        <v>66150.857888957587</v>
      </c>
      <c r="L57" s="23">
        <f>64694.84+4370.29</f>
        <v>69065.12999999999</v>
      </c>
      <c r="M57" s="23">
        <f>(M20*$C$42)*$I$39</f>
        <v>91556.63247387654</v>
      </c>
      <c r="N57" s="93">
        <f t="shared" ref="N57:N63" si="26">SUM(B57:M57)</f>
        <v>938514.71639894636</v>
      </c>
    </row>
    <row r="58" spans="1:27">
      <c r="A58" s="33" t="s">
        <v>57</v>
      </c>
      <c r="B58" s="23">
        <f t="shared" ref="B58:G58" si="27">(B21*$D$42)*$B$39</f>
        <v>150481.9208798272</v>
      </c>
      <c r="C58" s="23">
        <f t="shared" si="27"/>
        <v>136356.35172792801</v>
      </c>
      <c r="D58" s="23">
        <f t="shared" si="27"/>
        <v>128946.9582738816</v>
      </c>
      <c r="E58" s="23">
        <f t="shared" si="27"/>
        <v>129131.5449614032</v>
      </c>
      <c r="F58" s="23">
        <f t="shared" si="27"/>
        <v>130497.4074375144</v>
      </c>
      <c r="G58" s="23">
        <f t="shared" si="27"/>
        <v>126086.3220525784</v>
      </c>
      <c r="H58" s="23">
        <f t="shared" ref="H58:I58" si="28">(H21*$D$42)*$B$39</f>
        <v>129009.0447171024</v>
      </c>
      <c r="I58" s="23">
        <f t="shared" si="28"/>
        <v>139797.05285076721</v>
      </c>
      <c r="J58" s="23">
        <f t="shared" ref="J58" si="29">(J21*$D$42)*$B$39</f>
        <v>139221.97353174479</v>
      </c>
      <c r="K58" s="23">
        <f>(K21*$D$42)*$G$39</f>
        <v>128242.08706677186</v>
      </c>
      <c r="L58" s="23">
        <f>121937.6+1991.28</f>
        <v>123928.88</v>
      </c>
      <c r="M58" s="23">
        <f>(M21*$D$42)*$I$39</f>
        <v>145631.7169829832</v>
      </c>
      <c r="N58" s="93">
        <f t="shared" si="26"/>
        <v>1607331.2604825024</v>
      </c>
    </row>
    <row r="59" spans="1:27">
      <c r="A59" s="33" t="s">
        <v>58</v>
      </c>
      <c r="B59" s="23">
        <f t="shared" ref="B59:G59" si="30">(B22*$E$42)*$B$39</f>
        <v>39099.0027243566</v>
      </c>
      <c r="C59" s="23">
        <f t="shared" si="30"/>
        <v>38701.850493983598</v>
      </c>
      <c r="D59" s="23">
        <f t="shared" si="30"/>
        <v>35947.170687294798</v>
      </c>
      <c r="E59" s="23">
        <f t="shared" si="30"/>
        <v>39363.734510957402</v>
      </c>
      <c r="F59" s="23">
        <f t="shared" si="30"/>
        <v>37451.2974584146</v>
      </c>
      <c r="G59" s="23">
        <f t="shared" si="30"/>
        <v>36351.502090365597</v>
      </c>
      <c r="H59" s="23">
        <f t="shared" ref="H59:I59" si="31">(H22*$E$42)*$B$39</f>
        <v>39639.227617904202</v>
      </c>
      <c r="I59" s="23">
        <f t="shared" si="31"/>
        <v>37858.075367493395</v>
      </c>
      <c r="J59" s="23">
        <f t="shared" ref="J59" si="32">(J22*$E$42)*$B$39</f>
        <v>39143.656418136401</v>
      </c>
      <c r="K59" s="23">
        <f>(K22*$E$42)*$G$39</f>
        <v>35761.696245066159</v>
      </c>
      <c r="L59" s="23">
        <v>37076.51</v>
      </c>
      <c r="M59" s="23">
        <f>(M22*$E$42)*$I$39</f>
        <v>36620.912346804238</v>
      </c>
      <c r="N59" s="93">
        <f t="shared" si="26"/>
        <v>453014.635960777</v>
      </c>
    </row>
    <row r="60" spans="1:27">
      <c r="A60" s="33" t="s">
        <v>94</v>
      </c>
      <c r="B60" s="23">
        <f t="shared" ref="B60:G60" si="33">(B23*$F$42)*$B$39</f>
        <v>111331.49625977999</v>
      </c>
      <c r="C60" s="23">
        <f t="shared" si="33"/>
        <v>102183.56516879798</v>
      </c>
      <c r="D60" s="23">
        <f t="shared" si="33"/>
        <v>83975.866427697998</v>
      </c>
      <c r="E60" s="23">
        <f t="shared" si="33"/>
        <v>103395.84155832999</v>
      </c>
      <c r="F60" s="23">
        <f t="shared" si="33"/>
        <v>111883.84079834599</v>
      </c>
      <c r="G60" s="23">
        <f t="shared" si="33"/>
        <v>109431.32985688398</v>
      </c>
      <c r="H60" s="23">
        <f t="shared" ref="H60:I60" si="34">(H23*$F$42)*$B$39</f>
        <v>112472.99764434398</v>
      </c>
      <c r="I60" s="23">
        <f t="shared" si="34"/>
        <v>113858.445990362</v>
      </c>
      <c r="J60" s="23">
        <f t="shared" ref="J60" si="35">(J23*$F$42)*$B$39</f>
        <v>107858.54873785599</v>
      </c>
      <c r="K60" s="23">
        <f>(K23*$F$42)*$G$39</f>
        <v>109815.0603566956</v>
      </c>
      <c r="L60" s="23">
        <f t="shared" ref="L60" si="36">(L23*$F$42)*$B$39</f>
        <v>0</v>
      </c>
      <c r="M60" s="23">
        <f>(M23*$F$42)*$I$39</f>
        <v>110424.4299399404</v>
      </c>
      <c r="N60" s="93">
        <f t="shared" si="26"/>
        <v>1176631.4227390338</v>
      </c>
    </row>
    <row r="61" spans="1:27">
      <c r="A61" s="33" t="s">
        <v>59</v>
      </c>
      <c r="B61" s="23">
        <f t="shared" ref="B61:G61" si="37">(B24*$G$42)*$B$39</f>
        <v>8262.4274028383988</v>
      </c>
      <c r="C61" s="23">
        <f t="shared" si="37"/>
        <v>7504.3239416815995</v>
      </c>
      <c r="D61" s="23">
        <f t="shared" si="37"/>
        <v>7154.4821265873989</v>
      </c>
      <c r="E61" s="23">
        <f t="shared" si="37"/>
        <v>7843.5334535733991</v>
      </c>
      <c r="F61" s="23">
        <f t="shared" si="37"/>
        <v>8922.9411653360003</v>
      </c>
      <c r="G61" s="23">
        <f t="shared" si="37"/>
        <v>10466.191538814001</v>
      </c>
      <c r="H61" s="23">
        <f t="shared" ref="H61:I61" si="38">(H24*$G$42)*$B$39</f>
        <v>13368.807903208999</v>
      </c>
      <c r="I61" s="23">
        <f t="shared" si="38"/>
        <v>20155.964678951197</v>
      </c>
      <c r="J61" s="23">
        <f t="shared" ref="J61" si="39">(J24*$G$42)*$B$39</f>
        <v>19163.0564892074</v>
      </c>
      <c r="K61" s="23">
        <f>(K24*$G$42)*$G$39</f>
        <v>11289.96181249596</v>
      </c>
      <c r="L61" s="23">
        <f>6581.75+643.39</f>
        <v>7225.14</v>
      </c>
      <c r="M61" s="23">
        <f>(M24*$G$42)*$I$39</f>
        <v>8089.3044462630387</v>
      </c>
      <c r="N61" s="93">
        <f t="shared" si="26"/>
        <v>129446.13495895739</v>
      </c>
    </row>
    <row r="62" spans="1:27">
      <c r="A62" s="33" t="s">
        <v>53</v>
      </c>
      <c r="B62" s="23">
        <f t="shared" ref="B62:G62" si="40">(B28*$H$42)*$B$39</f>
        <v>8907.46767625129</v>
      </c>
      <c r="C62" s="23">
        <f t="shared" si="40"/>
        <v>9853.7990906093182</v>
      </c>
      <c r="D62" s="23">
        <f t="shared" si="40"/>
        <v>9841.8386812105091</v>
      </c>
      <c r="E62" s="23">
        <f t="shared" si="40"/>
        <v>9865.729261273078</v>
      </c>
      <c r="F62" s="23">
        <f t="shared" si="40"/>
        <v>10413.630118567371</v>
      </c>
      <c r="G62" s="23">
        <f t="shared" si="40"/>
        <v>9983.5984192250035</v>
      </c>
      <c r="H62" s="23">
        <f t="shared" ref="H62:I62" si="41">(H28*$H$42)*$B$39</f>
        <v>9975.2798199413337</v>
      </c>
      <c r="I62" s="23">
        <f t="shared" si="41"/>
        <v>10020.025611474264</v>
      </c>
      <c r="J62" s="23">
        <f t="shared" ref="J62" si="42">(J28*$H$42)*$B$39</f>
        <v>10014.919230861984</v>
      </c>
      <c r="K62" s="23">
        <f>6681.88+426.43+763.15+1799.05</f>
        <v>9670.51</v>
      </c>
      <c r="L62" s="23">
        <f>6443.35+407.09+735.15+1735.58</f>
        <v>9321.17</v>
      </c>
      <c r="M62" s="23">
        <f>6398.15+401.66+737.37+1735.67</f>
        <v>9272.8499999999985</v>
      </c>
      <c r="N62" s="93">
        <f t="shared" si="26"/>
        <v>117140.81790941415</v>
      </c>
    </row>
    <row r="63" spans="1:27">
      <c r="A63" s="34" t="s">
        <v>54</v>
      </c>
      <c r="B63" s="42">
        <f>SUM(B56:B62)</f>
        <v>762818.20575034816</v>
      </c>
      <c r="C63" s="42">
        <f t="shared" ref="C63:M63" si="43">SUM(C56:C62)</f>
        <v>679100.83829142037</v>
      </c>
      <c r="D63" s="42">
        <f t="shared" si="43"/>
        <v>619689.10675918369</v>
      </c>
      <c r="E63" s="42">
        <f t="shared" si="43"/>
        <v>623154.43330015859</v>
      </c>
      <c r="F63" s="42">
        <f t="shared" si="43"/>
        <v>601224.65031364083</v>
      </c>
      <c r="G63" s="42">
        <f t="shared" si="43"/>
        <v>557359.19723503478</v>
      </c>
      <c r="H63" s="42">
        <f t="shared" si="43"/>
        <v>568063.24449412059</v>
      </c>
      <c r="I63" s="42">
        <f t="shared" si="43"/>
        <v>610837.51958757697</v>
      </c>
      <c r="J63" s="42">
        <f t="shared" si="43"/>
        <v>588924.63731138955</v>
      </c>
      <c r="K63" s="42">
        <f t="shared" si="43"/>
        <v>539118.56651279237</v>
      </c>
      <c r="L63" s="42">
        <f t="shared" si="43"/>
        <v>465423.26</v>
      </c>
      <c r="M63" s="42">
        <f t="shared" si="43"/>
        <v>732025.97766273364</v>
      </c>
      <c r="N63" s="94">
        <f t="shared" si="26"/>
        <v>7347739.6372183999</v>
      </c>
      <c r="O63" s="28"/>
      <c r="P63" s="28"/>
      <c r="Q63" s="28"/>
      <c r="R63" s="28"/>
      <c r="S63" s="28"/>
      <c r="T63" s="28"/>
      <c r="U63" s="28"/>
      <c r="V63" s="28"/>
      <c r="W63" s="28"/>
      <c r="X63" s="28"/>
      <c r="Y63" s="28"/>
      <c r="Z63" s="28"/>
      <c r="AA63" s="28"/>
    </row>
    <row r="64" spans="1:27">
      <c r="D64" s="3"/>
      <c r="E64" s="3"/>
      <c r="F64" s="3"/>
      <c r="G64" s="3"/>
      <c r="H64" s="3"/>
      <c r="I64" s="3"/>
      <c r="J64" s="3"/>
      <c r="K64" s="3"/>
      <c r="L64" s="3"/>
      <c r="M64" s="3"/>
      <c r="N64" s="75"/>
    </row>
    <row r="65" spans="1:27">
      <c r="A65" s="88" t="s">
        <v>33</v>
      </c>
      <c r="D65" s="3"/>
      <c r="E65" s="3"/>
      <c r="F65" s="3"/>
      <c r="G65" s="3"/>
      <c r="H65" s="3"/>
      <c r="I65" s="3"/>
      <c r="J65" s="3"/>
      <c r="K65" s="3"/>
      <c r="L65" s="3"/>
      <c r="M65" s="3"/>
      <c r="N65" s="75"/>
    </row>
    <row r="66" spans="1:27">
      <c r="A66" s="68" t="s">
        <v>55</v>
      </c>
      <c r="B66" s="64">
        <f t="shared" ref="B66:L66" si="44">(B56-B45)</f>
        <v>2840.0874692768557</v>
      </c>
      <c r="C66" s="64">
        <f t="shared" si="44"/>
        <v>3574.1309568006545</v>
      </c>
      <c r="D66" s="64">
        <f t="shared" si="44"/>
        <v>-2654.4135653845151</v>
      </c>
      <c r="E66" s="64">
        <f t="shared" si="44"/>
        <v>34449.251292386965</v>
      </c>
      <c r="F66" s="64">
        <f t="shared" si="44"/>
        <v>24677.229543106281</v>
      </c>
      <c r="G66" s="64">
        <f t="shared" si="44"/>
        <v>-2005.9059534331609</v>
      </c>
      <c r="H66" s="64">
        <f t="shared" si="44"/>
        <v>-17424.063778358774</v>
      </c>
      <c r="I66" s="64">
        <f t="shared" si="44"/>
        <v>110.28822315938305</v>
      </c>
      <c r="J66" s="64">
        <f t="shared" si="44"/>
        <v>-5491.7617033900751</v>
      </c>
      <c r="K66" s="64">
        <f t="shared" si="44"/>
        <v>-62295.580430853646</v>
      </c>
      <c r="L66" s="64">
        <f t="shared" si="44"/>
        <v>-78536.303256100917</v>
      </c>
      <c r="M66" s="64">
        <f t="shared" ref="M66" si="45">(M56-M45)</f>
        <v>-6224.1939437335241</v>
      </c>
      <c r="N66" s="64">
        <f>SUM(B66:M66)</f>
        <v>-108981.23514652447</v>
      </c>
    </row>
    <row r="67" spans="1:27">
      <c r="A67" s="68" t="s">
        <v>56</v>
      </c>
      <c r="B67" s="64">
        <f t="shared" ref="B67:C71" si="46">(B57-B46)</f>
        <v>-4989.9326475101989</v>
      </c>
      <c r="C67" s="64">
        <f t="shared" si="46"/>
        <v>-1876.2346718777408</v>
      </c>
      <c r="D67" s="64">
        <f t="shared" ref="D67:L67" si="47">(D57-D46)</f>
        <v>-5460.7456841488456</v>
      </c>
      <c r="E67" s="64">
        <f t="shared" si="47"/>
        <v>5254.6782951436471</v>
      </c>
      <c r="F67" s="64">
        <f t="shared" si="47"/>
        <v>2335.7676229695353</v>
      </c>
      <c r="G67" s="64">
        <f t="shared" si="47"/>
        <v>-4491.6328204872843</v>
      </c>
      <c r="H67" s="64">
        <f t="shared" si="47"/>
        <v>-9382.8671525481623</v>
      </c>
      <c r="I67" s="64">
        <f t="shared" si="47"/>
        <v>-1312.1090444028814</v>
      </c>
      <c r="J67" s="64">
        <f t="shared" si="47"/>
        <v>2226.7225643712154</v>
      </c>
      <c r="K67" s="64">
        <f t="shared" si="47"/>
        <v>-10900.090796102857</v>
      </c>
      <c r="L67" s="64">
        <f t="shared" si="47"/>
        <v>-10539.670828803937</v>
      </c>
      <c r="M67" s="64">
        <f t="shared" ref="M67" si="48">(M57-M46)</f>
        <v>-409.02687851038354</v>
      </c>
      <c r="N67" s="64">
        <f t="shared" ref="N67:N71" si="49">SUM(B67:M67)</f>
        <v>-39545.142041907893</v>
      </c>
    </row>
    <row r="68" spans="1:27">
      <c r="A68" s="68" t="s">
        <v>57</v>
      </c>
      <c r="B68" s="64">
        <f t="shared" si="46"/>
        <v>491.83792216292932</v>
      </c>
      <c r="C68" s="64">
        <f t="shared" si="46"/>
        <v>-2331.8324894685356</v>
      </c>
      <c r="D68" s="64">
        <f t="shared" ref="D68:L68" si="50">(D58-D47)</f>
        <v>-8944.6436987689958</v>
      </c>
      <c r="E68" s="64">
        <f t="shared" si="50"/>
        <v>6587.2213347964716</v>
      </c>
      <c r="F68" s="64">
        <f t="shared" si="50"/>
        <v>3527.8087020259409</v>
      </c>
      <c r="G68" s="64">
        <f t="shared" si="50"/>
        <v>-3305.6745909342135</v>
      </c>
      <c r="H68" s="64">
        <f t="shared" si="50"/>
        <v>-8540.2626614741457</v>
      </c>
      <c r="I68" s="64">
        <f t="shared" si="50"/>
        <v>-2719.9461692192708</v>
      </c>
      <c r="J68" s="64">
        <f t="shared" si="50"/>
        <v>3670.1577452330675</v>
      </c>
      <c r="K68" s="64">
        <f t="shared" si="50"/>
        <v>-7383.6560710795311</v>
      </c>
      <c r="L68" s="64">
        <f t="shared" si="50"/>
        <v>-8791.535678735876</v>
      </c>
      <c r="M68" s="64">
        <f t="shared" ref="M68" si="51">(M58-M47)</f>
        <v>4385.8050272727851</v>
      </c>
      <c r="N68" s="64">
        <f t="shared" si="49"/>
        <v>-23354.720628189374</v>
      </c>
    </row>
    <row r="69" spans="1:27">
      <c r="A69" s="68" t="s">
        <v>58</v>
      </c>
      <c r="B69" s="64">
        <f t="shared" si="46"/>
        <v>3261.7855797403608</v>
      </c>
      <c r="C69" s="64">
        <f t="shared" si="46"/>
        <v>3346.6262754862983</v>
      </c>
      <c r="D69" s="64">
        <f t="shared" ref="D69:L69" si="52">(D59-D48)</f>
        <v>-2591.4342467989991</v>
      </c>
      <c r="E69" s="64">
        <f t="shared" si="52"/>
        <v>1498.795065862636</v>
      </c>
      <c r="F69" s="64">
        <f t="shared" si="52"/>
        <v>-1058.7426335649507</v>
      </c>
      <c r="G69" s="64">
        <f t="shared" si="52"/>
        <v>-2219.9130823852101</v>
      </c>
      <c r="H69" s="64">
        <f t="shared" si="52"/>
        <v>378.3505903156838</v>
      </c>
      <c r="I69" s="64">
        <f t="shared" si="52"/>
        <v>-807.21835981825279</v>
      </c>
      <c r="J69" s="64">
        <f t="shared" si="52"/>
        <v>818.8726799834476</v>
      </c>
      <c r="K69" s="64">
        <f t="shared" si="52"/>
        <v>-2142.6855425959511</v>
      </c>
      <c r="L69" s="64">
        <f t="shared" si="52"/>
        <v>-1403.0951086863715</v>
      </c>
      <c r="M69" s="64">
        <f t="shared" ref="M69" si="53">(M59-M48)</f>
        <v>-4502.6675019365794</v>
      </c>
      <c r="N69" s="64">
        <f t="shared" si="49"/>
        <v>-5421.3262843978882</v>
      </c>
    </row>
    <row r="70" spans="1:27">
      <c r="A70" s="68" t="s">
        <v>59</v>
      </c>
      <c r="B70" s="64">
        <f t="shared" si="46"/>
        <v>-94.728883909076103</v>
      </c>
      <c r="C70" s="64">
        <f t="shared" si="46"/>
        <v>1836.6914151567471</v>
      </c>
      <c r="D70" s="64">
        <f t="shared" ref="D70:L70" si="54">(D60-D49)</f>
        <v>-26329.306844443243</v>
      </c>
      <c r="E70" s="64">
        <f t="shared" si="54"/>
        <v>-3646.7955338189931</v>
      </c>
      <c r="F70" s="64">
        <f t="shared" si="54"/>
        <v>768.51689030024863</v>
      </c>
      <c r="G70" s="64">
        <f t="shared" si="54"/>
        <v>706.49716634946526</v>
      </c>
      <c r="H70" s="64">
        <f t="shared" si="54"/>
        <v>1139.4616417968064</v>
      </c>
      <c r="I70" s="64">
        <f t="shared" si="54"/>
        <v>4547.9999291963031</v>
      </c>
      <c r="J70" s="64">
        <f t="shared" si="54"/>
        <v>12339.34420287711</v>
      </c>
      <c r="K70" s="64">
        <f t="shared" si="54"/>
        <v>-1209.4212591015093</v>
      </c>
      <c r="L70" s="64">
        <f t="shared" si="54"/>
        <v>-106888.91080089919</v>
      </c>
      <c r="M70" s="64">
        <f t="shared" ref="M70" si="55">(M60-M49)</f>
        <v>547.47561591950944</v>
      </c>
      <c r="N70" s="64">
        <f t="shared" si="49"/>
        <v>-116283.17646057582</v>
      </c>
    </row>
    <row r="71" spans="1:27">
      <c r="A71" s="68" t="s">
        <v>53</v>
      </c>
      <c r="B71" s="64">
        <f t="shared" si="46"/>
        <v>-1057.7085210663008</v>
      </c>
      <c r="C71" s="64">
        <f t="shared" si="46"/>
        <v>-719.75040847047057</v>
      </c>
      <c r="D71" s="64">
        <f t="shared" ref="D71:L71" si="56">(D61-D50)</f>
        <v>-1551.9042764337528</v>
      </c>
      <c r="E71" s="64">
        <f t="shared" si="56"/>
        <v>-794.19561651650929</v>
      </c>
      <c r="F71" s="64">
        <f t="shared" si="56"/>
        <v>-3108.6702975694589</v>
      </c>
      <c r="G71" s="64">
        <f t="shared" si="56"/>
        <v>-6853.6816285932291</v>
      </c>
      <c r="H71" s="64">
        <f t="shared" si="56"/>
        <v>-9708.1623721750693</v>
      </c>
      <c r="I71" s="64">
        <f t="shared" si="56"/>
        <v>-2612.4549362585822</v>
      </c>
      <c r="J71" s="64">
        <f t="shared" si="56"/>
        <v>2510.9109860123317</v>
      </c>
      <c r="K71" s="64">
        <f t="shared" si="56"/>
        <v>-201.18555680252211</v>
      </c>
      <c r="L71" s="64">
        <f t="shared" si="56"/>
        <v>-1017.481034310721</v>
      </c>
      <c r="M71" s="64">
        <f t="shared" ref="M71" si="57">(M61-M50)</f>
        <v>-805.37827706335702</v>
      </c>
      <c r="N71" s="64">
        <f t="shared" si="49"/>
        <v>-25919.661939247642</v>
      </c>
    </row>
    <row r="72" spans="1:27">
      <c r="A72" s="83" t="s">
        <v>48</v>
      </c>
      <c r="B72" s="65">
        <f t="shared" ref="B72:N72" si="58">SUM(B66:B71)</f>
        <v>451.34091869457006</v>
      </c>
      <c r="C72" s="65">
        <f t="shared" si="58"/>
        <v>3829.6310776269529</v>
      </c>
      <c r="D72" s="65">
        <f t="shared" si="58"/>
        <v>-47532.448315978349</v>
      </c>
      <c r="E72" s="65">
        <f t="shared" si="58"/>
        <v>43348.954837854217</v>
      </c>
      <c r="F72" s="65">
        <f t="shared" si="58"/>
        <v>27141.909827267598</v>
      </c>
      <c r="G72" s="65">
        <f t="shared" si="58"/>
        <v>-18170.310909483633</v>
      </c>
      <c r="H72" s="65">
        <f t="shared" si="58"/>
        <v>-43537.543732443664</v>
      </c>
      <c r="I72" s="65">
        <f t="shared" si="58"/>
        <v>-2793.440357343301</v>
      </c>
      <c r="J72" s="65">
        <f t="shared" si="58"/>
        <v>16074.246475087097</v>
      </c>
      <c r="K72" s="65">
        <f t="shared" si="58"/>
        <v>-84132.619656536015</v>
      </c>
      <c r="L72" s="65">
        <f t="shared" si="58"/>
        <v>-207176.99670753698</v>
      </c>
      <c r="M72" s="65">
        <f t="shared" si="58"/>
        <v>-7007.9859580515495</v>
      </c>
      <c r="N72" s="65">
        <f t="shared" si="58"/>
        <v>-319505.26250084309</v>
      </c>
      <c r="O72" s="28"/>
      <c r="P72" s="28"/>
      <c r="Q72" s="28"/>
      <c r="R72" s="28"/>
      <c r="S72" s="28"/>
      <c r="T72" s="28"/>
      <c r="U72" s="28"/>
      <c r="V72" s="28"/>
      <c r="W72" s="28"/>
      <c r="X72" s="28"/>
      <c r="Y72" s="28"/>
      <c r="Z72" s="28"/>
      <c r="AA72" s="28"/>
    </row>
    <row r="73" spans="1:27">
      <c r="A73" s="5"/>
      <c r="D73" s="3"/>
      <c r="E73" s="3"/>
      <c r="F73" s="3"/>
      <c r="G73" s="3"/>
      <c r="H73" s="3"/>
      <c r="I73" s="3"/>
      <c r="J73" s="3"/>
      <c r="K73" s="3"/>
      <c r="L73" s="3"/>
      <c r="M73" s="3"/>
      <c r="N73" s="75"/>
    </row>
    <row r="74" spans="1:27">
      <c r="A74" s="84" t="s">
        <v>26</v>
      </c>
      <c r="B74" s="63"/>
      <c r="C74" s="63"/>
      <c r="D74" s="63"/>
      <c r="E74" s="63"/>
      <c r="F74" s="63"/>
      <c r="G74" s="63"/>
      <c r="H74" s="63"/>
      <c r="I74" s="63"/>
      <c r="J74" s="63"/>
      <c r="K74" s="63"/>
      <c r="L74" s="63"/>
      <c r="M74" s="63"/>
      <c r="N74" s="69"/>
    </row>
    <row r="75" spans="1:27" ht="29.25" customHeight="1">
      <c r="A75" s="144" t="s">
        <v>106</v>
      </c>
      <c r="B75" s="144"/>
      <c r="C75" s="144"/>
      <c r="D75" s="144"/>
      <c r="E75" s="144"/>
      <c r="F75" s="144"/>
      <c r="G75" s="144"/>
      <c r="H75" s="144"/>
      <c r="I75" s="144"/>
      <c r="J75" s="144"/>
      <c r="K75" s="144"/>
      <c r="L75" s="144"/>
      <c r="M75" s="144"/>
      <c r="N75" s="144"/>
    </row>
    <row r="76" spans="1:27" ht="30.75" customHeight="1">
      <c r="A76" s="144" t="s">
        <v>107</v>
      </c>
      <c r="B76" s="144"/>
      <c r="C76" s="144"/>
      <c r="D76" s="144"/>
      <c r="E76" s="144"/>
      <c r="F76" s="144"/>
      <c r="G76" s="144"/>
      <c r="H76" s="144"/>
      <c r="I76" s="144"/>
      <c r="J76" s="144"/>
      <c r="K76" s="144"/>
      <c r="L76" s="144"/>
      <c r="M76" s="144"/>
      <c r="N76" s="144"/>
    </row>
    <row r="77" spans="1:27" ht="29.25" customHeight="1">
      <c r="A77" s="144" t="s">
        <v>159</v>
      </c>
      <c r="B77" s="144"/>
      <c r="C77" s="144"/>
      <c r="D77" s="144"/>
      <c r="E77" s="144"/>
      <c r="F77" s="144"/>
      <c r="G77" s="144"/>
      <c r="H77" s="144"/>
      <c r="I77" s="144"/>
      <c r="J77" s="144"/>
      <c r="K77" s="144"/>
      <c r="L77" s="144"/>
      <c r="M77" s="144"/>
      <c r="N77" s="144"/>
    </row>
    <row r="78" spans="1:27">
      <c r="A78" s="144" t="s">
        <v>165</v>
      </c>
      <c r="B78" s="144"/>
      <c r="C78" s="144"/>
      <c r="D78" s="144"/>
      <c r="E78" s="144"/>
      <c r="F78" s="144"/>
      <c r="G78" s="144"/>
      <c r="H78" s="144"/>
      <c r="I78" s="144"/>
      <c r="J78" s="144"/>
      <c r="K78" s="144"/>
      <c r="L78" s="144"/>
      <c r="M78" s="144"/>
      <c r="N78" s="144"/>
    </row>
    <row r="79" spans="1:27">
      <c r="A79" s="144" t="s">
        <v>183</v>
      </c>
      <c r="B79" s="144"/>
      <c r="C79" s="144"/>
      <c r="D79" s="144"/>
      <c r="E79" s="144"/>
      <c r="F79" s="144"/>
      <c r="G79" s="144"/>
      <c r="H79" s="144"/>
      <c r="I79" s="144"/>
      <c r="J79" s="144"/>
      <c r="K79" s="144"/>
      <c r="L79" s="144"/>
      <c r="M79" s="144"/>
      <c r="N79" s="144"/>
    </row>
    <row r="80" spans="1:27">
      <c r="A80" s="144" t="s">
        <v>195</v>
      </c>
      <c r="B80" s="144"/>
      <c r="C80" s="144"/>
      <c r="D80" s="144"/>
      <c r="E80" s="144"/>
      <c r="F80" s="144"/>
      <c r="G80" s="144"/>
      <c r="H80" s="144"/>
      <c r="I80" s="144"/>
      <c r="J80" s="144"/>
      <c r="K80" s="144"/>
      <c r="L80" s="144"/>
      <c r="M80" s="144"/>
      <c r="N80" s="144"/>
    </row>
    <row r="81" spans="1:14">
      <c r="A81" s="144" t="s">
        <v>202</v>
      </c>
      <c r="B81" s="144"/>
      <c r="C81" s="144"/>
      <c r="D81" s="144"/>
      <c r="E81" s="144"/>
      <c r="F81" s="144"/>
      <c r="G81" s="144"/>
      <c r="H81" s="144"/>
      <c r="I81" s="144"/>
      <c r="J81" s="144"/>
      <c r="K81" s="144"/>
      <c r="L81" s="144"/>
      <c r="M81" s="144"/>
      <c r="N81" s="144"/>
    </row>
    <row r="82" spans="1:14" ht="30.75" customHeight="1">
      <c r="A82" s="144" t="s">
        <v>236</v>
      </c>
      <c r="B82" s="144"/>
      <c r="C82" s="144"/>
      <c r="D82" s="144"/>
      <c r="E82" s="144"/>
      <c r="F82" s="144"/>
      <c r="G82" s="144"/>
      <c r="H82" s="144"/>
      <c r="I82" s="144"/>
      <c r="J82" s="144"/>
      <c r="K82" s="144"/>
      <c r="L82" s="144"/>
      <c r="M82" s="144"/>
      <c r="N82" s="144"/>
    </row>
    <row r="83" spans="1:14" ht="29.25" customHeight="1">
      <c r="A83" s="144" t="s">
        <v>237</v>
      </c>
      <c r="B83" s="144"/>
      <c r="C83" s="144"/>
      <c r="D83" s="144"/>
      <c r="E83" s="144"/>
      <c r="F83" s="144"/>
      <c r="G83" s="144"/>
      <c r="H83" s="144"/>
      <c r="I83" s="144"/>
      <c r="J83" s="144"/>
      <c r="K83" s="144"/>
      <c r="L83" s="144"/>
      <c r="M83" s="144"/>
      <c r="N83" s="144"/>
    </row>
    <row r="84" spans="1:14">
      <c r="A84" s="150" t="s">
        <v>255</v>
      </c>
      <c r="B84" s="150"/>
      <c r="C84" s="150"/>
      <c r="D84" s="150"/>
      <c r="E84" s="150"/>
      <c r="F84" s="150"/>
      <c r="G84" s="150"/>
      <c r="H84" s="150"/>
      <c r="I84" s="150"/>
      <c r="J84" s="150"/>
      <c r="K84" s="150"/>
      <c r="L84" s="150"/>
      <c r="M84" s="150"/>
      <c r="N84" s="150"/>
    </row>
    <row r="85" spans="1:14">
      <c r="A85" s="150" t="s">
        <v>263</v>
      </c>
      <c r="B85" s="150"/>
      <c r="C85" s="150"/>
      <c r="D85" s="150"/>
      <c r="E85" s="150"/>
      <c r="F85" s="150"/>
      <c r="G85" s="150"/>
      <c r="H85" s="150"/>
      <c r="I85" s="150"/>
      <c r="J85" s="150"/>
      <c r="K85" s="150"/>
      <c r="L85" s="150"/>
      <c r="M85" s="150"/>
      <c r="N85" s="150"/>
    </row>
    <row r="86" spans="1:14">
      <c r="A86" s="5"/>
      <c r="D86" s="3"/>
      <c r="E86" s="3"/>
      <c r="F86" s="3"/>
      <c r="G86" s="3"/>
      <c r="H86" s="3"/>
      <c r="I86" s="3"/>
      <c r="J86" s="3"/>
      <c r="K86" s="3"/>
      <c r="L86" s="3"/>
      <c r="M86" s="3"/>
      <c r="N86" s="75"/>
    </row>
    <row r="87" spans="1:14">
      <c r="A87" s="5"/>
      <c r="D87" s="3"/>
      <c r="E87" s="3"/>
      <c r="F87" s="3"/>
      <c r="G87" s="3"/>
      <c r="H87" s="3"/>
      <c r="I87" s="3"/>
      <c r="J87" s="3"/>
      <c r="K87" s="3"/>
      <c r="L87" s="3"/>
      <c r="M87" s="3"/>
      <c r="N87" s="75"/>
    </row>
    <row r="88" spans="1:14">
      <c r="A88" s="5"/>
      <c r="D88" s="3"/>
      <c r="E88" s="3"/>
      <c r="F88" s="3"/>
      <c r="G88" s="3"/>
      <c r="H88" s="3"/>
      <c r="I88" s="3"/>
      <c r="J88" s="3"/>
      <c r="K88" s="3"/>
      <c r="L88" s="3"/>
      <c r="M88" s="3"/>
      <c r="N88" s="75"/>
    </row>
    <row r="89" spans="1:14">
      <c r="A89" s="5"/>
      <c r="D89" s="3"/>
      <c r="E89" s="3"/>
      <c r="F89" s="3"/>
      <c r="G89" s="3"/>
      <c r="H89" s="3"/>
      <c r="I89" s="3"/>
      <c r="J89" s="3"/>
      <c r="K89" s="3"/>
      <c r="L89" s="3"/>
      <c r="M89" s="3"/>
      <c r="N89" s="75"/>
    </row>
    <row r="90" spans="1:14">
      <c r="A90" s="5"/>
      <c r="D90" s="3"/>
      <c r="E90" s="3"/>
      <c r="F90" s="3"/>
      <c r="G90" s="3"/>
      <c r="H90" s="3"/>
      <c r="I90" s="3"/>
      <c r="J90" s="3"/>
      <c r="K90" s="3"/>
      <c r="L90" s="3"/>
      <c r="M90" s="3"/>
      <c r="N90" s="75"/>
    </row>
    <row r="91" spans="1:14">
      <c r="A91" s="5"/>
      <c r="D91" s="3"/>
      <c r="E91" s="3"/>
      <c r="F91" s="3"/>
      <c r="G91" s="3"/>
      <c r="H91" s="3"/>
      <c r="I91" s="3"/>
      <c r="J91" s="3"/>
      <c r="K91" s="3"/>
      <c r="L91" s="3"/>
      <c r="M91" s="3"/>
      <c r="N91" s="75"/>
    </row>
    <row r="92" spans="1:14">
      <c r="A92" s="5"/>
      <c r="D92" s="3"/>
      <c r="E92" s="3"/>
      <c r="F92" s="3"/>
      <c r="G92" s="3"/>
      <c r="H92" s="3"/>
      <c r="I92" s="3"/>
      <c r="J92" s="3"/>
      <c r="K92" s="3"/>
      <c r="L92" s="3"/>
      <c r="M92" s="3"/>
      <c r="N92" s="75"/>
    </row>
    <row r="93" spans="1:14">
      <c r="A93" s="5"/>
      <c r="D93" s="3"/>
      <c r="E93" s="3"/>
      <c r="F93" s="3"/>
      <c r="G93" s="3"/>
      <c r="H93" s="3"/>
      <c r="I93" s="3"/>
      <c r="J93" s="3"/>
      <c r="K93" s="3"/>
      <c r="L93" s="3"/>
      <c r="M93" s="3"/>
      <c r="N93" s="75"/>
    </row>
    <row r="94" spans="1:14">
      <c r="A94" s="5"/>
      <c r="D94" s="3"/>
      <c r="E94" s="3"/>
      <c r="F94" s="3"/>
      <c r="G94" s="3"/>
      <c r="H94" s="3"/>
      <c r="I94" s="3"/>
      <c r="J94" s="3"/>
      <c r="K94" s="3"/>
      <c r="L94" s="3"/>
      <c r="M94" s="3"/>
      <c r="N94" s="75"/>
    </row>
    <row r="95" spans="1:14">
      <c r="A95" s="5"/>
      <c r="D95" s="3"/>
      <c r="E95" s="3"/>
      <c r="F95" s="3"/>
      <c r="G95" s="3"/>
      <c r="H95" s="3"/>
      <c r="I95" s="3"/>
      <c r="J95" s="3"/>
      <c r="K95" s="3"/>
      <c r="L95" s="3"/>
      <c r="M95" s="3"/>
      <c r="N95" s="75"/>
    </row>
    <row r="96" spans="1:14">
      <c r="A96" s="5"/>
      <c r="D96" s="3"/>
      <c r="E96" s="3"/>
      <c r="F96" s="3"/>
      <c r="G96" s="3"/>
      <c r="H96" s="3"/>
      <c r="I96" s="3"/>
      <c r="J96" s="3"/>
      <c r="K96" s="3"/>
      <c r="L96" s="3"/>
      <c r="M96" s="3"/>
      <c r="N96" s="75"/>
    </row>
    <row r="97" spans="1:14">
      <c r="A97" s="5"/>
      <c r="D97" s="3"/>
      <c r="E97" s="3"/>
      <c r="F97" s="3"/>
      <c r="G97" s="3"/>
      <c r="H97" s="3"/>
      <c r="I97" s="3"/>
      <c r="J97" s="3"/>
      <c r="K97" s="3"/>
      <c r="L97" s="3"/>
      <c r="M97" s="3"/>
      <c r="N97" s="75"/>
    </row>
    <row r="98" spans="1:14">
      <c r="A98" s="5"/>
      <c r="D98" s="3"/>
      <c r="E98" s="3"/>
      <c r="F98" s="3"/>
      <c r="G98" s="3"/>
      <c r="H98" s="3"/>
      <c r="I98" s="3"/>
      <c r="J98" s="3"/>
      <c r="K98" s="3"/>
      <c r="L98" s="3"/>
      <c r="M98" s="3"/>
      <c r="N98" s="75"/>
    </row>
    <row r="99" spans="1:14">
      <c r="A99" s="5"/>
      <c r="D99" s="3"/>
      <c r="E99" s="3"/>
      <c r="F99" s="3"/>
      <c r="G99" s="3"/>
      <c r="H99" s="3"/>
      <c r="I99" s="3"/>
      <c r="J99" s="3"/>
      <c r="K99" s="3"/>
      <c r="L99" s="3"/>
      <c r="M99" s="3"/>
      <c r="N99" s="75"/>
    </row>
    <row r="100" spans="1:14">
      <c r="A100" s="5"/>
      <c r="D100" s="3"/>
      <c r="E100" s="3"/>
      <c r="F100" s="3"/>
      <c r="G100" s="3"/>
      <c r="H100" s="3"/>
      <c r="I100" s="3"/>
      <c r="J100" s="3"/>
      <c r="K100" s="3"/>
      <c r="L100" s="3"/>
      <c r="M100" s="3"/>
      <c r="N100" s="75"/>
    </row>
    <row r="101" spans="1:14">
      <c r="A101" s="5"/>
      <c r="D101" s="3"/>
      <c r="E101" s="3"/>
      <c r="F101" s="3"/>
      <c r="G101" s="3"/>
      <c r="H101" s="3"/>
      <c r="I101" s="3"/>
      <c r="J101" s="3"/>
      <c r="K101" s="3"/>
      <c r="L101" s="3"/>
      <c r="M101" s="3"/>
      <c r="N101" s="75"/>
    </row>
    <row r="102" spans="1:14">
      <c r="A102" s="5"/>
      <c r="D102" s="3"/>
      <c r="E102" s="3"/>
      <c r="F102" s="3"/>
      <c r="G102" s="3"/>
      <c r="H102" s="3"/>
      <c r="I102" s="3"/>
      <c r="J102" s="3"/>
      <c r="K102" s="3"/>
      <c r="L102" s="3"/>
      <c r="M102" s="3"/>
      <c r="N102" s="75"/>
    </row>
    <row r="103" spans="1:14">
      <c r="A103" s="5"/>
      <c r="D103" s="3"/>
      <c r="E103" s="3"/>
      <c r="F103" s="3"/>
      <c r="G103" s="3"/>
      <c r="H103" s="3"/>
      <c r="I103" s="3"/>
      <c r="J103" s="3"/>
      <c r="K103" s="3"/>
      <c r="L103" s="3"/>
      <c r="M103" s="3"/>
      <c r="N103" s="75"/>
    </row>
    <row r="104" spans="1:14">
      <c r="A104" s="5"/>
      <c r="D104" s="3"/>
      <c r="E104" s="3"/>
      <c r="F104" s="3"/>
      <c r="G104" s="3"/>
      <c r="H104" s="3"/>
      <c r="I104" s="3"/>
      <c r="J104" s="3"/>
      <c r="K104" s="3"/>
      <c r="L104" s="3"/>
      <c r="M104" s="3"/>
      <c r="N104" s="75"/>
    </row>
    <row r="105" spans="1:14">
      <c r="A105" s="5"/>
      <c r="D105" s="3"/>
      <c r="E105" s="3"/>
      <c r="F105" s="3"/>
      <c r="G105" s="3"/>
      <c r="H105" s="3"/>
      <c r="I105" s="3"/>
      <c r="J105" s="3"/>
      <c r="K105" s="3"/>
      <c r="L105" s="3"/>
      <c r="M105" s="3"/>
      <c r="N105" s="75"/>
    </row>
    <row r="106" spans="1:14">
      <c r="A106" s="5"/>
      <c r="D106" s="3"/>
      <c r="E106" s="3"/>
      <c r="F106" s="3"/>
      <c r="G106" s="3"/>
      <c r="H106" s="3"/>
      <c r="I106" s="3"/>
      <c r="J106" s="3"/>
      <c r="K106" s="3"/>
      <c r="L106" s="3"/>
      <c r="M106" s="3"/>
      <c r="N106" s="75"/>
    </row>
    <row r="107" spans="1:14">
      <c r="A107" s="5"/>
      <c r="D107" s="3"/>
      <c r="E107" s="3"/>
      <c r="F107" s="3"/>
      <c r="G107" s="3"/>
      <c r="H107" s="3"/>
      <c r="I107" s="3"/>
      <c r="J107" s="3"/>
      <c r="K107" s="3"/>
      <c r="L107" s="3"/>
      <c r="M107" s="3"/>
      <c r="N107" s="75"/>
    </row>
    <row r="108" spans="1:14">
      <c r="A108" s="5"/>
      <c r="D108" s="3"/>
      <c r="E108" s="3"/>
      <c r="F108" s="3"/>
      <c r="G108" s="3"/>
      <c r="H108" s="3"/>
      <c r="I108" s="3"/>
      <c r="J108" s="3"/>
      <c r="K108" s="3"/>
      <c r="L108" s="3"/>
      <c r="M108" s="3"/>
      <c r="N108" s="75"/>
    </row>
    <row r="109" spans="1:14">
      <c r="A109" s="5"/>
      <c r="D109" s="3"/>
      <c r="E109" s="3"/>
      <c r="F109" s="3"/>
      <c r="G109" s="3"/>
      <c r="H109" s="3"/>
      <c r="I109" s="3"/>
      <c r="J109" s="3"/>
      <c r="K109" s="3"/>
      <c r="L109" s="3"/>
      <c r="M109" s="3"/>
      <c r="N109" s="75"/>
    </row>
    <row r="110" spans="1:14">
      <c r="A110" s="5"/>
      <c r="D110" s="3"/>
      <c r="E110" s="3"/>
      <c r="F110" s="3"/>
      <c r="G110" s="3"/>
      <c r="H110" s="3"/>
      <c r="I110" s="3"/>
      <c r="J110" s="3"/>
      <c r="K110" s="3"/>
      <c r="L110" s="3"/>
      <c r="M110" s="3"/>
      <c r="N110" s="75"/>
    </row>
    <row r="111" spans="1:14">
      <c r="A111" s="5"/>
      <c r="D111" s="3"/>
      <c r="E111" s="3"/>
      <c r="F111" s="3"/>
      <c r="G111" s="3"/>
      <c r="H111" s="3"/>
      <c r="I111" s="3"/>
      <c r="J111" s="3"/>
      <c r="K111" s="3"/>
      <c r="L111" s="3"/>
      <c r="M111" s="3"/>
      <c r="N111" s="75"/>
    </row>
    <row r="112" spans="1:14">
      <c r="A112" s="5"/>
      <c r="D112" s="3"/>
      <c r="E112" s="3"/>
      <c r="F112" s="3"/>
      <c r="G112" s="3"/>
      <c r="H112" s="3"/>
      <c r="I112" s="3"/>
      <c r="J112" s="3"/>
      <c r="K112" s="3"/>
      <c r="L112" s="3"/>
      <c r="M112" s="3"/>
      <c r="N112" s="75"/>
    </row>
    <row r="113" spans="1:14">
      <c r="A113" s="5"/>
      <c r="D113" s="3"/>
      <c r="E113" s="3"/>
      <c r="F113" s="3"/>
      <c r="G113" s="3"/>
      <c r="H113" s="3"/>
      <c r="I113" s="3"/>
      <c r="J113" s="3"/>
      <c r="K113" s="3"/>
      <c r="L113" s="3"/>
      <c r="M113" s="3"/>
      <c r="N113" s="75"/>
    </row>
    <row r="114" spans="1:14">
      <c r="A114" s="5"/>
      <c r="D114" s="3"/>
      <c r="E114" s="3"/>
      <c r="F114" s="3"/>
      <c r="G114" s="3"/>
      <c r="H114" s="3"/>
      <c r="I114" s="3"/>
      <c r="J114" s="3"/>
      <c r="K114" s="3"/>
      <c r="L114" s="3"/>
      <c r="M114" s="3"/>
      <c r="N114" s="75"/>
    </row>
    <row r="115" spans="1:14">
      <c r="A115" s="5"/>
      <c r="D115" s="3"/>
      <c r="E115" s="3"/>
      <c r="F115" s="3"/>
      <c r="G115" s="3"/>
      <c r="H115" s="3"/>
      <c r="I115" s="3"/>
      <c r="J115" s="3"/>
      <c r="K115" s="3"/>
      <c r="L115" s="3"/>
      <c r="M115" s="3"/>
      <c r="N115" s="75"/>
    </row>
    <row r="116" spans="1:14">
      <c r="A116" s="5"/>
      <c r="D116" s="3"/>
      <c r="E116" s="3"/>
      <c r="F116" s="3"/>
      <c r="G116" s="3"/>
      <c r="H116" s="3"/>
      <c r="I116" s="3"/>
      <c r="J116" s="3"/>
      <c r="K116" s="3"/>
      <c r="L116" s="3"/>
      <c r="M116" s="3"/>
      <c r="N116" s="75"/>
    </row>
    <row r="117" spans="1:14">
      <c r="A117" s="5"/>
      <c r="D117" s="3"/>
      <c r="E117" s="3"/>
      <c r="F117" s="3"/>
      <c r="G117" s="3"/>
      <c r="H117" s="3"/>
      <c r="I117" s="3"/>
      <c r="J117" s="3"/>
      <c r="K117" s="3"/>
      <c r="L117" s="3"/>
      <c r="M117" s="3"/>
      <c r="N117" s="75"/>
    </row>
    <row r="118" spans="1:14">
      <c r="A118" s="5"/>
      <c r="D118" s="3"/>
      <c r="E118" s="3"/>
      <c r="F118" s="3"/>
      <c r="G118" s="3"/>
      <c r="H118" s="3"/>
      <c r="I118" s="3"/>
      <c r="J118" s="3"/>
      <c r="K118" s="3"/>
      <c r="L118" s="3"/>
      <c r="M118" s="3"/>
      <c r="N118" s="75"/>
    </row>
    <row r="119" spans="1:14">
      <c r="A119" s="5"/>
      <c r="D119" s="3"/>
      <c r="E119" s="3"/>
      <c r="F119" s="3"/>
      <c r="G119" s="3"/>
      <c r="H119" s="3"/>
      <c r="I119" s="3"/>
      <c r="J119" s="3"/>
      <c r="K119" s="3"/>
      <c r="L119" s="3"/>
      <c r="M119" s="3"/>
      <c r="N119" s="75"/>
    </row>
    <row r="120" spans="1:14">
      <c r="A120" s="5"/>
      <c r="D120" s="3"/>
      <c r="E120" s="3"/>
      <c r="F120" s="3"/>
      <c r="G120" s="3"/>
      <c r="H120" s="3"/>
      <c r="I120" s="3"/>
      <c r="J120" s="3"/>
      <c r="K120" s="3"/>
      <c r="L120" s="3"/>
      <c r="M120" s="3"/>
      <c r="N120" s="75"/>
    </row>
    <row r="121" spans="1:14">
      <c r="A121" s="5"/>
      <c r="D121" s="3"/>
      <c r="E121" s="3"/>
      <c r="F121" s="3"/>
      <c r="G121" s="3"/>
      <c r="H121" s="3"/>
      <c r="I121" s="3"/>
      <c r="J121" s="3"/>
      <c r="K121" s="3"/>
      <c r="L121" s="3"/>
      <c r="M121" s="3"/>
      <c r="N121" s="75"/>
    </row>
    <row r="122" spans="1:14">
      <c r="A122" s="5"/>
      <c r="D122" s="3"/>
      <c r="E122" s="3"/>
      <c r="F122" s="3"/>
      <c r="G122" s="3"/>
      <c r="H122" s="3"/>
      <c r="I122" s="3"/>
      <c r="J122" s="3"/>
      <c r="K122" s="3"/>
      <c r="L122" s="3"/>
      <c r="M122" s="3"/>
      <c r="N122" s="75"/>
    </row>
    <row r="123" spans="1:14">
      <c r="A123" s="5"/>
      <c r="D123" s="3"/>
      <c r="E123" s="3"/>
      <c r="F123" s="3"/>
      <c r="G123" s="3"/>
      <c r="H123" s="3"/>
      <c r="I123" s="3"/>
      <c r="J123" s="3"/>
      <c r="K123" s="3"/>
      <c r="L123" s="3"/>
      <c r="M123" s="3"/>
      <c r="N123" s="75"/>
    </row>
    <row r="124" spans="1:14">
      <c r="A124" s="5"/>
      <c r="D124" s="3"/>
      <c r="E124" s="3"/>
      <c r="F124" s="3"/>
      <c r="G124" s="3"/>
      <c r="H124" s="3"/>
      <c r="I124" s="3"/>
      <c r="J124" s="3"/>
      <c r="K124" s="3"/>
      <c r="L124" s="3"/>
      <c r="M124" s="3"/>
      <c r="N124" s="75"/>
    </row>
    <row r="125" spans="1:14">
      <c r="A125" s="5"/>
      <c r="D125" s="3"/>
      <c r="E125" s="3"/>
      <c r="F125" s="3"/>
      <c r="G125" s="3"/>
      <c r="H125" s="3"/>
      <c r="I125" s="3"/>
      <c r="J125" s="3"/>
      <c r="K125" s="3"/>
      <c r="L125" s="3"/>
      <c r="M125" s="3"/>
      <c r="N125" s="75"/>
    </row>
    <row r="126" spans="1:14">
      <c r="A126" s="5"/>
      <c r="D126" s="3"/>
      <c r="E126" s="3"/>
      <c r="F126" s="3"/>
      <c r="G126" s="3"/>
      <c r="H126" s="3"/>
      <c r="I126" s="3"/>
      <c r="J126" s="3"/>
      <c r="K126" s="3"/>
      <c r="L126" s="3"/>
      <c r="M126" s="3"/>
      <c r="N126" s="75"/>
    </row>
    <row r="127" spans="1:14">
      <c r="A127" s="5"/>
      <c r="D127" s="3"/>
      <c r="E127" s="3"/>
      <c r="F127" s="3"/>
      <c r="G127" s="3"/>
      <c r="H127" s="3"/>
      <c r="I127" s="3"/>
      <c r="J127" s="3"/>
      <c r="K127" s="3"/>
      <c r="L127" s="3"/>
      <c r="M127" s="3"/>
      <c r="N127" s="75"/>
    </row>
    <row r="128" spans="1:14">
      <c r="A128" s="5"/>
      <c r="D128" s="3"/>
      <c r="E128" s="3"/>
      <c r="F128" s="3"/>
      <c r="G128" s="3"/>
      <c r="H128" s="3"/>
      <c r="I128" s="3"/>
      <c r="J128" s="3"/>
      <c r="K128" s="3"/>
      <c r="L128" s="3"/>
      <c r="M128" s="3"/>
      <c r="N128" s="75"/>
    </row>
    <row r="129" spans="1:14">
      <c r="A129" s="5"/>
      <c r="D129" s="3"/>
      <c r="E129" s="3"/>
      <c r="F129" s="3"/>
      <c r="G129" s="3"/>
      <c r="H129" s="3"/>
      <c r="I129" s="3"/>
      <c r="J129" s="3"/>
      <c r="K129" s="3"/>
      <c r="L129" s="3"/>
      <c r="M129" s="3"/>
      <c r="N129" s="75"/>
    </row>
    <row r="130" spans="1:14">
      <c r="A130" s="5"/>
      <c r="D130" s="3"/>
      <c r="E130" s="3"/>
      <c r="F130" s="3"/>
      <c r="G130" s="3"/>
      <c r="H130" s="3"/>
      <c r="I130" s="3"/>
      <c r="J130" s="3"/>
      <c r="K130" s="3"/>
      <c r="L130" s="3"/>
      <c r="M130" s="3"/>
      <c r="N130" s="75"/>
    </row>
    <row r="131" spans="1:14">
      <c r="A131" s="5"/>
      <c r="D131" s="3"/>
      <c r="E131" s="3"/>
      <c r="F131" s="3"/>
      <c r="G131" s="3"/>
      <c r="H131" s="3"/>
      <c r="I131" s="3"/>
      <c r="J131" s="3"/>
      <c r="K131" s="3"/>
      <c r="L131" s="3"/>
      <c r="M131" s="3"/>
      <c r="N131" s="75"/>
    </row>
    <row r="132" spans="1:14">
      <c r="A132" s="5"/>
      <c r="D132" s="3"/>
      <c r="E132" s="3"/>
      <c r="F132" s="3"/>
      <c r="G132" s="3"/>
      <c r="H132" s="3"/>
      <c r="I132" s="3"/>
      <c r="J132" s="3"/>
      <c r="K132" s="3"/>
      <c r="L132" s="3"/>
      <c r="M132" s="3"/>
      <c r="N132" s="75"/>
    </row>
    <row r="133" spans="1:14">
      <c r="A133" s="5"/>
      <c r="D133" s="3"/>
      <c r="E133" s="3"/>
      <c r="F133" s="3"/>
      <c r="G133" s="3"/>
      <c r="H133" s="3"/>
      <c r="I133" s="3"/>
      <c r="J133" s="3"/>
      <c r="K133" s="3"/>
      <c r="L133" s="3"/>
      <c r="M133" s="3"/>
      <c r="N133" s="75"/>
    </row>
    <row r="134" spans="1:14">
      <c r="A134" s="5"/>
      <c r="D134" s="3"/>
      <c r="E134" s="3"/>
      <c r="F134" s="3"/>
      <c r="G134" s="3"/>
      <c r="H134" s="3"/>
      <c r="I134" s="3"/>
      <c r="J134" s="3"/>
      <c r="K134" s="3"/>
      <c r="L134" s="3"/>
      <c r="M134" s="3"/>
      <c r="N134" s="75"/>
    </row>
    <row r="135" spans="1:14">
      <c r="A135" s="5"/>
      <c r="D135" s="3"/>
      <c r="E135" s="3"/>
      <c r="F135" s="3"/>
      <c r="G135" s="3"/>
      <c r="H135" s="3"/>
      <c r="I135" s="3"/>
      <c r="J135" s="3"/>
      <c r="K135" s="3"/>
      <c r="L135" s="3"/>
      <c r="M135" s="3"/>
      <c r="N135" s="75"/>
    </row>
    <row r="136" spans="1:14">
      <c r="A136" s="5"/>
      <c r="D136" s="3"/>
      <c r="E136" s="3"/>
      <c r="F136" s="3"/>
      <c r="G136" s="3"/>
      <c r="H136" s="3"/>
      <c r="I136" s="3"/>
      <c r="J136" s="3"/>
      <c r="K136" s="3"/>
      <c r="L136" s="3"/>
      <c r="M136" s="3"/>
      <c r="N136" s="75"/>
    </row>
    <row r="137" spans="1:14">
      <c r="A137" s="5"/>
      <c r="D137" s="3"/>
      <c r="E137" s="3"/>
      <c r="F137" s="3"/>
      <c r="G137" s="3"/>
      <c r="H137" s="3"/>
      <c r="I137" s="3"/>
      <c r="J137" s="3"/>
      <c r="K137" s="3"/>
      <c r="L137" s="3"/>
      <c r="M137" s="3"/>
      <c r="N137" s="75"/>
    </row>
    <row r="138" spans="1:14">
      <c r="A138" s="5"/>
      <c r="D138" s="3"/>
      <c r="E138" s="3"/>
      <c r="F138" s="3"/>
      <c r="G138" s="3"/>
      <c r="H138" s="3"/>
      <c r="I138" s="3"/>
      <c r="J138" s="3"/>
      <c r="K138" s="3"/>
      <c r="L138" s="3"/>
      <c r="M138" s="3"/>
      <c r="N138" s="75"/>
    </row>
    <row r="139" spans="1:14">
      <c r="A139" s="5"/>
      <c r="D139" s="3"/>
      <c r="E139" s="3"/>
      <c r="F139" s="3"/>
      <c r="G139" s="3"/>
      <c r="H139" s="3"/>
      <c r="I139" s="3"/>
      <c r="J139" s="3"/>
      <c r="K139" s="3"/>
      <c r="L139" s="3"/>
      <c r="M139" s="3"/>
      <c r="N139" s="75"/>
    </row>
    <row r="140" spans="1:14">
      <c r="A140" s="5"/>
      <c r="D140" s="3"/>
      <c r="E140" s="3"/>
      <c r="F140" s="3"/>
      <c r="G140" s="3"/>
      <c r="H140" s="3"/>
      <c r="I140" s="3"/>
      <c r="J140" s="3"/>
      <c r="K140" s="3"/>
      <c r="L140" s="3"/>
      <c r="M140" s="3"/>
      <c r="N140" s="75"/>
    </row>
    <row r="141" spans="1:14">
      <c r="A141" s="5"/>
      <c r="D141" s="3"/>
      <c r="E141" s="3"/>
      <c r="F141" s="3"/>
      <c r="G141" s="3"/>
      <c r="H141" s="3"/>
      <c r="I141" s="3"/>
      <c r="J141" s="3"/>
      <c r="K141" s="3"/>
      <c r="L141" s="3"/>
      <c r="M141" s="3"/>
      <c r="N141" s="75"/>
    </row>
    <row r="142" spans="1:14">
      <c r="A142" s="5"/>
      <c r="D142" s="3"/>
      <c r="E142" s="3"/>
      <c r="F142" s="3"/>
      <c r="G142" s="3"/>
      <c r="H142" s="3"/>
      <c r="I142" s="3"/>
      <c r="J142" s="3"/>
      <c r="K142" s="3"/>
      <c r="L142" s="3"/>
      <c r="M142" s="3"/>
      <c r="N142" s="75"/>
    </row>
    <row r="143" spans="1:14">
      <c r="A143" s="5"/>
      <c r="D143" s="3"/>
      <c r="E143" s="3"/>
      <c r="F143" s="3"/>
      <c r="G143" s="3"/>
      <c r="H143" s="3"/>
      <c r="I143" s="3"/>
      <c r="J143" s="3"/>
      <c r="K143" s="3"/>
      <c r="L143" s="3"/>
      <c r="M143" s="3"/>
      <c r="N143" s="75"/>
    </row>
    <row r="144" spans="1:14">
      <c r="A144" s="5"/>
      <c r="D144" s="3"/>
      <c r="E144" s="3"/>
      <c r="F144" s="3"/>
      <c r="G144" s="3"/>
      <c r="H144" s="3"/>
      <c r="I144" s="3"/>
      <c r="J144" s="3"/>
      <c r="K144" s="3"/>
      <c r="L144" s="3"/>
      <c r="M144" s="3"/>
      <c r="N144" s="75"/>
    </row>
    <row r="145" spans="1:14">
      <c r="A145" s="5"/>
      <c r="D145" s="3"/>
      <c r="E145" s="3"/>
      <c r="F145" s="3"/>
      <c r="G145" s="3"/>
      <c r="H145" s="3"/>
      <c r="I145" s="3"/>
      <c r="J145" s="3"/>
      <c r="K145" s="3"/>
      <c r="L145" s="3"/>
      <c r="M145" s="3"/>
      <c r="N145" s="75"/>
    </row>
    <row r="146" spans="1:14">
      <c r="A146" s="5"/>
      <c r="D146" s="3"/>
      <c r="E146" s="3"/>
      <c r="F146" s="3"/>
      <c r="G146" s="3"/>
      <c r="H146" s="3"/>
      <c r="I146" s="3"/>
      <c r="J146" s="3"/>
      <c r="K146" s="3"/>
      <c r="L146" s="3"/>
      <c r="M146" s="3"/>
      <c r="N146" s="75"/>
    </row>
    <row r="147" spans="1:14">
      <c r="A147" s="5"/>
      <c r="D147" s="3"/>
      <c r="E147" s="3"/>
      <c r="F147" s="3"/>
      <c r="G147" s="3"/>
      <c r="H147" s="3"/>
      <c r="I147" s="3"/>
      <c r="J147" s="3"/>
      <c r="K147" s="3"/>
      <c r="L147" s="3"/>
      <c r="M147" s="3"/>
      <c r="N147" s="75"/>
    </row>
    <row r="148" spans="1:14">
      <c r="A148" s="5"/>
      <c r="D148" s="3"/>
      <c r="E148" s="3"/>
      <c r="F148" s="3"/>
      <c r="G148" s="3"/>
      <c r="H148" s="3"/>
      <c r="I148" s="3"/>
      <c r="J148" s="3"/>
      <c r="K148" s="3"/>
      <c r="L148" s="3"/>
      <c r="M148" s="3"/>
      <c r="N148" s="75"/>
    </row>
    <row r="149" spans="1:14">
      <c r="A149" s="5"/>
      <c r="D149" s="3"/>
      <c r="E149" s="3"/>
      <c r="F149" s="3"/>
      <c r="G149" s="3"/>
      <c r="H149" s="3"/>
      <c r="I149" s="3"/>
      <c r="J149" s="3"/>
      <c r="K149" s="3"/>
      <c r="L149" s="3"/>
      <c r="M149" s="3"/>
      <c r="N149" s="75"/>
    </row>
    <row r="150" spans="1:14">
      <c r="A150" s="5"/>
      <c r="D150" s="3"/>
      <c r="E150" s="3"/>
      <c r="F150" s="3"/>
      <c r="G150" s="3"/>
      <c r="H150" s="3"/>
      <c r="I150" s="3"/>
      <c r="J150" s="3"/>
      <c r="K150" s="3"/>
      <c r="L150" s="3"/>
      <c r="M150" s="3"/>
      <c r="N150" s="75"/>
    </row>
    <row r="151" spans="1:14">
      <c r="A151" s="5"/>
      <c r="D151" s="3"/>
      <c r="E151" s="3"/>
      <c r="F151" s="3"/>
      <c r="G151" s="3"/>
      <c r="H151" s="3"/>
      <c r="I151" s="3"/>
      <c r="J151" s="3"/>
      <c r="K151" s="3"/>
      <c r="L151" s="3"/>
      <c r="M151" s="3"/>
      <c r="N151" s="75"/>
    </row>
    <row r="152" spans="1:14">
      <c r="A152" s="5"/>
      <c r="D152" s="3"/>
      <c r="E152" s="3"/>
      <c r="F152" s="3"/>
      <c r="G152" s="3"/>
      <c r="H152" s="3"/>
      <c r="I152" s="3"/>
      <c r="J152" s="3"/>
      <c r="K152" s="3"/>
      <c r="L152" s="3"/>
      <c r="M152" s="3"/>
      <c r="N152" s="75"/>
    </row>
    <row r="153" spans="1:14">
      <c r="A153" s="5"/>
      <c r="D153" s="3"/>
      <c r="E153" s="3"/>
      <c r="F153" s="3"/>
      <c r="G153" s="3"/>
      <c r="H153" s="3"/>
      <c r="I153" s="3"/>
      <c r="J153" s="3"/>
      <c r="K153" s="3"/>
      <c r="L153" s="3"/>
      <c r="M153" s="3"/>
      <c r="N153" s="75"/>
    </row>
    <row r="154" spans="1:14">
      <c r="A154" s="5"/>
      <c r="D154" s="3"/>
      <c r="E154" s="3"/>
      <c r="F154" s="3"/>
      <c r="G154" s="3"/>
      <c r="H154" s="3"/>
      <c r="I154" s="3"/>
      <c r="J154" s="3"/>
      <c r="K154" s="3"/>
      <c r="L154" s="3"/>
      <c r="M154" s="3"/>
      <c r="N154" s="75"/>
    </row>
    <row r="155" spans="1:14">
      <c r="A155" s="5"/>
      <c r="D155" s="3"/>
      <c r="E155" s="3"/>
      <c r="F155" s="3"/>
      <c r="G155" s="3"/>
      <c r="H155" s="3"/>
      <c r="I155" s="3"/>
      <c r="J155" s="3"/>
      <c r="K155" s="3"/>
      <c r="L155" s="3"/>
      <c r="M155" s="3"/>
      <c r="N155" s="75"/>
    </row>
    <row r="156" spans="1:14">
      <c r="A156" s="5"/>
      <c r="D156" s="3"/>
      <c r="E156" s="3"/>
      <c r="F156" s="3"/>
      <c r="G156" s="3"/>
      <c r="H156" s="3"/>
      <c r="I156" s="3"/>
      <c r="J156" s="3"/>
      <c r="K156" s="3"/>
      <c r="L156" s="3"/>
      <c r="M156" s="3"/>
      <c r="N156" s="75"/>
    </row>
    <row r="157" spans="1:14">
      <c r="A157" s="5"/>
      <c r="D157" s="3"/>
      <c r="E157" s="3"/>
      <c r="F157" s="3"/>
      <c r="G157" s="3"/>
      <c r="H157" s="3"/>
      <c r="I157" s="3"/>
      <c r="J157" s="3"/>
      <c r="K157" s="3"/>
      <c r="L157" s="3"/>
      <c r="M157" s="3"/>
      <c r="N157" s="75"/>
    </row>
    <row r="158" spans="1:14">
      <c r="A158" s="5"/>
      <c r="D158" s="3"/>
      <c r="E158" s="3"/>
      <c r="F158" s="3"/>
      <c r="G158" s="3"/>
      <c r="H158" s="3"/>
      <c r="I158" s="3"/>
      <c r="J158" s="3"/>
      <c r="K158" s="3"/>
      <c r="L158" s="3"/>
      <c r="M158" s="3"/>
      <c r="N158" s="75"/>
    </row>
    <row r="159" spans="1:14">
      <c r="A159" s="5"/>
      <c r="D159" s="3"/>
      <c r="E159" s="3"/>
      <c r="F159" s="3"/>
      <c r="G159" s="3"/>
      <c r="H159" s="3"/>
      <c r="I159" s="3"/>
      <c r="J159" s="3"/>
      <c r="K159" s="3"/>
      <c r="L159" s="3"/>
      <c r="M159" s="3"/>
      <c r="N159" s="75"/>
    </row>
    <row r="160" spans="1:14">
      <c r="A160" s="5"/>
      <c r="D160" s="3"/>
      <c r="E160" s="3"/>
      <c r="F160" s="3"/>
      <c r="G160" s="3"/>
      <c r="H160" s="3"/>
      <c r="I160" s="3"/>
      <c r="J160" s="3"/>
      <c r="K160" s="3"/>
      <c r="L160" s="3"/>
      <c r="M160" s="3"/>
      <c r="N160" s="75"/>
    </row>
    <row r="161" spans="1:14">
      <c r="A161" s="5"/>
      <c r="D161" s="3"/>
      <c r="E161" s="3"/>
      <c r="F161" s="3"/>
      <c r="G161" s="3"/>
      <c r="H161" s="3"/>
      <c r="I161" s="3"/>
      <c r="J161" s="3"/>
      <c r="K161" s="3"/>
      <c r="L161" s="3"/>
      <c r="M161" s="3"/>
      <c r="N161" s="75"/>
    </row>
    <row r="162" spans="1:14">
      <c r="A162" s="5"/>
      <c r="D162" s="3"/>
      <c r="E162" s="3"/>
      <c r="F162" s="3"/>
      <c r="G162" s="3"/>
      <c r="H162" s="3"/>
      <c r="I162" s="3"/>
      <c r="J162" s="3"/>
      <c r="K162" s="3"/>
      <c r="L162" s="3"/>
      <c r="M162" s="3"/>
      <c r="N162" s="75"/>
    </row>
    <row r="163" spans="1:14">
      <c r="A163" s="5"/>
      <c r="D163" s="3"/>
      <c r="E163" s="3"/>
      <c r="F163" s="3"/>
      <c r="G163" s="3"/>
      <c r="H163" s="3"/>
      <c r="I163" s="3"/>
      <c r="J163" s="3"/>
      <c r="K163" s="3"/>
      <c r="L163" s="3"/>
      <c r="M163" s="3"/>
      <c r="N163" s="75"/>
    </row>
    <row r="164" spans="1:14">
      <c r="A164" s="5"/>
      <c r="D164" s="3"/>
      <c r="E164" s="3"/>
      <c r="F164" s="3"/>
      <c r="G164" s="3"/>
      <c r="H164" s="3"/>
      <c r="I164" s="3"/>
      <c r="J164" s="3"/>
      <c r="K164" s="3"/>
      <c r="L164" s="3"/>
      <c r="M164" s="3"/>
      <c r="N164" s="75"/>
    </row>
    <row r="165" spans="1:14">
      <c r="A165" s="5"/>
      <c r="D165" s="3"/>
      <c r="E165" s="3"/>
      <c r="F165" s="3"/>
      <c r="G165" s="3"/>
      <c r="H165" s="3"/>
      <c r="I165" s="3"/>
      <c r="J165" s="3"/>
      <c r="K165" s="3"/>
      <c r="L165" s="3"/>
      <c r="M165" s="3"/>
      <c r="N165" s="75"/>
    </row>
    <row r="166" spans="1:14">
      <c r="A166" s="5"/>
      <c r="D166" s="3"/>
      <c r="E166" s="3"/>
      <c r="F166" s="3"/>
      <c r="G166" s="3"/>
      <c r="H166" s="3"/>
      <c r="I166" s="3"/>
      <c r="J166" s="3"/>
      <c r="K166" s="3"/>
      <c r="L166" s="3"/>
      <c r="M166" s="3"/>
      <c r="N166" s="75"/>
    </row>
    <row r="167" spans="1:14">
      <c r="A167" s="5"/>
      <c r="D167" s="3"/>
      <c r="E167" s="3"/>
      <c r="F167" s="3"/>
      <c r="G167" s="3"/>
      <c r="H167" s="3"/>
      <c r="I167" s="3"/>
      <c r="J167" s="3"/>
      <c r="K167" s="3"/>
      <c r="L167" s="3"/>
      <c r="M167" s="3"/>
      <c r="N167" s="75"/>
    </row>
    <row r="168" spans="1:14">
      <c r="A168" s="5"/>
      <c r="D168" s="3"/>
      <c r="E168" s="3"/>
      <c r="F168" s="3"/>
      <c r="G168" s="3"/>
      <c r="H168" s="3"/>
      <c r="I168" s="3"/>
      <c r="J168" s="3"/>
      <c r="K168" s="3"/>
      <c r="L168" s="3"/>
      <c r="M168" s="3"/>
      <c r="N168" s="75"/>
    </row>
    <row r="169" spans="1:14">
      <c r="A169" s="5"/>
      <c r="D169" s="3"/>
      <c r="E169" s="3"/>
      <c r="F169" s="3"/>
      <c r="G169" s="3"/>
      <c r="H169" s="3"/>
      <c r="I169" s="3"/>
      <c r="J169" s="3"/>
      <c r="K169" s="3"/>
      <c r="L169" s="3"/>
      <c r="M169" s="3"/>
      <c r="N169" s="75"/>
    </row>
    <row r="170" spans="1:14">
      <c r="A170" s="5"/>
      <c r="D170" s="3"/>
      <c r="E170" s="3"/>
      <c r="F170" s="3"/>
      <c r="G170" s="3"/>
      <c r="H170" s="3"/>
      <c r="I170" s="3"/>
      <c r="J170" s="3"/>
      <c r="K170" s="3"/>
      <c r="L170" s="3"/>
      <c r="M170" s="3"/>
      <c r="N170" s="75"/>
    </row>
    <row r="171" spans="1:14">
      <c r="A171" s="5"/>
      <c r="D171" s="3"/>
      <c r="E171" s="3"/>
      <c r="F171" s="3"/>
      <c r="G171" s="3"/>
      <c r="H171" s="3"/>
      <c r="I171" s="3"/>
      <c r="J171" s="3"/>
      <c r="K171" s="3"/>
      <c r="L171" s="3"/>
      <c r="M171" s="3"/>
      <c r="N171" s="75"/>
    </row>
    <row r="172" spans="1:14">
      <c r="A172" s="5"/>
      <c r="D172" s="3"/>
      <c r="E172" s="3"/>
      <c r="F172" s="3"/>
      <c r="G172" s="3"/>
      <c r="H172" s="3"/>
      <c r="I172" s="3"/>
      <c r="J172" s="3"/>
      <c r="K172" s="3"/>
      <c r="L172" s="3"/>
      <c r="M172" s="3"/>
      <c r="N172" s="75"/>
    </row>
    <row r="173" spans="1:14">
      <c r="A173" s="5"/>
      <c r="D173" s="3"/>
      <c r="E173" s="3"/>
      <c r="F173" s="3"/>
      <c r="G173" s="3"/>
      <c r="H173" s="3"/>
      <c r="I173" s="3"/>
      <c r="J173" s="3"/>
      <c r="K173" s="3"/>
      <c r="L173" s="3"/>
      <c r="M173" s="3"/>
      <c r="N173" s="75"/>
    </row>
    <row r="174" spans="1:14">
      <c r="A174" s="5"/>
      <c r="D174" s="3"/>
      <c r="E174" s="3"/>
      <c r="F174" s="3"/>
      <c r="G174" s="3"/>
      <c r="H174" s="3"/>
      <c r="I174" s="3"/>
      <c r="J174" s="3"/>
      <c r="K174" s="3"/>
      <c r="L174" s="3"/>
      <c r="M174" s="3"/>
      <c r="N174" s="75"/>
    </row>
    <row r="175" spans="1:14">
      <c r="A175" s="5"/>
      <c r="D175" s="3"/>
      <c r="E175" s="3"/>
      <c r="F175" s="3"/>
      <c r="G175" s="3"/>
      <c r="H175" s="3"/>
      <c r="I175" s="3"/>
      <c r="J175" s="3"/>
      <c r="K175" s="3"/>
      <c r="L175" s="3"/>
      <c r="M175" s="3"/>
      <c r="N175" s="75"/>
    </row>
    <row r="176" spans="1:14">
      <c r="A176" s="5"/>
      <c r="D176" s="3"/>
      <c r="E176" s="3"/>
      <c r="F176" s="3"/>
      <c r="G176" s="3"/>
      <c r="H176" s="3"/>
      <c r="I176" s="3"/>
      <c r="J176" s="3"/>
      <c r="K176" s="3"/>
      <c r="L176" s="3"/>
      <c r="M176" s="3"/>
      <c r="N176" s="75"/>
    </row>
    <row r="177" spans="1:14">
      <c r="A177" s="5"/>
      <c r="D177" s="3"/>
      <c r="E177" s="3"/>
      <c r="F177" s="3"/>
      <c r="G177" s="3"/>
      <c r="H177" s="3"/>
      <c r="I177" s="3"/>
      <c r="J177" s="3"/>
      <c r="K177" s="3"/>
      <c r="L177" s="3"/>
      <c r="M177" s="3"/>
      <c r="N177" s="75"/>
    </row>
    <row r="178" spans="1:14">
      <c r="A178" s="5"/>
      <c r="D178" s="3"/>
      <c r="E178" s="3"/>
      <c r="F178" s="3"/>
      <c r="G178" s="3"/>
      <c r="H178" s="3"/>
      <c r="I178" s="3"/>
      <c r="J178" s="3"/>
      <c r="K178" s="3"/>
      <c r="L178" s="3"/>
      <c r="M178" s="3"/>
      <c r="N178" s="75"/>
    </row>
    <row r="179" spans="1:14">
      <c r="A179" s="5"/>
      <c r="D179" s="3"/>
      <c r="E179" s="3"/>
      <c r="F179" s="3"/>
      <c r="G179" s="3"/>
      <c r="H179" s="3"/>
      <c r="I179" s="3"/>
      <c r="J179" s="3"/>
      <c r="K179" s="3"/>
      <c r="L179" s="3"/>
      <c r="M179" s="3"/>
      <c r="N179" s="75"/>
    </row>
    <row r="180" spans="1:14">
      <c r="A180" s="5"/>
      <c r="D180" s="3"/>
      <c r="E180" s="3"/>
      <c r="F180" s="3"/>
      <c r="G180" s="3"/>
      <c r="H180" s="3"/>
      <c r="I180" s="3"/>
      <c r="J180" s="3"/>
      <c r="K180" s="3"/>
      <c r="L180" s="3"/>
      <c r="M180" s="3"/>
      <c r="N180" s="75"/>
    </row>
    <row r="181" spans="1:14">
      <c r="A181" s="5"/>
      <c r="D181" s="3"/>
      <c r="E181" s="3"/>
      <c r="F181" s="3"/>
      <c r="G181" s="3"/>
      <c r="H181" s="3"/>
      <c r="I181" s="3"/>
      <c r="J181" s="3"/>
      <c r="K181" s="3"/>
      <c r="L181" s="3"/>
      <c r="M181" s="3"/>
      <c r="N181" s="75"/>
    </row>
    <row r="182" spans="1:14">
      <c r="A182" s="5"/>
      <c r="D182" s="3"/>
      <c r="E182" s="3"/>
      <c r="F182" s="3"/>
      <c r="G182" s="3"/>
      <c r="H182" s="3"/>
      <c r="I182" s="3"/>
      <c r="J182" s="3"/>
      <c r="K182" s="3"/>
      <c r="L182" s="3"/>
      <c r="M182" s="3"/>
      <c r="N182" s="75"/>
    </row>
    <row r="183" spans="1:14">
      <c r="A183" s="5"/>
      <c r="D183" s="3"/>
      <c r="E183" s="3"/>
      <c r="F183" s="3"/>
      <c r="G183" s="3"/>
      <c r="H183" s="3"/>
      <c r="I183" s="3"/>
      <c r="J183" s="3"/>
      <c r="K183" s="3"/>
      <c r="L183" s="3"/>
      <c r="M183" s="3"/>
      <c r="N183" s="75"/>
    </row>
    <row r="184" spans="1:14">
      <c r="A184" s="5"/>
      <c r="D184" s="3"/>
      <c r="E184" s="3"/>
      <c r="F184" s="3"/>
      <c r="G184" s="3"/>
      <c r="H184" s="3"/>
      <c r="I184" s="3"/>
      <c r="J184" s="3"/>
      <c r="K184" s="3"/>
      <c r="L184" s="3"/>
      <c r="M184" s="3"/>
      <c r="N184" s="75"/>
    </row>
    <row r="185" spans="1:14">
      <c r="A185" s="5"/>
      <c r="D185" s="3"/>
      <c r="E185" s="3"/>
      <c r="F185" s="3"/>
      <c r="G185" s="3"/>
      <c r="H185" s="3"/>
      <c r="I185" s="3"/>
      <c r="J185" s="3"/>
      <c r="K185" s="3"/>
      <c r="L185" s="3"/>
      <c r="M185" s="3"/>
      <c r="N185" s="75"/>
    </row>
    <row r="186" spans="1:14">
      <c r="A186" s="5"/>
      <c r="D186" s="3"/>
      <c r="E186" s="3"/>
      <c r="F186" s="3"/>
      <c r="G186" s="3"/>
      <c r="H186" s="3"/>
      <c r="I186" s="3"/>
      <c r="J186" s="3"/>
      <c r="K186" s="3"/>
      <c r="L186" s="3"/>
      <c r="M186" s="3"/>
      <c r="N186" s="75"/>
    </row>
    <row r="187" spans="1:14">
      <c r="A187" s="5"/>
      <c r="D187" s="3"/>
      <c r="E187" s="3"/>
      <c r="F187" s="3"/>
      <c r="G187" s="3"/>
      <c r="H187" s="3"/>
      <c r="I187" s="3"/>
      <c r="J187" s="3"/>
      <c r="K187" s="3"/>
      <c r="L187" s="3"/>
      <c r="M187" s="3"/>
      <c r="N187" s="75"/>
    </row>
    <row r="188" spans="1:14">
      <c r="A188" s="5"/>
      <c r="D188" s="3"/>
      <c r="E188" s="3"/>
      <c r="F188" s="3"/>
      <c r="G188" s="3"/>
      <c r="H188" s="3"/>
      <c r="I188" s="3"/>
      <c r="J188" s="3"/>
      <c r="K188" s="3"/>
      <c r="L188" s="3"/>
      <c r="M188" s="3"/>
      <c r="N188" s="75"/>
    </row>
    <row r="189" spans="1:14">
      <c r="A189" s="5"/>
      <c r="D189" s="3"/>
      <c r="E189" s="3"/>
      <c r="F189" s="3"/>
      <c r="G189" s="3"/>
      <c r="H189" s="3"/>
      <c r="I189" s="3"/>
      <c r="J189" s="3"/>
      <c r="K189" s="3"/>
      <c r="L189" s="3"/>
      <c r="M189" s="3"/>
      <c r="N189" s="75"/>
    </row>
    <row r="190" spans="1:14">
      <c r="A190" s="5"/>
      <c r="D190" s="3"/>
      <c r="E190" s="3"/>
      <c r="F190" s="3"/>
      <c r="G190" s="3"/>
      <c r="H190" s="3"/>
      <c r="I190" s="3"/>
      <c r="J190" s="3"/>
      <c r="K190" s="3"/>
      <c r="L190" s="3"/>
      <c r="M190" s="3"/>
      <c r="N190" s="75"/>
    </row>
    <row r="191" spans="1:14">
      <c r="A191" s="5"/>
      <c r="D191" s="3"/>
      <c r="E191" s="3"/>
      <c r="F191" s="3"/>
      <c r="G191" s="3"/>
      <c r="H191" s="3"/>
      <c r="I191" s="3"/>
      <c r="J191" s="3"/>
      <c r="K191" s="3"/>
      <c r="L191" s="3"/>
      <c r="M191" s="3"/>
      <c r="N191" s="75"/>
    </row>
    <row r="192" spans="1:14">
      <c r="A192" s="5"/>
      <c r="D192" s="3"/>
      <c r="E192" s="3"/>
      <c r="F192" s="3"/>
      <c r="G192" s="3"/>
      <c r="H192" s="3"/>
      <c r="I192" s="3"/>
      <c r="J192" s="3"/>
      <c r="K192" s="3"/>
      <c r="L192" s="3"/>
      <c r="M192" s="3"/>
      <c r="N192" s="75"/>
    </row>
    <row r="193" spans="1:14">
      <c r="A193" s="5"/>
      <c r="D193" s="3"/>
      <c r="E193" s="3"/>
      <c r="F193" s="3"/>
      <c r="G193" s="3"/>
      <c r="H193" s="3"/>
      <c r="I193" s="3"/>
      <c r="J193" s="3"/>
      <c r="K193" s="3"/>
      <c r="L193" s="3"/>
      <c r="M193" s="3"/>
      <c r="N193" s="75"/>
    </row>
    <row r="194" spans="1:14">
      <c r="A194" s="5"/>
      <c r="D194" s="3"/>
      <c r="E194" s="3"/>
      <c r="F194" s="3"/>
      <c r="G194" s="3"/>
      <c r="H194" s="3"/>
      <c r="I194" s="3"/>
      <c r="J194" s="3"/>
      <c r="K194" s="3"/>
      <c r="L194" s="3"/>
      <c r="M194" s="3"/>
      <c r="N194" s="75"/>
    </row>
    <row r="195" spans="1:14">
      <c r="A195" s="5"/>
      <c r="D195" s="3"/>
      <c r="E195" s="3"/>
      <c r="F195" s="3"/>
      <c r="G195" s="3"/>
      <c r="H195" s="3"/>
      <c r="I195" s="3"/>
      <c r="J195" s="3"/>
      <c r="K195" s="3"/>
      <c r="L195" s="3"/>
      <c r="M195" s="3"/>
      <c r="N195" s="75"/>
    </row>
    <row r="196" spans="1:14">
      <c r="A196" s="5"/>
      <c r="D196" s="3"/>
      <c r="E196" s="3"/>
      <c r="F196" s="3"/>
      <c r="G196" s="3"/>
      <c r="H196" s="3"/>
      <c r="I196" s="3"/>
      <c r="J196" s="3"/>
      <c r="K196" s="3"/>
      <c r="L196" s="3"/>
      <c r="M196" s="3"/>
      <c r="N196" s="75"/>
    </row>
    <row r="197" spans="1:14">
      <c r="A197" s="5"/>
      <c r="D197" s="3"/>
      <c r="E197" s="3"/>
      <c r="F197" s="3"/>
      <c r="G197" s="3"/>
      <c r="H197" s="3"/>
      <c r="I197" s="3"/>
      <c r="J197" s="3"/>
      <c r="K197" s="3"/>
      <c r="L197" s="3"/>
      <c r="M197" s="3"/>
      <c r="N197" s="75"/>
    </row>
    <row r="198" spans="1:14">
      <c r="A198" s="5"/>
      <c r="D198" s="3"/>
      <c r="E198" s="3"/>
      <c r="F198" s="3"/>
      <c r="G198" s="3"/>
      <c r="H198" s="3"/>
      <c r="I198" s="3"/>
      <c r="J198" s="3"/>
      <c r="K198" s="3"/>
      <c r="L198" s="3"/>
      <c r="M198" s="3"/>
      <c r="N198" s="75"/>
    </row>
    <row r="199" spans="1:14">
      <c r="A199" s="5"/>
      <c r="D199" s="3"/>
      <c r="E199" s="3"/>
      <c r="F199" s="3"/>
      <c r="G199" s="3"/>
      <c r="H199" s="3"/>
      <c r="I199" s="3"/>
      <c r="J199" s="3"/>
      <c r="K199" s="3"/>
      <c r="L199" s="3"/>
      <c r="M199" s="3"/>
      <c r="N199" s="75"/>
    </row>
    <row r="200" spans="1:14">
      <c r="A200" s="5"/>
      <c r="D200" s="3"/>
      <c r="E200" s="3"/>
      <c r="F200" s="3"/>
      <c r="G200" s="3"/>
      <c r="H200" s="3"/>
      <c r="I200" s="3"/>
      <c r="J200" s="3"/>
      <c r="K200" s="3"/>
      <c r="L200" s="3"/>
      <c r="M200" s="3"/>
      <c r="N200" s="75"/>
    </row>
    <row r="201" spans="1:14">
      <c r="A201" s="5"/>
      <c r="D201" s="3"/>
      <c r="E201" s="3"/>
      <c r="F201" s="3"/>
      <c r="G201" s="3"/>
      <c r="H201" s="3"/>
      <c r="I201" s="3"/>
      <c r="J201" s="3"/>
      <c r="K201" s="3"/>
      <c r="L201" s="3"/>
      <c r="M201" s="3"/>
      <c r="N201" s="75"/>
    </row>
    <row r="202" spans="1:14">
      <c r="A202" s="5"/>
      <c r="D202" s="3"/>
      <c r="E202" s="3"/>
      <c r="F202" s="3"/>
      <c r="G202" s="3"/>
      <c r="H202" s="3"/>
      <c r="I202" s="3"/>
      <c r="J202" s="3"/>
      <c r="K202" s="3"/>
      <c r="L202" s="3"/>
      <c r="M202" s="3"/>
      <c r="N202" s="75"/>
    </row>
    <row r="203" spans="1:14">
      <c r="A203" s="5"/>
      <c r="D203" s="3"/>
      <c r="E203" s="3"/>
      <c r="F203" s="3"/>
      <c r="G203" s="3"/>
      <c r="H203" s="3"/>
      <c r="I203" s="3"/>
      <c r="J203" s="3"/>
      <c r="K203" s="3"/>
      <c r="L203" s="3"/>
      <c r="M203" s="3"/>
      <c r="N203" s="75"/>
    </row>
    <row r="204" spans="1:14">
      <c r="A204" s="5"/>
      <c r="D204" s="3"/>
      <c r="E204" s="3"/>
      <c r="F204" s="3"/>
      <c r="G204" s="3"/>
      <c r="H204" s="3"/>
      <c r="I204" s="3"/>
      <c r="J204" s="3"/>
      <c r="K204" s="3"/>
      <c r="L204" s="3"/>
      <c r="M204" s="3"/>
      <c r="N204" s="75"/>
    </row>
    <row r="205" spans="1:14">
      <c r="A205" s="5"/>
      <c r="D205" s="3"/>
      <c r="E205" s="3"/>
      <c r="F205" s="3"/>
      <c r="G205" s="3"/>
      <c r="H205" s="3"/>
      <c r="I205" s="3"/>
      <c r="J205" s="3"/>
      <c r="K205" s="3"/>
      <c r="L205" s="3"/>
      <c r="M205" s="3"/>
      <c r="N205" s="75"/>
    </row>
    <row r="206" spans="1:14">
      <c r="A206" s="5"/>
      <c r="D206" s="3"/>
      <c r="E206" s="3"/>
      <c r="F206" s="3"/>
      <c r="G206" s="3"/>
      <c r="H206" s="3"/>
      <c r="I206" s="3"/>
      <c r="J206" s="3"/>
      <c r="K206" s="3"/>
      <c r="L206" s="3"/>
      <c r="M206" s="3"/>
      <c r="N206" s="75"/>
    </row>
    <row r="207" spans="1:14">
      <c r="A207" s="5"/>
      <c r="D207" s="3"/>
      <c r="E207" s="3"/>
      <c r="F207" s="3"/>
      <c r="G207" s="3"/>
      <c r="H207" s="3"/>
      <c r="I207" s="3"/>
      <c r="J207" s="3"/>
      <c r="K207" s="3"/>
      <c r="L207" s="3"/>
      <c r="M207" s="3"/>
      <c r="N207" s="75"/>
    </row>
    <row r="208" spans="1:14">
      <c r="A208" s="5"/>
      <c r="D208" s="3"/>
      <c r="E208" s="3"/>
      <c r="F208" s="3"/>
      <c r="G208" s="3"/>
      <c r="H208" s="3"/>
      <c r="I208" s="3"/>
      <c r="J208" s="3"/>
      <c r="K208" s="3"/>
      <c r="L208" s="3"/>
      <c r="M208" s="3"/>
      <c r="N208" s="75"/>
    </row>
    <row r="209" spans="1:14">
      <c r="A209" s="5"/>
      <c r="D209" s="3"/>
      <c r="E209" s="3"/>
      <c r="F209" s="3"/>
      <c r="G209" s="3"/>
      <c r="H209" s="3"/>
      <c r="I209" s="3"/>
      <c r="J209" s="3"/>
      <c r="K209" s="3"/>
      <c r="L209" s="3"/>
      <c r="M209" s="3"/>
      <c r="N209" s="75"/>
    </row>
    <row r="210" spans="1:14">
      <c r="A210" s="5"/>
      <c r="D210" s="3"/>
      <c r="E210" s="3"/>
      <c r="F210" s="3"/>
      <c r="G210" s="3"/>
      <c r="H210" s="3"/>
      <c r="I210" s="3"/>
      <c r="J210" s="3"/>
      <c r="K210" s="3"/>
      <c r="L210" s="3"/>
      <c r="M210" s="3"/>
      <c r="N210" s="75"/>
    </row>
    <row r="211" spans="1:14">
      <c r="A211" s="5"/>
      <c r="D211" s="3"/>
      <c r="E211" s="3"/>
      <c r="F211" s="3"/>
      <c r="G211" s="3"/>
      <c r="H211" s="3"/>
      <c r="I211" s="3"/>
      <c r="J211" s="3"/>
      <c r="K211" s="3"/>
      <c r="L211" s="3"/>
      <c r="M211" s="3"/>
      <c r="N211" s="75"/>
    </row>
    <row r="212" spans="1:14">
      <c r="A212" s="5"/>
      <c r="D212" s="3"/>
      <c r="E212" s="3"/>
      <c r="F212" s="3"/>
      <c r="G212" s="3"/>
      <c r="H212" s="3"/>
      <c r="I212" s="3"/>
      <c r="J212" s="3"/>
      <c r="K212" s="3"/>
      <c r="L212" s="3"/>
      <c r="M212" s="3"/>
      <c r="N212" s="75"/>
    </row>
    <row r="213" spans="1:14">
      <c r="A213" s="5"/>
      <c r="D213" s="3"/>
      <c r="E213" s="3"/>
      <c r="F213" s="3"/>
      <c r="G213" s="3"/>
      <c r="H213" s="3"/>
      <c r="I213" s="3"/>
      <c r="J213" s="3"/>
      <c r="K213" s="3"/>
      <c r="L213" s="3"/>
      <c r="M213" s="3"/>
      <c r="N213" s="75"/>
    </row>
    <row r="214" spans="1:14">
      <c r="A214" s="5"/>
      <c r="D214" s="3"/>
      <c r="E214" s="3"/>
      <c r="F214" s="3"/>
      <c r="G214" s="3"/>
      <c r="H214" s="3"/>
      <c r="I214" s="3"/>
      <c r="J214" s="3"/>
      <c r="K214" s="3"/>
      <c r="L214" s="3"/>
      <c r="M214" s="3"/>
      <c r="N214" s="75"/>
    </row>
    <row r="215" spans="1:14">
      <c r="A215" s="5"/>
      <c r="D215" s="3"/>
      <c r="E215" s="3"/>
      <c r="F215" s="3"/>
      <c r="G215" s="3"/>
      <c r="H215" s="3"/>
      <c r="I215" s="3"/>
      <c r="J215" s="3"/>
      <c r="K215" s="3"/>
      <c r="L215" s="3"/>
      <c r="M215" s="3"/>
      <c r="N215" s="75"/>
    </row>
    <row r="216" spans="1:14">
      <c r="A216" s="5"/>
      <c r="D216" s="3"/>
      <c r="E216" s="3"/>
      <c r="F216" s="3"/>
      <c r="G216" s="3"/>
      <c r="H216" s="3"/>
      <c r="I216" s="3"/>
      <c r="J216" s="3"/>
      <c r="K216" s="3"/>
      <c r="L216" s="3"/>
      <c r="M216" s="3"/>
      <c r="N216" s="75"/>
    </row>
    <row r="217" spans="1:14">
      <c r="A217" s="5"/>
      <c r="D217" s="3"/>
      <c r="E217" s="3"/>
      <c r="F217" s="3"/>
      <c r="G217" s="3"/>
      <c r="H217" s="3"/>
      <c r="I217" s="3"/>
      <c r="J217" s="3"/>
      <c r="K217" s="3"/>
      <c r="L217" s="3"/>
      <c r="M217" s="3"/>
      <c r="N217" s="75"/>
    </row>
    <row r="218" spans="1:14">
      <c r="A218" s="5"/>
      <c r="D218" s="3"/>
      <c r="E218" s="3"/>
      <c r="F218" s="3"/>
      <c r="G218" s="3"/>
      <c r="H218" s="3"/>
      <c r="I218" s="3"/>
      <c r="J218" s="3"/>
      <c r="K218" s="3"/>
      <c r="L218" s="3"/>
      <c r="M218" s="3"/>
      <c r="N218" s="75"/>
    </row>
    <row r="219" spans="1:14">
      <c r="A219" s="5"/>
      <c r="D219" s="3"/>
      <c r="E219" s="3"/>
      <c r="F219" s="3"/>
      <c r="G219" s="3"/>
      <c r="H219" s="3"/>
      <c r="I219" s="3"/>
      <c r="J219" s="3"/>
      <c r="K219" s="3"/>
      <c r="L219" s="3"/>
      <c r="M219" s="3"/>
      <c r="N219" s="75"/>
    </row>
    <row r="220" spans="1:14">
      <c r="A220" s="5"/>
      <c r="D220" s="3"/>
      <c r="E220" s="3"/>
      <c r="F220" s="3"/>
      <c r="G220" s="3"/>
      <c r="H220" s="3"/>
      <c r="I220" s="3"/>
      <c r="J220" s="3"/>
      <c r="K220" s="3"/>
      <c r="L220" s="3"/>
      <c r="M220" s="3"/>
      <c r="N220" s="75"/>
    </row>
    <row r="221" spans="1:14">
      <c r="A221" s="5"/>
      <c r="D221" s="3"/>
      <c r="E221" s="3"/>
      <c r="F221" s="3"/>
      <c r="G221" s="3"/>
      <c r="H221" s="3"/>
      <c r="I221" s="3"/>
      <c r="J221" s="3"/>
      <c r="K221" s="3"/>
      <c r="L221" s="3"/>
      <c r="M221" s="3"/>
      <c r="N221" s="75"/>
    </row>
    <row r="222" spans="1:14">
      <c r="A222" s="5"/>
      <c r="D222" s="3"/>
      <c r="E222" s="3"/>
      <c r="F222" s="3"/>
      <c r="G222" s="3"/>
      <c r="H222" s="3"/>
      <c r="I222" s="3"/>
      <c r="J222" s="3"/>
      <c r="K222" s="3"/>
      <c r="L222" s="3"/>
      <c r="M222" s="3"/>
      <c r="N222" s="75"/>
    </row>
    <row r="223" spans="1:14">
      <c r="A223" s="5"/>
      <c r="D223" s="3"/>
      <c r="E223" s="3"/>
      <c r="F223" s="3"/>
      <c r="G223" s="3"/>
      <c r="H223" s="3"/>
      <c r="I223" s="3"/>
      <c r="J223" s="3"/>
      <c r="K223" s="3"/>
      <c r="L223" s="3"/>
      <c r="M223" s="3"/>
      <c r="N223" s="75"/>
    </row>
    <row r="224" spans="1:14">
      <c r="A224" s="5"/>
      <c r="D224" s="3"/>
      <c r="E224" s="3"/>
      <c r="F224" s="3"/>
      <c r="G224" s="3"/>
      <c r="H224" s="3"/>
      <c r="I224" s="3"/>
      <c r="J224" s="3"/>
      <c r="K224" s="3"/>
      <c r="L224" s="3"/>
      <c r="M224" s="3"/>
      <c r="N224" s="75"/>
    </row>
    <row r="225" spans="1:14">
      <c r="A225" s="5"/>
      <c r="D225" s="3"/>
      <c r="E225" s="3"/>
      <c r="F225" s="3"/>
      <c r="G225" s="3"/>
      <c r="H225" s="3"/>
      <c r="I225" s="3"/>
      <c r="J225" s="3"/>
      <c r="K225" s="3"/>
      <c r="L225" s="3"/>
      <c r="M225" s="3"/>
      <c r="N225" s="75"/>
    </row>
    <row r="226" spans="1:14">
      <c r="A226" s="5"/>
      <c r="D226" s="3"/>
      <c r="E226" s="3"/>
      <c r="F226" s="3"/>
      <c r="G226" s="3"/>
      <c r="H226" s="3"/>
      <c r="I226" s="3"/>
      <c r="J226" s="3"/>
      <c r="K226" s="3"/>
      <c r="L226" s="3"/>
      <c r="M226" s="3"/>
      <c r="N226" s="75"/>
    </row>
    <row r="227" spans="1:14">
      <c r="A227" s="5"/>
      <c r="D227" s="3"/>
      <c r="E227" s="3"/>
      <c r="F227" s="3"/>
      <c r="G227" s="3"/>
      <c r="H227" s="3"/>
      <c r="I227" s="3"/>
      <c r="J227" s="3"/>
      <c r="K227" s="3"/>
      <c r="L227" s="3"/>
      <c r="M227" s="3"/>
      <c r="N227" s="75"/>
    </row>
    <row r="228" spans="1:14">
      <c r="A228" s="5"/>
      <c r="D228" s="3"/>
      <c r="E228" s="3"/>
      <c r="F228" s="3"/>
      <c r="G228" s="3"/>
      <c r="H228" s="3"/>
      <c r="I228" s="3"/>
      <c r="J228" s="3"/>
      <c r="K228" s="3"/>
      <c r="L228" s="3"/>
      <c r="M228" s="3"/>
      <c r="N228" s="75"/>
    </row>
    <row r="229" spans="1:14">
      <c r="A229" s="5"/>
      <c r="D229" s="3"/>
      <c r="E229" s="3"/>
      <c r="F229" s="3"/>
      <c r="G229" s="3"/>
      <c r="H229" s="3"/>
      <c r="I229" s="3"/>
      <c r="J229" s="3"/>
      <c r="K229" s="3"/>
      <c r="L229" s="3"/>
      <c r="M229" s="3"/>
      <c r="N229" s="75"/>
    </row>
    <row r="230" spans="1:14">
      <c r="A230" s="5"/>
      <c r="D230" s="3"/>
      <c r="E230" s="3"/>
      <c r="F230" s="3"/>
      <c r="G230" s="3"/>
      <c r="H230" s="3"/>
      <c r="I230" s="3"/>
      <c r="J230" s="3"/>
      <c r="K230" s="3"/>
      <c r="L230" s="3"/>
      <c r="M230" s="3"/>
      <c r="N230" s="75"/>
    </row>
    <row r="231" spans="1:14">
      <c r="A231" s="5"/>
      <c r="D231" s="3"/>
      <c r="E231" s="3"/>
      <c r="F231" s="3"/>
      <c r="G231" s="3"/>
      <c r="H231" s="3"/>
      <c r="I231" s="3"/>
      <c r="J231" s="3"/>
      <c r="K231" s="3"/>
      <c r="L231" s="3"/>
      <c r="M231" s="3"/>
      <c r="N231" s="75"/>
    </row>
    <row r="232" spans="1:14">
      <c r="A232" s="5"/>
      <c r="D232" s="3"/>
      <c r="E232" s="3"/>
      <c r="F232" s="3"/>
      <c r="G232" s="3"/>
      <c r="H232" s="3"/>
      <c r="I232" s="3"/>
      <c r="J232" s="3"/>
      <c r="K232" s="3"/>
      <c r="L232" s="3"/>
      <c r="M232" s="3"/>
      <c r="N232" s="75"/>
    </row>
    <row r="233" spans="1:14">
      <c r="A233" s="5"/>
      <c r="D233" s="3"/>
      <c r="E233" s="3"/>
      <c r="F233" s="3"/>
      <c r="G233" s="3"/>
      <c r="H233" s="3"/>
      <c r="I233" s="3"/>
      <c r="J233" s="3"/>
      <c r="K233" s="3"/>
      <c r="L233" s="3"/>
      <c r="M233" s="3"/>
      <c r="N233" s="75"/>
    </row>
    <row r="234" spans="1:14">
      <c r="A234" s="5"/>
      <c r="D234" s="3"/>
      <c r="E234" s="3"/>
      <c r="F234" s="3"/>
      <c r="G234" s="3"/>
      <c r="H234" s="3"/>
      <c r="I234" s="3"/>
      <c r="J234" s="3"/>
      <c r="K234" s="3"/>
      <c r="L234" s="3"/>
      <c r="M234" s="3"/>
      <c r="N234" s="75"/>
    </row>
    <row r="235" spans="1:14">
      <c r="A235" s="5"/>
      <c r="D235" s="3"/>
      <c r="E235" s="3"/>
      <c r="F235" s="3"/>
      <c r="G235" s="3"/>
      <c r="H235" s="3"/>
      <c r="I235" s="3"/>
      <c r="J235" s="3"/>
      <c r="K235" s="3"/>
      <c r="L235" s="3"/>
      <c r="M235" s="3"/>
      <c r="N235" s="75"/>
    </row>
    <row r="236" spans="1:14">
      <c r="A236" s="5"/>
      <c r="D236" s="3"/>
      <c r="E236" s="3"/>
      <c r="F236" s="3"/>
      <c r="G236" s="3"/>
      <c r="H236" s="3"/>
      <c r="I236" s="3"/>
      <c r="J236" s="3"/>
      <c r="K236" s="3"/>
      <c r="L236" s="3"/>
      <c r="M236" s="3"/>
      <c r="N236" s="75"/>
    </row>
    <row r="237" spans="1:14">
      <c r="A237" s="5"/>
      <c r="D237" s="3"/>
      <c r="E237" s="3"/>
      <c r="F237" s="3"/>
      <c r="G237" s="3"/>
      <c r="H237" s="3"/>
      <c r="I237" s="3"/>
      <c r="J237" s="3"/>
      <c r="K237" s="3"/>
      <c r="L237" s="3"/>
      <c r="M237" s="3"/>
      <c r="N237" s="75"/>
    </row>
    <row r="238" spans="1:14">
      <c r="A238" s="5"/>
      <c r="D238" s="3"/>
      <c r="E238" s="3"/>
      <c r="F238" s="3"/>
      <c r="G238" s="3"/>
      <c r="H238" s="3"/>
      <c r="I238" s="3"/>
      <c r="J238" s="3"/>
      <c r="K238" s="3"/>
      <c r="L238" s="3"/>
      <c r="M238" s="3"/>
      <c r="N238" s="75"/>
    </row>
    <row r="239" spans="1:14">
      <c r="A239" s="5"/>
      <c r="D239" s="3"/>
      <c r="E239" s="3"/>
      <c r="F239" s="3"/>
      <c r="G239" s="3"/>
      <c r="H239" s="3"/>
      <c r="I239" s="3"/>
      <c r="J239" s="3"/>
      <c r="K239" s="3"/>
      <c r="L239" s="3"/>
      <c r="M239" s="3"/>
      <c r="N239" s="75"/>
    </row>
    <row r="240" spans="1:14">
      <c r="A240" s="5"/>
      <c r="D240" s="3"/>
      <c r="E240" s="3"/>
      <c r="F240" s="3"/>
      <c r="G240" s="3"/>
      <c r="H240" s="3"/>
      <c r="I240" s="3"/>
      <c r="J240" s="3"/>
      <c r="K240" s="3"/>
      <c r="L240" s="3"/>
      <c r="M240" s="3"/>
      <c r="N240" s="75"/>
    </row>
    <row r="241" spans="1:14">
      <c r="A241" s="5"/>
      <c r="D241" s="3"/>
      <c r="E241" s="3"/>
      <c r="F241" s="3"/>
      <c r="G241" s="3"/>
      <c r="H241" s="3"/>
      <c r="I241" s="3"/>
      <c r="J241" s="3"/>
      <c r="K241" s="3"/>
      <c r="L241" s="3"/>
      <c r="M241" s="3"/>
      <c r="N241" s="75"/>
    </row>
    <row r="242" spans="1:14">
      <c r="A242" s="5"/>
      <c r="D242" s="3"/>
      <c r="E242" s="3"/>
      <c r="F242" s="3"/>
      <c r="G242" s="3"/>
      <c r="H242" s="3"/>
      <c r="I242" s="3"/>
      <c r="J242" s="3"/>
      <c r="K242" s="3"/>
      <c r="L242" s="3"/>
      <c r="M242" s="3"/>
      <c r="N242" s="75"/>
    </row>
    <row r="243" spans="1:14">
      <c r="A243" s="5"/>
      <c r="D243" s="3"/>
      <c r="E243" s="3"/>
      <c r="F243" s="3"/>
      <c r="G243" s="3"/>
      <c r="H243" s="3"/>
      <c r="I243" s="3"/>
      <c r="J243" s="3"/>
      <c r="K243" s="3"/>
      <c r="L243" s="3"/>
      <c r="M243" s="3"/>
      <c r="N243" s="75"/>
    </row>
    <row r="244" spans="1:14">
      <c r="A244" s="5"/>
      <c r="D244" s="3"/>
      <c r="E244" s="3"/>
      <c r="F244" s="3"/>
      <c r="G244" s="3"/>
      <c r="H244" s="3"/>
      <c r="I244" s="3"/>
      <c r="J244" s="3"/>
      <c r="K244" s="3"/>
      <c r="L244" s="3"/>
      <c r="M244" s="3"/>
      <c r="N244" s="75"/>
    </row>
    <row r="245" spans="1:14">
      <c r="A245" s="5"/>
      <c r="D245" s="3"/>
      <c r="E245" s="3"/>
      <c r="F245" s="3"/>
      <c r="G245" s="3"/>
      <c r="H245" s="3"/>
      <c r="I245" s="3"/>
      <c r="J245" s="3"/>
      <c r="K245" s="3"/>
      <c r="L245" s="3"/>
      <c r="M245" s="3"/>
      <c r="N245" s="75"/>
    </row>
    <row r="246" spans="1:14">
      <c r="A246" s="5"/>
      <c r="D246" s="3"/>
      <c r="E246" s="3"/>
      <c r="F246" s="3"/>
      <c r="G246" s="3"/>
      <c r="H246" s="3"/>
      <c r="I246" s="3"/>
      <c r="J246" s="3"/>
      <c r="K246" s="3"/>
      <c r="L246" s="3"/>
      <c r="M246" s="3"/>
      <c r="N246" s="75"/>
    </row>
    <row r="247" spans="1:14">
      <c r="A247" s="5"/>
      <c r="D247" s="3"/>
      <c r="E247" s="3"/>
      <c r="F247" s="3"/>
      <c r="G247" s="3"/>
      <c r="H247" s="3"/>
      <c r="I247" s="3"/>
      <c r="J247" s="3"/>
      <c r="K247" s="3"/>
      <c r="L247" s="3"/>
      <c r="M247" s="3"/>
      <c r="N247" s="75"/>
    </row>
    <row r="248" spans="1:14">
      <c r="A248" s="5"/>
      <c r="D248" s="3"/>
      <c r="E248" s="3"/>
      <c r="F248" s="3"/>
      <c r="G248" s="3"/>
      <c r="H248" s="3"/>
      <c r="I248" s="3"/>
      <c r="J248" s="3"/>
      <c r="K248" s="3"/>
      <c r="L248" s="3"/>
      <c r="M248" s="3"/>
      <c r="N248" s="75"/>
    </row>
    <row r="249" spans="1:14">
      <c r="A249" s="5"/>
      <c r="D249" s="3"/>
      <c r="E249" s="3"/>
      <c r="F249" s="3"/>
      <c r="G249" s="3"/>
      <c r="H249" s="3"/>
      <c r="I249" s="3"/>
      <c r="J249" s="3"/>
      <c r="K249" s="3"/>
      <c r="L249" s="3"/>
      <c r="M249" s="3"/>
      <c r="N249" s="75"/>
    </row>
    <row r="250" spans="1:14">
      <c r="A250" s="5"/>
      <c r="D250" s="3"/>
      <c r="E250" s="3"/>
      <c r="F250" s="3"/>
      <c r="G250" s="3"/>
      <c r="H250" s="3"/>
      <c r="I250" s="3"/>
      <c r="J250" s="3"/>
      <c r="K250" s="3"/>
      <c r="L250" s="3"/>
      <c r="M250" s="3"/>
      <c r="N250" s="75"/>
    </row>
    <row r="251" spans="1:14">
      <c r="A251" s="5"/>
      <c r="D251" s="3"/>
      <c r="E251" s="3"/>
      <c r="F251" s="3"/>
      <c r="G251" s="3"/>
      <c r="H251" s="3"/>
      <c r="I251" s="3"/>
      <c r="J251" s="3"/>
      <c r="K251" s="3"/>
      <c r="L251" s="3"/>
      <c r="M251" s="3"/>
      <c r="N251" s="75"/>
    </row>
    <row r="252" spans="1:14">
      <c r="A252" s="5"/>
      <c r="D252" s="3"/>
      <c r="E252" s="3"/>
      <c r="F252" s="3"/>
      <c r="G252" s="3"/>
      <c r="H252" s="3"/>
      <c r="I252" s="3"/>
      <c r="J252" s="3"/>
      <c r="K252" s="3"/>
      <c r="L252" s="3"/>
      <c r="M252" s="3"/>
      <c r="N252" s="75"/>
    </row>
    <row r="253" spans="1:14">
      <c r="A253" s="5"/>
      <c r="D253" s="3"/>
      <c r="E253" s="3"/>
      <c r="F253" s="3"/>
      <c r="G253" s="3"/>
      <c r="H253" s="3"/>
      <c r="I253" s="3"/>
      <c r="J253" s="3"/>
      <c r="K253" s="3"/>
      <c r="L253" s="3"/>
      <c r="M253" s="3"/>
      <c r="N253" s="75"/>
    </row>
    <row r="254" spans="1:14">
      <c r="A254" s="5"/>
      <c r="D254" s="3"/>
      <c r="E254" s="3"/>
      <c r="F254" s="3"/>
      <c r="G254" s="3"/>
      <c r="H254" s="3"/>
      <c r="I254" s="3"/>
      <c r="J254" s="3"/>
      <c r="K254" s="3"/>
      <c r="L254" s="3"/>
      <c r="M254" s="3"/>
      <c r="N254" s="75"/>
    </row>
    <row r="255" spans="1:14">
      <c r="A255" s="5"/>
      <c r="D255" s="3"/>
      <c r="E255" s="3"/>
      <c r="F255" s="3"/>
      <c r="G255" s="3"/>
      <c r="H255" s="3"/>
      <c r="I255" s="3"/>
      <c r="J255" s="3"/>
      <c r="K255" s="3"/>
      <c r="L255" s="3"/>
      <c r="M255" s="3"/>
      <c r="N255" s="75"/>
    </row>
    <row r="256" spans="1:14">
      <c r="A256" s="5"/>
      <c r="D256" s="3"/>
      <c r="E256" s="3"/>
      <c r="F256" s="3"/>
      <c r="G256" s="3"/>
      <c r="H256" s="3"/>
      <c r="I256" s="3"/>
      <c r="J256" s="3"/>
      <c r="K256" s="3"/>
      <c r="L256" s="3"/>
      <c r="M256" s="3"/>
      <c r="N256" s="75"/>
    </row>
    <row r="257" spans="1:14">
      <c r="A257" s="5"/>
      <c r="D257" s="3"/>
      <c r="E257" s="3"/>
      <c r="F257" s="3"/>
      <c r="G257" s="3"/>
      <c r="H257" s="3"/>
      <c r="I257" s="3"/>
      <c r="J257" s="3"/>
      <c r="K257" s="3"/>
      <c r="L257" s="3"/>
      <c r="M257" s="3"/>
      <c r="N257" s="75"/>
    </row>
    <row r="258" spans="1:14">
      <c r="A258" s="5"/>
      <c r="D258" s="3"/>
      <c r="E258" s="3"/>
      <c r="F258" s="3"/>
      <c r="G258" s="3"/>
      <c r="H258" s="3"/>
      <c r="I258" s="3"/>
      <c r="J258" s="3"/>
      <c r="K258" s="3"/>
      <c r="L258" s="3"/>
      <c r="M258" s="3"/>
      <c r="N258" s="75"/>
    </row>
    <row r="259" spans="1:14">
      <c r="A259" s="5"/>
      <c r="D259" s="3"/>
      <c r="E259" s="3"/>
      <c r="F259" s="3"/>
      <c r="G259" s="3"/>
      <c r="H259" s="3"/>
      <c r="I259" s="3"/>
      <c r="J259" s="3"/>
      <c r="K259" s="3"/>
      <c r="L259" s="3"/>
      <c r="M259" s="3"/>
      <c r="N259" s="75"/>
    </row>
    <row r="260" spans="1:14">
      <c r="A260" s="5"/>
      <c r="D260" s="3"/>
      <c r="E260" s="3"/>
      <c r="F260" s="3"/>
      <c r="G260" s="3"/>
      <c r="H260" s="3"/>
      <c r="I260" s="3"/>
      <c r="J260" s="3"/>
      <c r="K260" s="3"/>
      <c r="L260" s="3"/>
      <c r="M260" s="3"/>
      <c r="N260" s="75"/>
    </row>
    <row r="264" spans="1:14">
      <c r="A264" s="5"/>
      <c r="D264" s="3"/>
      <c r="E264" s="3"/>
      <c r="F264" s="3"/>
      <c r="G264" s="3"/>
      <c r="H264" s="3"/>
      <c r="I264" s="3"/>
      <c r="J264" s="3"/>
      <c r="K264" s="3"/>
      <c r="L264" s="3"/>
      <c r="M264" s="3"/>
      <c r="N264" s="75"/>
    </row>
    <row r="265" spans="1:14">
      <c r="A265" s="5"/>
      <c r="D265" s="3"/>
      <c r="E265" s="3"/>
      <c r="F265" s="3"/>
      <c r="G265" s="3"/>
      <c r="H265" s="3"/>
      <c r="I265" s="3"/>
      <c r="J265" s="3"/>
      <c r="K265" s="3"/>
      <c r="L265" s="3"/>
      <c r="M265" s="3"/>
      <c r="N265" s="75"/>
    </row>
    <row r="266" spans="1:14">
      <c r="A266" s="5"/>
      <c r="D266" s="3"/>
      <c r="E266" s="3"/>
      <c r="F266" s="3"/>
      <c r="G266" s="3"/>
      <c r="H266" s="3"/>
      <c r="I266" s="3"/>
      <c r="J266" s="3"/>
      <c r="K266" s="3"/>
      <c r="L266" s="3"/>
      <c r="M266" s="3"/>
      <c r="N266" s="75"/>
    </row>
    <row r="267" spans="1:14">
      <c r="A267" s="5"/>
      <c r="D267" s="3"/>
      <c r="E267" s="3"/>
      <c r="F267" s="3"/>
      <c r="G267" s="3"/>
      <c r="H267" s="3"/>
      <c r="I267" s="3"/>
      <c r="J267" s="3"/>
      <c r="K267" s="3"/>
      <c r="L267" s="3"/>
      <c r="M267" s="3"/>
      <c r="N267" s="75"/>
    </row>
    <row r="268" spans="1:14">
      <c r="A268" s="5"/>
      <c r="D268" s="3"/>
      <c r="E268" s="3"/>
      <c r="F268" s="3"/>
      <c r="G268" s="3"/>
      <c r="H268" s="3"/>
      <c r="I268" s="3"/>
      <c r="J268" s="3"/>
      <c r="K268" s="3"/>
      <c r="L268" s="3"/>
      <c r="M268" s="3"/>
      <c r="N268" s="75"/>
    </row>
    <row r="269" spans="1:14">
      <c r="A269" s="5"/>
      <c r="D269" s="3"/>
      <c r="E269" s="3"/>
      <c r="F269" s="3"/>
      <c r="G269" s="3"/>
      <c r="H269" s="3"/>
      <c r="I269" s="3"/>
      <c r="J269" s="3"/>
      <c r="K269" s="3"/>
      <c r="L269" s="3"/>
      <c r="M269" s="3"/>
      <c r="N269" s="75"/>
    </row>
    <row r="270" spans="1:14">
      <c r="A270" s="5"/>
      <c r="D270" s="3"/>
      <c r="E270" s="3"/>
      <c r="F270" s="3"/>
      <c r="G270" s="3"/>
      <c r="H270" s="3"/>
      <c r="I270" s="3"/>
      <c r="J270" s="3"/>
      <c r="K270" s="3"/>
      <c r="L270" s="3"/>
      <c r="M270" s="3"/>
      <c r="N270" s="75"/>
    </row>
    <row r="271" spans="1:14">
      <c r="A271" s="5"/>
      <c r="D271" s="3"/>
      <c r="E271" s="3"/>
      <c r="F271" s="3"/>
      <c r="G271" s="3"/>
      <c r="H271" s="3"/>
      <c r="I271" s="3"/>
      <c r="J271" s="3"/>
      <c r="K271" s="3"/>
      <c r="L271" s="3"/>
      <c r="M271" s="3"/>
      <c r="N271" s="75"/>
    </row>
    <row r="272" spans="1:14">
      <c r="A272" s="5"/>
      <c r="D272" s="3"/>
      <c r="E272" s="3"/>
      <c r="F272" s="3"/>
      <c r="G272" s="3"/>
      <c r="H272" s="3"/>
      <c r="I272" s="3"/>
      <c r="J272" s="3"/>
      <c r="K272" s="3"/>
      <c r="L272" s="3"/>
      <c r="M272" s="3"/>
      <c r="N272" s="75"/>
    </row>
    <row r="273" spans="1:14">
      <c r="A273" s="5"/>
      <c r="D273" s="3"/>
      <c r="E273" s="3"/>
      <c r="F273" s="3"/>
      <c r="G273" s="3"/>
      <c r="H273" s="3"/>
      <c r="I273" s="3"/>
      <c r="J273" s="3"/>
      <c r="K273" s="3"/>
      <c r="L273" s="3"/>
      <c r="M273" s="3"/>
      <c r="N273" s="75"/>
    </row>
    <row r="274" spans="1:14">
      <c r="D274" s="3"/>
      <c r="E274" s="3"/>
      <c r="F274" s="3"/>
      <c r="G274" s="3"/>
      <c r="H274" s="3"/>
      <c r="I274" s="3"/>
      <c r="J274" s="3"/>
      <c r="K274" s="3"/>
      <c r="L274" s="3"/>
      <c r="M274" s="3"/>
      <c r="N274" s="75">
        <f t="shared" si="0"/>
        <v>0</v>
      </c>
    </row>
  </sheetData>
  <mergeCells count="11">
    <mergeCell ref="A85:N85"/>
    <mergeCell ref="A75:N75"/>
    <mergeCell ref="A76:N76"/>
    <mergeCell ref="A77:N77"/>
    <mergeCell ref="A78:N78"/>
    <mergeCell ref="A79:N79"/>
    <mergeCell ref="A84:N84"/>
    <mergeCell ref="A83:N83"/>
    <mergeCell ref="A82:N82"/>
    <mergeCell ref="A81:N81"/>
    <mergeCell ref="A80:N80"/>
  </mergeCells>
  <pageMargins left="0" right="0" top="0.75" bottom="0.75" header="0.3" footer="0.3"/>
  <pageSetup scale="65" orientation="landscape" r:id="rId1"/>
  <legacyDrawing r:id="rId2"/>
</worksheet>
</file>

<file path=xl/worksheets/sheet13.xml><?xml version="1.0" encoding="utf-8"?>
<worksheet xmlns="http://schemas.openxmlformats.org/spreadsheetml/2006/main" xmlns:r="http://schemas.openxmlformats.org/officeDocument/2006/relationships">
  <sheetPr>
    <tabColor theme="4" tint="0.39997558519241921"/>
  </sheetPr>
  <dimension ref="A2:BD119"/>
  <sheetViews>
    <sheetView workbookViewId="0">
      <pane xSplit="2" ySplit="4" topLeftCell="K100" activePane="bottomRight" state="frozen"/>
      <selection activeCell="C34" sqref="C34"/>
      <selection pane="topRight" activeCell="C34" sqref="C34"/>
      <selection pane="bottomLeft" activeCell="C34" sqref="C34"/>
      <selection pane="bottomRight" activeCell="B103" sqref="B103"/>
    </sheetView>
  </sheetViews>
  <sheetFormatPr defaultRowHeight="15"/>
  <cols>
    <col min="1" max="1" width="10.28515625" bestFit="1" customWidth="1"/>
    <col min="2" max="2" width="43.28515625" customWidth="1"/>
    <col min="3" max="3" width="11.42578125" style="14" bestFit="1" customWidth="1"/>
    <col min="4" max="4" width="12.42578125" style="14" bestFit="1" customWidth="1"/>
    <col min="5" max="5" width="11.42578125" style="14" bestFit="1" customWidth="1"/>
    <col min="6" max="14" width="9.85546875" style="14" bestFit="1" customWidth="1"/>
    <col min="15" max="15" width="11.28515625" style="14" bestFit="1" customWidth="1"/>
    <col min="16" max="28" width="11.7109375" style="14" hidden="1" customWidth="1"/>
    <col min="29" max="34" width="11.7109375" style="14" customWidth="1"/>
    <col min="35" max="56" width="11.7109375" style="7" customWidth="1"/>
  </cols>
  <sheetData>
    <row r="2" spans="1:28">
      <c r="B2" s="63" t="s">
        <v>27</v>
      </c>
    </row>
    <row r="3" spans="1:28">
      <c r="B3" s="5" t="s">
        <v>50</v>
      </c>
      <c r="C3" s="15">
        <v>2010</v>
      </c>
      <c r="D3" s="15">
        <v>2010</v>
      </c>
      <c r="E3" s="15">
        <v>2010</v>
      </c>
      <c r="F3" s="15">
        <v>2010</v>
      </c>
      <c r="G3" s="15">
        <v>2010</v>
      </c>
      <c r="H3" s="15">
        <v>2010</v>
      </c>
      <c r="I3" s="15">
        <v>2010</v>
      </c>
      <c r="J3" s="15">
        <v>2010</v>
      </c>
      <c r="K3" s="15">
        <v>2010</v>
      </c>
      <c r="L3" s="15">
        <v>2010</v>
      </c>
      <c r="M3" s="15">
        <v>2010</v>
      </c>
      <c r="N3" s="15">
        <v>2010</v>
      </c>
      <c r="O3" s="15" t="s">
        <v>34</v>
      </c>
      <c r="P3" s="15">
        <v>2011</v>
      </c>
      <c r="Q3" s="15">
        <v>2011</v>
      </c>
      <c r="R3" s="15">
        <v>2011</v>
      </c>
      <c r="S3" s="15">
        <v>2011</v>
      </c>
      <c r="T3" s="15">
        <v>2011</v>
      </c>
      <c r="U3" s="15">
        <v>2011</v>
      </c>
      <c r="V3" s="15">
        <v>2011</v>
      </c>
      <c r="W3" s="15">
        <v>2011</v>
      </c>
      <c r="X3" s="15">
        <v>2011</v>
      </c>
      <c r="Y3" s="15">
        <v>2011</v>
      </c>
      <c r="Z3" s="15">
        <v>2011</v>
      </c>
      <c r="AA3" s="15">
        <v>2011</v>
      </c>
      <c r="AB3" s="15" t="s">
        <v>35</v>
      </c>
    </row>
    <row r="4" spans="1:28">
      <c r="C4" s="18" t="s">
        <v>0</v>
      </c>
      <c r="D4" s="18" t="s">
        <v>1</v>
      </c>
      <c r="E4" s="18" t="s">
        <v>2</v>
      </c>
      <c r="F4" s="18" t="s">
        <v>3</v>
      </c>
      <c r="G4" s="18" t="s">
        <v>4</v>
      </c>
      <c r="H4" s="18" t="s">
        <v>5</v>
      </c>
      <c r="I4" s="18" t="s">
        <v>6</v>
      </c>
      <c r="J4" s="18" t="s">
        <v>7</v>
      </c>
      <c r="K4" s="18" t="s">
        <v>8</v>
      </c>
      <c r="L4" s="18" t="s">
        <v>9</v>
      </c>
      <c r="M4" s="18" t="s">
        <v>10</v>
      </c>
      <c r="N4" s="18" t="s">
        <v>11</v>
      </c>
      <c r="O4" s="18"/>
      <c r="P4" s="15" t="s">
        <v>0</v>
      </c>
      <c r="Q4" s="15" t="s">
        <v>1</v>
      </c>
      <c r="R4" s="15" t="s">
        <v>2</v>
      </c>
      <c r="S4" s="15" t="s">
        <v>3</v>
      </c>
      <c r="T4" s="15" t="s">
        <v>4</v>
      </c>
      <c r="U4" s="15" t="s">
        <v>5</v>
      </c>
      <c r="V4" s="15" t="s">
        <v>6</v>
      </c>
      <c r="W4" s="15" t="s">
        <v>7</v>
      </c>
      <c r="X4" s="15" t="s">
        <v>8</v>
      </c>
      <c r="Y4" s="15" t="s">
        <v>9</v>
      </c>
      <c r="Z4" s="15" t="s">
        <v>10</v>
      </c>
      <c r="AA4" s="15" t="s">
        <v>11</v>
      </c>
      <c r="AB4" s="15"/>
    </row>
    <row r="5" spans="1:28">
      <c r="E5" s="16"/>
      <c r="F5" s="16"/>
      <c r="G5" s="16"/>
      <c r="H5" s="16"/>
      <c r="I5" s="16"/>
      <c r="J5" s="16"/>
      <c r="K5" s="16"/>
      <c r="L5" s="16"/>
      <c r="M5" s="16"/>
      <c r="N5" s="16"/>
    </row>
    <row r="6" spans="1:28">
      <c r="B6" s="10" t="s">
        <v>116</v>
      </c>
      <c r="E6" s="16"/>
      <c r="F6" s="16"/>
      <c r="G6" s="16"/>
      <c r="H6" s="16"/>
      <c r="I6" s="16"/>
      <c r="J6" s="16"/>
      <c r="K6" s="16"/>
      <c r="L6" s="16"/>
      <c r="M6" s="16"/>
      <c r="N6" s="16"/>
      <c r="O6" s="17"/>
    </row>
    <row r="7" spans="1:28">
      <c r="B7" s="5" t="s">
        <v>37</v>
      </c>
      <c r="C7" s="21">
        <f>2318886/12</f>
        <v>193240.5</v>
      </c>
      <c r="D7" s="21">
        <f t="shared" ref="D7:N7" si="0">2318886/12</f>
        <v>193240.5</v>
      </c>
      <c r="E7" s="21">
        <f t="shared" si="0"/>
        <v>193240.5</v>
      </c>
      <c r="F7" s="21">
        <f t="shared" si="0"/>
        <v>193240.5</v>
      </c>
      <c r="G7" s="21">
        <f t="shared" si="0"/>
        <v>193240.5</v>
      </c>
      <c r="H7" s="21">
        <f t="shared" si="0"/>
        <v>193240.5</v>
      </c>
      <c r="I7" s="21">
        <f t="shared" si="0"/>
        <v>193240.5</v>
      </c>
      <c r="J7" s="21">
        <f t="shared" si="0"/>
        <v>193240.5</v>
      </c>
      <c r="K7" s="21">
        <f t="shared" si="0"/>
        <v>193240.5</v>
      </c>
      <c r="L7" s="21">
        <f t="shared" si="0"/>
        <v>193240.5</v>
      </c>
      <c r="M7" s="21">
        <f t="shared" si="0"/>
        <v>193240.5</v>
      </c>
      <c r="N7" s="21">
        <f t="shared" si="0"/>
        <v>193240.5</v>
      </c>
      <c r="O7" s="103">
        <f t="shared" ref="O7:O13" si="1">SUM(C7:N7)</f>
        <v>2318886</v>
      </c>
    </row>
    <row r="8" spans="1:28">
      <c r="B8" s="5" t="s">
        <v>38</v>
      </c>
      <c r="C8" s="19">
        <f>911877/12</f>
        <v>75989.75</v>
      </c>
      <c r="D8" s="19">
        <f t="shared" ref="D8:N8" si="2">911877/12</f>
        <v>75989.75</v>
      </c>
      <c r="E8" s="19">
        <f t="shared" si="2"/>
        <v>75989.75</v>
      </c>
      <c r="F8" s="19">
        <f t="shared" si="2"/>
        <v>75989.75</v>
      </c>
      <c r="G8" s="19">
        <f t="shared" si="2"/>
        <v>75989.75</v>
      </c>
      <c r="H8" s="19">
        <f t="shared" si="2"/>
        <v>75989.75</v>
      </c>
      <c r="I8" s="19">
        <f t="shared" si="2"/>
        <v>75989.75</v>
      </c>
      <c r="J8" s="19">
        <f t="shared" si="2"/>
        <v>75989.75</v>
      </c>
      <c r="K8" s="19">
        <f t="shared" si="2"/>
        <v>75989.75</v>
      </c>
      <c r="L8" s="19">
        <f t="shared" si="2"/>
        <v>75989.75</v>
      </c>
      <c r="M8" s="19">
        <f t="shared" si="2"/>
        <v>75989.75</v>
      </c>
      <c r="N8" s="19">
        <f t="shared" si="2"/>
        <v>75989.75</v>
      </c>
      <c r="O8" s="103">
        <f t="shared" si="1"/>
        <v>911877</v>
      </c>
    </row>
    <row r="9" spans="1:28">
      <c r="B9" s="5" t="s">
        <v>242</v>
      </c>
      <c r="C9" s="19">
        <f>356001/12</f>
        <v>29666.75</v>
      </c>
      <c r="D9" s="19">
        <f t="shared" ref="D9:N9" si="3">356001/12</f>
        <v>29666.75</v>
      </c>
      <c r="E9" s="19">
        <f t="shared" si="3"/>
        <v>29666.75</v>
      </c>
      <c r="F9" s="19">
        <f t="shared" si="3"/>
        <v>29666.75</v>
      </c>
      <c r="G9" s="19">
        <f t="shared" si="3"/>
        <v>29666.75</v>
      </c>
      <c r="H9" s="19">
        <f t="shared" si="3"/>
        <v>29666.75</v>
      </c>
      <c r="I9" s="19">
        <f t="shared" si="3"/>
        <v>29666.75</v>
      </c>
      <c r="J9" s="19">
        <f t="shared" si="3"/>
        <v>29666.75</v>
      </c>
      <c r="K9" s="19">
        <f t="shared" si="3"/>
        <v>29666.75</v>
      </c>
      <c r="L9" s="19">
        <f t="shared" si="3"/>
        <v>29666.75</v>
      </c>
      <c r="M9" s="19">
        <f t="shared" si="3"/>
        <v>29666.75</v>
      </c>
      <c r="N9" s="19">
        <f t="shared" si="3"/>
        <v>29666.75</v>
      </c>
      <c r="O9" s="103">
        <f t="shared" si="1"/>
        <v>356001</v>
      </c>
    </row>
    <row r="10" spans="1:28" hidden="1">
      <c r="B10" s="5" t="s">
        <v>40</v>
      </c>
      <c r="E10" s="16"/>
      <c r="F10" s="16"/>
      <c r="G10" s="16"/>
      <c r="H10" s="16"/>
      <c r="I10" s="16"/>
      <c r="J10" s="16"/>
      <c r="K10" s="16"/>
      <c r="L10" s="16"/>
      <c r="M10" s="16"/>
      <c r="N10" s="16"/>
      <c r="O10" s="103">
        <f t="shared" si="1"/>
        <v>0</v>
      </c>
    </row>
    <row r="11" spans="1:28" hidden="1">
      <c r="B11" s="5" t="s">
        <v>41</v>
      </c>
      <c r="E11" s="16"/>
      <c r="F11" s="16"/>
      <c r="G11" s="16"/>
      <c r="H11" s="16"/>
      <c r="I11" s="16"/>
      <c r="J11" s="16"/>
      <c r="K11" s="16"/>
      <c r="L11" s="16"/>
      <c r="M11" s="16"/>
      <c r="N11" s="16"/>
      <c r="O11" s="103">
        <f t="shared" si="1"/>
        <v>0</v>
      </c>
    </row>
    <row r="12" spans="1:28" hidden="1">
      <c r="B12" s="5" t="s">
        <v>42</v>
      </c>
      <c r="E12" s="16"/>
      <c r="F12" s="16"/>
      <c r="G12" s="16"/>
      <c r="H12" s="16"/>
      <c r="I12" s="16"/>
      <c r="J12" s="16"/>
      <c r="K12" s="16"/>
      <c r="L12" s="16"/>
      <c r="M12" s="16"/>
      <c r="N12" s="16"/>
      <c r="O12" s="103">
        <f t="shared" si="1"/>
        <v>0</v>
      </c>
    </row>
    <row r="13" spans="1:28" hidden="1">
      <c r="B13" s="5" t="s">
        <v>43</v>
      </c>
      <c r="E13" s="16"/>
      <c r="F13" s="16"/>
      <c r="G13" s="16"/>
      <c r="H13" s="16"/>
      <c r="I13" s="16"/>
      <c r="J13" s="16"/>
      <c r="K13" s="16"/>
      <c r="L13" s="16"/>
      <c r="M13" s="16"/>
      <c r="N13" s="16"/>
      <c r="O13" s="103">
        <f t="shared" si="1"/>
        <v>0</v>
      </c>
    </row>
    <row r="14" spans="1:28">
      <c r="A14" t="s">
        <v>22</v>
      </c>
      <c r="B14" s="10" t="s">
        <v>44</v>
      </c>
      <c r="C14" s="20">
        <f>SUM(C7:C13)</f>
        <v>298897</v>
      </c>
      <c r="D14" s="20">
        <f t="shared" ref="D14:N14" si="4">SUM(D7:D13)</f>
        <v>298897</v>
      </c>
      <c r="E14" s="20">
        <f t="shared" si="4"/>
        <v>298897</v>
      </c>
      <c r="F14" s="20">
        <f t="shared" si="4"/>
        <v>298897</v>
      </c>
      <c r="G14" s="20">
        <f t="shared" si="4"/>
        <v>298897</v>
      </c>
      <c r="H14" s="20">
        <f t="shared" si="4"/>
        <v>298897</v>
      </c>
      <c r="I14" s="20">
        <f t="shared" si="4"/>
        <v>298897</v>
      </c>
      <c r="J14" s="20">
        <f t="shared" si="4"/>
        <v>298897</v>
      </c>
      <c r="K14" s="20">
        <f t="shared" si="4"/>
        <v>298897</v>
      </c>
      <c r="L14" s="20">
        <f t="shared" si="4"/>
        <v>298897</v>
      </c>
      <c r="M14" s="20">
        <f t="shared" si="4"/>
        <v>298897</v>
      </c>
      <c r="N14" s="20">
        <f t="shared" si="4"/>
        <v>298897</v>
      </c>
      <c r="O14" s="104">
        <f>SUM(O7:O13)</f>
        <v>3586764</v>
      </c>
    </row>
    <row r="15" spans="1:28">
      <c r="B15" s="10"/>
      <c r="E15" s="16"/>
      <c r="F15" s="16"/>
      <c r="G15" s="16"/>
      <c r="H15" s="16"/>
      <c r="I15" s="16"/>
      <c r="J15" s="16"/>
      <c r="K15" s="16"/>
      <c r="L15" s="16"/>
      <c r="M15" s="16"/>
      <c r="N15" s="16"/>
      <c r="O15" s="103"/>
    </row>
    <row r="16" spans="1:28">
      <c r="B16" s="10" t="s">
        <v>117</v>
      </c>
      <c r="E16" s="16"/>
      <c r="F16" s="16"/>
      <c r="G16" s="16"/>
      <c r="H16" s="16"/>
      <c r="I16" s="16"/>
      <c r="J16" s="16"/>
      <c r="K16" s="16"/>
      <c r="L16" s="16"/>
      <c r="M16" s="16"/>
      <c r="N16" s="16"/>
      <c r="O16" s="103"/>
    </row>
    <row r="17" spans="1:15">
      <c r="B17" s="5" t="s">
        <v>37</v>
      </c>
      <c r="C17" s="21">
        <f>1718/12</f>
        <v>143.16666666666666</v>
      </c>
      <c r="D17" s="21">
        <f>1718/12</f>
        <v>143.16666666666666</v>
      </c>
      <c r="E17" s="21">
        <f t="shared" ref="E17:N17" si="5">1718/12</f>
        <v>143.16666666666666</v>
      </c>
      <c r="F17" s="21">
        <f t="shared" si="5"/>
        <v>143.16666666666666</v>
      </c>
      <c r="G17" s="21">
        <f t="shared" si="5"/>
        <v>143.16666666666666</v>
      </c>
      <c r="H17" s="21">
        <f t="shared" si="5"/>
        <v>143.16666666666666</v>
      </c>
      <c r="I17" s="21">
        <f t="shared" si="5"/>
        <v>143.16666666666666</v>
      </c>
      <c r="J17" s="21">
        <f t="shared" si="5"/>
        <v>143.16666666666666</v>
      </c>
      <c r="K17" s="21">
        <f t="shared" si="5"/>
        <v>143.16666666666666</v>
      </c>
      <c r="L17" s="21">
        <f t="shared" si="5"/>
        <v>143.16666666666666</v>
      </c>
      <c r="M17" s="21">
        <f t="shared" si="5"/>
        <v>143.16666666666666</v>
      </c>
      <c r="N17" s="21">
        <f t="shared" si="5"/>
        <v>143.16666666666666</v>
      </c>
      <c r="O17" s="103">
        <f t="shared" ref="O17:O23" si="6">SUM(C17:N17)</f>
        <v>1718.0000000000002</v>
      </c>
    </row>
    <row r="18" spans="1:15">
      <c r="B18" s="5" t="s">
        <v>38</v>
      </c>
      <c r="C18" s="19">
        <f>154049/12</f>
        <v>12837.416666666666</v>
      </c>
      <c r="D18" s="19">
        <f t="shared" ref="D18:N18" si="7">154049/12</f>
        <v>12837.416666666666</v>
      </c>
      <c r="E18" s="19">
        <f t="shared" si="7"/>
        <v>12837.416666666666</v>
      </c>
      <c r="F18" s="19">
        <f t="shared" si="7"/>
        <v>12837.416666666666</v>
      </c>
      <c r="G18" s="19">
        <f t="shared" si="7"/>
        <v>12837.416666666666</v>
      </c>
      <c r="H18" s="19">
        <f t="shared" si="7"/>
        <v>12837.416666666666</v>
      </c>
      <c r="I18" s="19">
        <f t="shared" si="7"/>
        <v>12837.416666666666</v>
      </c>
      <c r="J18" s="19">
        <f t="shared" si="7"/>
        <v>12837.416666666666</v>
      </c>
      <c r="K18" s="19">
        <f t="shared" si="7"/>
        <v>12837.416666666666</v>
      </c>
      <c r="L18" s="19">
        <f t="shared" si="7"/>
        <v>12837.416666666666</v>
      </c>
      <c r="M18" s="19">
        <f t="shared" si="7"/>
        <v>12837.416666666666</v>
      </c>
      <c r="N18" s="19">
        <f t="shared" si="7"/>
        <v>12837.416666666666</v>
      </c>
      <c r="O18" s="103">
        <f t="shared" si="6"/>
        <v>154049</v>
      </c>
    </row>
    <row r="19" spans="1:15" hidden="1">
      <c r="B19" s="5" t="s">
        <v>39</v>
      </c>
      <c r="E19" s="16"/>
      <c r="F19" s="16"/>
      <c r="G19" s="16"/>
      <c r="H19" s="16"/>
      <c r="I19" s="16"/>
      <c r="J19" s="16"/>
      <c r="K19" s="16"/>
      <c r="L19" s="16"/>
      <c r="M19" s="16"/>
      <c r="N19" s="16"/>
      <c r="O19" s="103">
        <f t="shared" si="6"/>
        <v>0</v>
      </c>
    </row>
    <row r="20" spans="1:15">
      <c r="B20" s="5" t="s">
        <v>40</v>
      </c>
      <c r="C20" s="19">
        <f>5000/12</f>
        <v>416.66666666666669</v>
      </c>
      <c r="D20" s="19">
        <f t="shared" ref="D20:N20" si="8">5000/12</f>
        <v>416.66666666666669</v>
      </c>
      <c r="E20" s="19">
        <f t="shared" si="8"/>
        <v>416.66666666666669</v>
      </c>
      <c r="F20" s="19">
        <f t="shared" si="8"/>
        <v>416.66666666666669</v>
      </c>
      <c r="G20" s="19">
        <f t="shared" si="8"/>
        <v>416.66666666666669</v>
      </c>
      <c r="H20" s="19">
        <f t="shared" si="8"/>
        <v>416.66666666666669</v>
      </c>
      <c r="I20" s="19">
        <f t="shared" si="8"/>
        <v>416.66666666666669</v>
      </c>
      <c r="J20" s="19">
        <f t="shared" si="8"/>
        <v>416.66666666666669</v>
      </c>
      <c r="K20" s="19">
        <f t="shared" si="8"/>
        <v>416.66666666666669</v>
      </c>
      <c r="L20" s="19">
        <f t="shared" si="8"/>
        <v>416.66666666666669</v>
      </c>
      <c r="M20" s="19">
        <f t="shared" si="8"/>
        <v>416.66666666666669</v>
      </c>
      <c r="N20" s="19">
        <f t="shared" si="8"/>
        <v>416.66666666666669</v>
      </c>
      <c r="O20" s="103">
        <f t="shared" si="6"/>
        <v>5000</v>
      </c>
    </row>
    <row r="21" spans="1:15" hidden="1">
      <c r="B21" s="5" t="s">
        <v>41</v>
      </c>
      <c r="E21" s="16"/>
      <c r="F21" s="16"/>
      <c r="G21" s="16"/>
      <c r="H21" s="16"/>
      <c r="I21" s="16"/>
      <c r="J21" s="16"/>
      <c r="K21" s="16"/>
      <c r="L21" s="16"/>
      <c r="M21" s="16"/>
      <c r="N21" s="16"/>
      <c r="O21" s="103">
        <f t="shared" si="6"/>
        <v>0</v>
      </c>
    </row>
    <row r="22" spans="1:15">
      <c r="B22" s="5" t="s">
        <v>42</v>
      </c>
      <c r="C22" s="19">
        <f>700349/12</f>
        <v>58362.416666666664</v>
      </c>
      <c r="D22" s="19">
        <f t="shared" ref="D22:N22" si="9">700349/12</f>
        <v>58362.416666666664</v>
      </c>
      <c r="E22" s="19">
        <f t="shared" si="9"/>
        <v>58362.416666666664</v>
      </c>
      <c r="F22" s="19">
        <f t="shared" si="9"/>
        <v>58362.416666666664</v>
      </c>
      <c r="G22" s="19">
        <f t="shared" si="9"/>
        <v>58362.416666666664</v>
      </c>
      <c r="H22" s="19">
        <f t="shared" si="9"/>
        <v>58362.416666666664</v>
      </c>
      <c r="I22" s="19">
        <f t="shared" si="9"/>
        <v>58362.416666666664</v>
      </c>
      <c r="J22" s="19">
        <f t="shared" si="9"/>
        <v>58362.416666666664</v>
      </c>
      <c r="K22" s="19">
        <f t="shared" si="9"/>
        <v>58362.416666666664</v>
      </c>
      <c r="L22" s="19">
        <f t="shared" si="9"/>
        <v>58362.416666666664</v>
      </c>
      <c r="M22" s="19">
        <f t="shared" si="9"/>
        <v>58362.416666666664</v>
      </c>
      <c r="N22" s="19">
        <f t="shared" si="9"/>
        <v>58362.416666666664</v>
      </c>
      <c r="O22" s="103">
        <f t="shared" si="6"/>
        <v>700348.99999999988</v>
      </c>
    </row>
    <row r="23" spans="1:15">
      <c r="B23" s="5" t="s">
        <v>43</v>
      </c>
      <c r="C23" s="19">
        <f>446205/12</f>
        <v>37183.75</v>
      </c>
      <c r="D23" s="19">
        <f t="shared" ref="D23:N23" si="10">446205/12</f>
        <v>37183.75</v>
      </c>
      <c r="E23" s="19">
        <f t="shared" si="10"/>
        <v>37183.75</v>
      </c>
      <c r="F23" s="19">
        <f t="shared" si="10"/>
        <v>37183.75</v>
      </c>
      <c r="G23" s="19">
        <f t="shared" si="10"/>
        <v>37183.75</v>
      </c>
      <c r="H23" s="19">
        <f t="shared" si="10"/>
        <v>37183.75</v>
      </c>
      <c r="I23" s="19">
        <f t="shared" si="10"/>
        <v>37183.75</v>
      </c>
      <c r="J23" s="19">
        <f t="shared" si="10"/>
        <v>37183.75</v>
      </c>
      <c r="K23" s="19">
        <f t="shared" si="10"/>
        <v>37183.75</v>
      </c>
      <c r="L23" s="19">
        <f t="shared" si="10"/>
        <v>37183.75</v>
      </c>
      <c r="M23" s="19">
        <f t="shared" si="10"/>
        <v>37183.75</v>
      </c>
      <c r="N23" s="19">
        <f t="shared" si="10"/>
        <v>37183.75</v>
      </c>
      <c r="O23" s="103">
        <f t="shared" si="6"/>
        <v>446205</v>
      </c>
    </row>
    <row r="24" spans="1:15">
      <c r="A24" t="s">
        <v>21</v>
      </c>
      <c r="B24" s="10" t="s">
        <v>52</v>
      </c>
      <c r="C24" s="20">
        <f t="shared" ref="C24:N24" si="11">SUM(C17:C23)</f>
        <v>108943.41666666666</v>
      </c>
      <c r="D24" s="20">
        <f t="shared" si="11"/>
        <v>108943.41666666666</v>
      </c>
      <c r="E24" s="20">
        <f t="shared" si="11"/>
        <v>108943.41666666666</v>
      </c>
      <c r="F24" s="20">
        <f t="shared" si="11"/>
        <v>108943.41666666666</v>
      </c>
      <c r="G24" s="20">
        <f t="shared" si="11"/>
        <v>108943.41666666666</v>
      </c>
      <c r="H24" s="20">
        <f t="shared" si="11"/>
        <v>108943.41666666666</v>
      </c>
      <c r="I24" s="20">
        <f t="shared" si="11"/>
        <v>108943.41666666666</v>
      </c>
      <c r="J24" s="20">
        <f t="shared" si="11"/>
        <v>108943.41666666666</v>
      </c>
      <c r="K24" s="20">
        <f t="shared" si="11"/>
        <v>108943.41666666666</v>
      </c>
      <c r="L24" s="20">
        <f t="shared" si="11"/>
        <v>108943.41666666666</v>
      </c>
      <c r="M24" s="20">
        <f t="shared" si="11"/>
        <v>108943.41666666666</v>
      </c>
      <c r="N24" s="20">
        <f t="shared" si="11"/>
        <v>108943.41666666666</v>
      </c>
      <c r="O24" s="104">
        <f>SUM(O17:O23)</f>
        <v>1307321</v>
      </c>
    </row>
    <row r="25" spans="1:15" ht="16.149999999999999" customHeight="1">
      <c r="B25" s="10"/>
      <c r="E25" s="16"/>
      <c r="F25" s="16"/>
      <c r="G25" s="16"/>
      <c r="H25" s="16"/>
      <c r="I25" s="16"/>
      <c r="J25" s="16"/>
      <c r="K25" s="16"/>
      <c r="L25" s="16"/>
      <c r="M25" s="16"/>
      <c r="N25" s="16"/>
      <c r="O25" s="103"/>
    </row>
    <row r="26" spans="1:15">
      <c r="B26" s="10" t="s">
        <v>118</v>
      </c>
      <c r="E26" s="16"/>
      <c r="F26" s="16"/>
      <c r="G26" s="16"/>
      <c r="H26" s="16"/>
      <c r="I26" s="16"/>
      <c r="J26" s="16"/>
      <c r="K26" s="16"/>
      <c r="L26" s="16"/>
      <c r="M26" s="16"/>
      <c r="N26" s="16"/>
      <c r="O26" s="103"/>
    </row>
    <row r="27" spans="1:15">
      <c r="B27" s="5" t="s">
        <v>37</v>
      </c>
      <c r="C27" s="19">
        <f>322533/12</f>
        <v>26877.75</v>
      </c>
      <c r="D27" s="19">
        <f t="shared" ref="D27:N27" si="12">322533/12</f>
        <v>26877.75</v>
      </c>
      <c r="E27" s="19">
        <f t="shared" si="12"/>
        <v>26877.75</v>
      </c>
      <c r="F27" s="19">
        <f t="shared" si="12"/>
        <v>26877.75</v>
      </c>
      <c r="G27" s="19">
        <f t="shared" si="12"/>
        <v>26877.75</v>
      </c>
      <c r="H27" s="19">
        <f t="shared" si="12"/>
        <v>26877.75</v>
      </c>
      <c r="I27" s="19">
        <f t="shared" si="12"/>
        <v>26877.75</v>
      </c>
      <c r="J27" s="19">
        <f t="shared" si="12"/>
        <v>26877.75</v>
      </c>
      <c r="K27" s="19">
        <f t="shared" si="12"/>
        <v>26877.75</v>
      </c>
      <c r="L27" s="19">
        <f t="shared" si="12"/>
        <v>26877.75</v>
      </c>
      <c r="M27" s="19">
        <f t="shared" si="12"/>
        <v>26877.75</v>
      </c>
      <c r="N27" s="19">
        <f t="shared" si="12"/>
        <v>26877.75</v>
      </c>
      <c r="O27" s="103">
        <f t="shared" ref="O27:O33" si="13">SUM(C27:N27)</f>
        <v>322533</v>
      </c>
    </row>
    <row r="28" spans="1:15">
      <c r="B28" s="5" t="s">
        <v>38</v>
      </c>
      <c r="C28" s="19">
        <f t="shared" ref="C28:M28" si="14">89584/12</f>
        <v>7465.333333333333</v>
      </c>
      <c r="D28" s="19">
        <f t="shared" si="14"/>
        <v>7465.333333333333</v>
      </c>
      <c r="E28" s="19">
        <f t="shared" si="14"/>
        <v>7465.333333333333</v>
      </c>
      <c r="F28" s="19">
        <f t="shared" si="14"/>
        <v>7465.333333333333</v>
      </c>
      <c r="G28" s="19">
        <f t="shared" si="14"/>
        <v>7465.333333333333</v>
      </c>
      <c r="H28" s="19">
        <f t="shared" si="14"/>
        <v>7465.333333333333</v>
      </c>
      <c r="I28" s="19">
        <f t="shared" si="14"/>
        <v>7465.333333333333</v>
      </c>
      <c r="J28" s="19">
        <f t="shared" si="14"/>
        <v>7465.333333333333</v>
      </c>
      <c r="K28" s="19">
        <f t="shared" si="14"/>
        <v>7465.333333333333</v>
      </c>
      <c r="L28" s="19">
        <f t="shared" si="14"/>
        <v>7465.333333333333</v>
      </c>
      <c r="M28" s="19">
        <f t="shared" si="14"/>
        <v>7465.333333333333</v>
      </c>
      <c r="N28" s="19">
        <f>89584/12</f>
        <v>7465.333333333333</v>
      </c>
      <c r="O28" s="103">
        <f t="shared" si="13"/>
        <v>89583.999999999985</v>
      </c>
    </row>
    <row r="29" spans="1:15">
      <c r="B29" s="5" t="s">
        <v>242</v>
      </c>
      <c r="C29" s="19">
        <f>15802/12</f>
        <v>1316.8333333333333</v>
      </c>
      <c r="D29" s="19">
        <f t="shared" ref="D29:N29" si="15">15802/12</f>
        <v>1316.8333333333333</v>
      </c>
      <c r="E29" s="19">
        <f t="shared" si="15"/>
        <v>1316.8333333333333</v>
      </c>
      <c r="F29" s="19">
        <f t="shared" si="15"/>
        <v>1316.8333333333333</v>
      </c>
      <c r="G29" s="19">
        <f t="shared" si="15"/>
        <v>1316.8333333333333</v>
      </c>
      <c r="H29" s="19">
        <f t="shared" si="15"/>
        <v>1316.8333333333333</v>
      </c>
      <c r="I29" s="19">
        <f t="shared" si="15"/>
        <v>1316.8333333333333</v>
      </c>
      <c r="J29" s="19">
        <f t="shared" si="15"/>
        <v>1316.8333333333333</v>
      </c>
      <c r="K29" s="19">
        <f t="shared" si="15"/>
        <v>1316.8333333333333</v>
      </c>
      <c r="L29" s="19">
        <f t="shared" si="15"/>
        <v>1316.8333333333333</v>
      </c>
      <c r="M29" s="19">
        <f t="shared" si="15"/>
        <v>1316.8333333333333</v>
      </c>
      <c r="N29" s="19">
        <f t="shared" si="15"/>
        <v>1316.8333333333333</v>
      </c>
      <c r="O29" s="103">
        <f t="shared" si="13"/>
        <v>15802.000000000002</v>
      </c>
    </row>
    <row r="30" spans="1:15" hidden="1">
      <c r="B30" s="5" t="s">
        <v>40</v>
      </c>
      <c r="O30" s="103">
        <f t="shared" si="13"/>
        <v>0</v>
      </c>
    </row>
    <row r="31" spans="1:15" hidden="1">
      <c r="B31" s="5" t="s">
        <v>41</v>
      </c>
      <c r="O31" s="103">
        <f t="shared" si="13"/>
        <v>0</v>
      </c>
    </row>
    <row r="32" spans="1:15" hidden="1">
      <c r="B32" s="5" t="s">
        <v>42</v>
      </c>
      <c r="O32" s="103">
        <f t="shared" si="13"/>
        <v>0</v>
      </c>
    </row>
    <row r="33" spans="1:16">
      <c r="B33" s="5" t="s">
        <v>43</v>
      </c>
      <c r="C33" s="19">
        <f>252774/12</f>
        <v>21064.5</v>
      </c>
      <c r="D33" s="19">
        <f t="shared" ref="D33:N33" si="16">252774/12</f>
        <v>21064.5</v>
      </c>
      <c r="E33" s="19">
        <f t="shared" si="16"/>
        <v>21064.5</v>
      </c>
      <c r="F33" s="19">
        <f t="shared" si="16"/>
        <v>21064.5</v>
      </c>
      <c r="G33" s="19">
        <f t="shared" si="16"/>
        <v>21064.5</v>
      </c>
      <c r="H33" s="19">
        <f t="shared" si="16"/>
        <v>21064.5</v>
      </c>
      <c r="I33" s="19">
        <f t="shared" si="16"/>
        <v>21064.5</v>
      </c>
      <c r="J33" s="19">
        <f t="shared" si="16"/>
        <v>21064.5</v>
      </c>
      <c r="K33" s="19">
        <f t="shared" si="16"/>
        <v>21064.5</v>
      </c>
      <c r="L33" s="19">
        <f t="shared" si="16"/>
        <v>21064.5</v>
      </c>
      <c r="M33" s="19">
        <f t="shared" si="16"/>
        <v>21064.5</v>
      </c>
      <c r="N33" s="19">
        <f t="shared" si="16"/>
        <v>21064.5</v>
      </c>
      <c r="O33" s="103">
        <f t="shared" si="13"/>
        <v>252774</v>
      </c>
    </row>
    <row r="34" spans="1:16">
      <c r="A34" t="s">
        <v>20</v>
      </c>
      <c r="B34" s="10" t="s">
        <v>51</v>
      </c>
      <c r="C34" s="20">
        <f t="shared" ref="C34:O34" si="17">SUM(C27:C33)</f>
        <v>56724.416666666672</v>
      </c>
      <c r="D34" s="20">
        <f t="shared" si="17"/>
        <v>56724.416666666672</v>
      </c>
      <c r="E34" s="20">
        <f t="shared" si="17"/>
        <v>56724.416666666672</v>
      </c>
      <c r="F34" s="20">
        <f t="shared" si="17"/>
        <v>56724.416666666672</v>
      </c>
      <c r="G34" s="20">
        <f t="shared" si="17"/>
        <v>56724.416666666672</v>
      </c>
      <c r="H34" s="20">
        <f t="shared" si="17"/>
        <v>56724.416666666672</v>
      </c>
      <c r="I34" s="20">
        <f t="shared" si="17"/>
        <v>56724.416666666672</v>
      </c>
      <c r="J34" s="20">
        <f t="shared" si="17"/>
        <v>56724.416666666672</v>
      </c>
      <c r="K34" s="20">
        <f t="shared" si="17"/>
        <v>56724.416666666672</v>
      </c>
      <c r="L34" s="20">
        <f t="shared" si="17"/>
        <v>56724.416666666672</v>
      </c>
      <c r="M34" s="20">
        <f t="shared" si="17"/>
        <v>56724.416666666672</v>
      </c>
      <c r="N34" s="20">
        <f t="shared" si="17"/>
        <v>56724.416666666672</v>
      </c>
      <c r="O34" s="104">
        <f t="shared" si="17"/>
        <v>680693</v>
      </c>
    </row>
    <row r="35" spans="1:16">
      <c r="B35" s="10"/>
      <c r="O35" s="105"/>
    </row>
    <row r="36" spans="1:16" ht="15.75" thickBot="1">
      <c r="A36" t="s">
        <v>128</v>
      </c>
      <c r="B36" s="10" t="s">
        <v>119</v>
      </c>
      <c r="C36" s="22">
        <f>C34+C24+C14</f>
        <v>464564.83333333331</v>
      </c>
      <c r="D36" s="22">
        <f t="shared" ref="D36:O36" si="18">D34+D24+D14</f>
        <v>464564.83333333331</v>
      </c>
      <c r="E36" s="22">
        <f t="shared" si="18"/>
        <v>464564.83333333331</v>
      </c>
      <c r="F36" s="22">
        <f t="shared" si="18"/>
        <v>464564.83333333331</v>
      </c>
      <c r="G36" s="22">
        <f t="shared" si="18"/>
        <v>464564.83333333331</v>
      </c>
      <c r="H36" s="22">
        <f t="shared" si="18"/>
        <v>464564.83333333331</v>
      </c>
      <c r="I36" s="22">
        <f t="shared" si="18"/>
        <v>464564.83333333331</v>
      </c>
      <c r="J36" s="22">
        <f t="shared" si="18"/>
        <v>464564.83333333331</v>
      </c>
      <c r="K36" s="22">
        <f t="shared" si="18"/>
        <v>464564.83333333331</v>
      </c>
      <c r="L36" s="22">
        <f t="shared" si="18"/>
        <v>464564.83333333331</v>
      </c>
      <c r="M36" s="22">
        <f t="shared" si="18"/>
        <v>464564.83333333331</v>
      </c>
      <c r="N36" s="22">
        <f t="shared" si="18"/>
        <v>464564.83333333331</v>
      </c>
      <c r="O36" s="106">
        <f t="shared" si="18"/>
        <v>5574778</v>
      </c>
    </row>
    <row r="37" spans="1:16" ht="15.75" thickTop="1">
      <c r="B37" s="10"/>
      <c r="O37" s="105"/>
    </row>
    <row r="38" spans="1:16">
      <c r="B38" s="11" t="s">
        <v>120</v>
      </c>
      <c r="O38" s="105"/>
    </row>
    <row r="39" spans="1:16">
      <c r="B39" s="6" t="s">
        <v>37</v>
      </c>
      <c r="C39" s="19">
        <v>555178.04</v>
      </c>
      <c r="D39" s="19">
        <v>106263</v>
      </c>
      <c r="E39" s="19">
        <v>116622.1</v>
      </c>
      <c r="F39" s="60">
        <v>118980</v>
      </c>
      <c r="G39" s="19">
        <v>162713</v>
      </c>
      <c r="H39" s="19">
        <v>146740</v>
      </c>
      <c r="I39" s="19">
        <v>202670</v>
      </c>
      <c r="J39" s="19">
        <v>168286</v>
      </c>
      <c r="K39" s="19">
        <v>161138</v>
      </c>
      <c r="L39" s="19">
        <v>122997</v>
      </c>
      <c r="M39" s="19">
        <v>71249.850000000006</v>
      </c>
      <c r="N39" s="19">
        <v>140261</v>
      </c>
      <c r="O39" s="103">
        <f t="shared" ref="O39:O45" si="19">SUM(C39:N39)</f>
        <v>2073097.9900000002</v>
      </c>
      <c r="P39" s="17">
        <f t="shared" ref="P39:P45" si="20">SUM(D39:O39)</f>
        <v>3591017.9400000004</v>
      </c>
    </row>
    <row r="40" spans="1:16">
      <c r="B40" s="6" t="s">
        <v>38</v>
      </c>
      <c r="C40" s="19">
        <v>107608.58</v>
      </c>
      <c r="D40" s="19">
        <v>85453.32</v>
      </c>
      <c r="E40" s="19">
        <v>96183.8</v>
      </c>
      <c r="F40" s="60">
        <v>54287</v>
      </c>
      <c r="G40" s="19">
        <v>93654</v>
      </c>
      <c r="H40" s="19">
        <v>69193</v>
      </c>
      <c r="I40" s="19">
        <v>74133</v>
      </c>
      <c r="J40" s="19">
        <v>69702</v>
      </c>
      <c r="K40" s="19">
        <v>60177</v>
      </c>
      <c r="L40" s="19">
        <v>113538</v>
      </c>
      <c r="M40" s="19">
        <v>110519.65000000001</v>
      </c>
      <c r="N40" s="19">
        <v>109500.82</v>
      </c>
      <c r="O40" s="103">
        <f t="shared" si="19"/>
        <v>1043950.1699999999</v>
      </c>
      <c r="P40" s="17">
        <f t="shared" si="20"/>
        <v>1980291.76</v>
      </c>
    </row>
    <row r="41" spans="1:16">
      <c r="B41" s="6" t="s">
        <v>242</v>
      </c>
      <c r="C41" s="19"/>
      <c r="D41" s="19">
        <v>618.53</v>
      </c>
      <c r="E41" s="19"/>
      <c r="F41" s="60">
        <v>0</v>
      </c>
      <c r="G41" s="19">
        <v>84338</v>
      </c>
      <c r="H41" s="19"/>
      <c r="I41" s="19">
        <v>49016</v>
      </c>
      <c r="J41" s="19">
        <v>62818</v>
      </c>
      <c r="K41" s="19">
        <v>39157</v>
      </c>
      <c r="L41" s="19">
        <v>23611</v>
      </c>
      <c r="M41" s="19">
        <v>3283.81</v>
      </c>
      <c r="N41" s="19">
        <v>10003.39</v>
      </c>
      <c r="O41" s="103">
        <f t="shared" si="19"/>
        <v>272845.73000000004</v>
      </c>
      <c r="P41" s="17">
        <f t="shared" si="20"/>
        <v>545691.46000000008</v>
      </c>
    </row>
    <row r="42" spans="1:16" hidden="1">
      <c r="B42" s="6" t="s">
        <v>40</v>
      </c>
      <c r="C42" s="19"/>
      <c r="D42" s="19"/>
      <c r="E42" s="19"/>
      <c r="F42" s="60"/>
      <c r="G42" s="19"/>
      <c r="H42" s="19"/>
      <c r="I42" s="19"/>
      <c r="J42" s="19"/>
      <c r="K42" s="19"/>
      <c r="L42" s="19"/>
      <c r="M42" s="19"/>
      <c r="N42" s="19"/>
      <c r="O42" s="103">
        <f t="shared" si="19"/>
        <v>0</v>
      </c>
      <c r="P42" s="17">
        <f t="shared" si="20"/>
        <v>0</v>
      </c>
    </row>
    <row r="43" spans="1:16" hidden="1">
      <c r="B43" s="6" t="s">
        <v>41</v>
      </c>
      <c r="C43" s="19"/>
      <c r="D43" s="19"/>
      <c r="E43" s="19"/>
      <c r="F43" s="60"/>
      <c r="G43" s="19"/>
      <c r="H43" s="19"/>
      <c r="I43" s="19"/>
      <c r="J43" s="19"/>
      <c r="K43" s="19"/>
      <c r="L43" s="19"/>
      <c r="M43" s="19"/>
      <c r="N43" s="19"/>
      <c r="O43" s="103">
        <f t="shared" si="19"/>
        <v>0</v>
      </c>
      <c r="P43" s="17">
        <f t="shared" si="20"/>
        <v>0</v>
      </c>
    </row>
    <row r="44" spans="1:16" hidden="1">
      <c r="B44" s="6" t="s">
        <v>42</v>
      </c>
      <c r="C44" s="19"/>
      <c r="D44" s="19"/>
      <c r="E44" s="19"/>
      <c r="F44" s="60"/>
      <c r="G44" s="19"/>
      <c r="H44" s="19"/>
      <c r="I44" s="19"/>
      <c r="J44" s="19"/>
      <c r="K44" s="19"/>
      <c r="L44" s="19"/>
      <c r="M44" s="19"/>
      <c r="N44" s="19"/>
      <c r="O44" s="103">
        <f t="shared" si="19"/>
        <v>0</v>
      </c>
      <c r="P44" s="17">
        <f t="shared" si="20"/>
        <v>0</v>
      </c>
    </row>
    <row r="45" spans="1:16" hidden="1">
      <c r="B45" s="6" t="s">
        <v>43</v>
      </c>
      <c r="C45" s="19"/>
      <c r="D45" s="19"/>
      <c r="E45" s="19"/>
      <c r="F45" s="60"/>
      <c r="G45" s="19"/>
      <c r="H45" s="19"/>
      <c r="I45" s="19"/>
      <c r="J45" s="19"/>
      <c r="K45" s="19"/>
      <c r="L45" s="19"/>
      <c r="M45" s="19"/>
      <c r="N45" s="19"/>
      <c r="O45" s="103">
        <f t="shared" si="19"/>
        <v>0</v>
      </c>
      <c r="P45" s="17">
        <f t="shared" si="20"/>
        <v>0</v>
      </c>
    </row>
    <row r="46" spans="1:16">
      <c r="A46" t="s">
        <v>24</v>
      </c>
      <c r="B46" s="11" t="s">
        <v>45</v>
      </c>
      <c r="C46" s="20">
        <f>SUM(C39:C45)</f>
        <v>662786.62</v>
      </c>
      <c r="D46" s="20">
        <f t="shared" ref="D46:N46" si="21">SUM(D39:D45)</f>
        <v>192334.85</v>
      </c>
      <c r="E46" s="20">
        <f t="shared" si="21"/>
        <v>212805.90000000002</v>
      </c>
      <c r="F46" s="20">
        <f t="shared" si="21"/>
        <v>173267</v>
      </c>
      <c r="G46" s="20">
        <f t="shared" si="21"/>
        <v>340705</v>
      </c>
      <c r="H46" s="20">
        <f t="shared" si="21"/>
        <v>215933</v>
      </c>
      <c r="I46" s="20">
        <f t="shared" si="21"/>
        <v>325819</v>
      </c>
      <c r="J46" s="20">
        <f t="shared" si="21"/>
        <v>300806</v>
      </c>
      <c r="K46" s="20">
        <f t="shared" si="21"/>
        <v>260472</v>
      </c>
      <c r="L46" s="20">
        <f t="shared" si="21"/>
        <v>260146</v>
      </c>
      <c r="M46" s="20">
        <f t="shared" si="21"/>
        <v>185053.31</v>
      </c>
      <c r="N46" s="20">
        <f t="shared" si="21"/>
        <v>259765.21000000002</v>
      </c>
      <c r="O46" s="104">
        <f t="shared" ref="O46" si="22">SUM(O39:O45)</f>
        <v>3389893.89</v>
      </c>
      <c r="P46" s="20">
        <f>SUM(P39:P45)</f>
        <v>6117001.1600000001</v>
      </c>
    </row>
    <row r="47" spans="1:16">
      <c r="B47" s="11"/>
      <c r="C47" s="19"/>
      <c r="D47" s="19"/>
      <c r="E47" s="19"/>
      <c r="F47" s="59"/>
      <c r="G47" s="19"/>
      <c r="H47" s="19"/>
      <c r="I47" s="19"/>
      <c r="J47" s="19"/>
      <c r="K47" s="19"/>
      <c r="L47" s="19"/>
      <c r="M47" s="19"/>
      <c r="N47" s="19"/>
      <c r="O47" s="107"/>
      <c r="P47" s="19"/>
    </row>
    <row r="48" spans="1:16">
      <c r="B48" s="11" t="s">
        <v>121</v>
      </c>
      <c r="C48" s="19"/>
      <c r="D48" s="19"/>
      <c r="E48" s="19"/>
      <c r="F48" s="59"/>
      <c r="G48" s="19"/>
      <c r="H48" s="19"/>
      <c r="I48" s="19"/>
      <c r="J48" s="19"/>
      <c r="K48" s="19"/>
      <c r="L48" s="19"/>
      <c r="M48" s="19"/>
      <c r="N48" s="19"/>
      <c r="O48" s="103"/>
      <c r="P48" s="19"/>
    </row>
    <row r="49" spans="1:16">
      <c r="B49" s="6" t="s">
        <v>37</v>
      </c>
      <c r="C49" s="19">
        <v>61577.1</v>
      </c>
      <c r="D49" s="19">
        <v>11059.97</v>
      </c>
      <c r="E49" s="19">
        <v>77226.27</v>
      </c>
      <c r="F49" s="60">
        <v>22284</v>
      </c>
      <c r="G49" s="19">
        <v>4550</v>
      </c>
      <c r="H49" s="19">
        <v>14527</v>
      </c>
      <c r="I49" s="19">
        <v>13392</v>
      </c>
      <c r="J49" s="19">
        <v>27491</v>
      </c>
      <c r="K49" s="19">
        <v>65599</v>
      </c>
      <c r="L49" s="19">
        <v>120036</v>
      </c>
      <c r="M49" s="19">
        <v>47003.58</v>
      </c>
      <c r="N49" s="19">
        <v>7501.6699999999992</v>
      </c>
      <c r="O49" s="103">
        <f t="shared" ref="O49:O55" si="23">SUM(C49:N49)</f>
        <v>472247.58999999997</v>
      </c>
      <c r="P49" s="17">
        <f t="shared" ref="P49:P55" si="24">SUM(D49:O49)</f>
        <v>882918.08</v>
      </c>
    </row>
    <row r="50" spans="1:16">
      <c r="B50" s="6" t="s">
        <v>38</v>
      </c>
      <c r="C50" s="19">
        <v>36262.93</v>
      </c>
      <c r="D50" s="19">
        <v>21820.91</v>
      </c>
      <c r="E50" s="19">
        <v>30424.26</v>
      </c>
      <c r="F50" s="60">
        <v>16106</v>
      </c>
      <c r="G50" s="19">
        <v>23685</v>
      </c>
      <c r="H50" s="19">
        <v>13179</v>
      </c>
      <c r="I50" s="19">
        <v>29117</v>
      </c>
      <c r="J50" s="19"/>
      <c r="K50" s="19">
        <v>515</v>
      </c>
      <c r="L50" s="19">
        <v>54326</v>
      </c>
      <c r="M50" s="19">
        <v>74072.02</v>
      </c>
      <c r="N50" s="19">
        <v>19207.71</v>
      </c>
      <c r="O50" s="103">
        <f t="shared" si="23"/>
        <v>318715.83</v>
      </c>
      <c r="P50" s="17">
        <f t="shared" si="24"/>
        <v>601168.73</v>
      </c>
    </row>
    <row r="51" spans="1:16">
      <c r="B51" s="6" t="s">
        <v>39</v>
      </c>
      <c r="C51" s="19">
        <v>3035.47</v>
      </c>
      <c r="D51" s="19">
        <v>1067.99</v>
      </c>
      <c r="E51" s="19">
        <v>1001.12</v>
      </c>
      <c r="F51" s="60">
        <v>885</v>
      </c>
      <c r="G51" s="19">
        <v>4663</v>
      </c>
      <c r="H51" s="19">
        <v>1120</v>
      </c>
      <c r="I51" s="19">
        <v>8234</v>
      </c>
      <c r="J51" s="19">
        <v>2969</v>
      </c>
      <c r="K51" s="19">
        <v>6378</v>
      </c>
      <c r="L51" s="19">
        <v>1231</v>
      </c>
      <c r="M51" s="19">
        <v>1073.71</v>
      </c>
      <c r="N51" s="19">
        <v>4947.47</v>
      </c>
      <c r="O51" s="103">
        <f t="shared" si="23"/>
        <v>36605.760000000002</v>
      </c>
      <c r="P51" s="17">
        <f t="shared" si="24"/>
        <v>70176.05</v>
      </c>
    </row>
    <row r="52" spans="1:16">
      <c r="B52" s="6" t="s">
        <v>40</v>
      </c>
      <c r="C52" s="19">
        <v>0</v>
      </c>
      <c r="D52" s="19"/>
      <c r="E52" s="19"/>
      <c r="F52" s="60"/>
      <c r="G52" s="19"/>
      <c r="H52" s="19"/>
      <c r="I52" s="19"/>
      <c r="J52" s="19"/>
      <c r="K52" s="19"/>
      <c r="L52" s="19"/>
      <c r="M52" s="19"/>
      <c r="N52" s="19"/>
      <c r="O52" s="103">
        <f t="shared" si="23"/>
        <v>0</v>
      </c>
      <c r="P52" s="17">
        <f t="shared" si="24"/>
        <v>0</v>
      </c>
    </row>
    <row r="53" spans="1:16">
      <c r="B53" s="6" t="s">
        <v>41</v>
      </c>
      <c r="C53" s="19">
        <v>0</v>
      </c>
      <c r="D53" s="19"/>
      <c r="E53" s="19"/>
      <c r="F53" s="60"/>
      <c r="G53" s="19"/>
      <c r="H53" s="19"/>
      <c r="I53" s="19"/>
      <c r="J53" s="19"/>
      <c r="K53" s="19"/>
      <c r="L53" s="19"/>
      <c r="M53" s="19"/>
      <c r="N53" s="19"/>
      <c r="O53" s="103">
        <f t="shared" si="23"/>
        <v>0</v>
      </c>
      <c r="P53" s="17">
        <f t="shared" si="24"/>
        <v>0</v>
      </c>
    </row>
    <row r="54" spans="1:16">
      <c r="B54" s="6" t="s">
        <v>42</v>
      </c>
      <c r="C54" s="19">
        <v>248.19</v>
      </c>
      <c r="D54" s="19">
        <v>271.02999999999997</v>
      </c>
      <c r="E54" s="19">
        <v>129336.5</v>
      </c>
      <c r="F54" s="60">
        <v>390</v>
      </c>
      <c r="G54" s="19">
        <v>454</v>
      </c>
      <c r="H54" s="19">
        <v>148455</v>
      </c>
      <c r="I54" s="19">
        <v>308</v>
      </c>
      <c r="J54" s="19">
        <v>21936</v>
      </c>
      <c r="K54" s="19">
        <v>826</v>
      </c>
      <c r="L54" s="19">
        <v>555</v>
      </c>
      <c r="M54" s="19">
        <v>167593.21</v>
      </c>
      <c r="N54" s="19">
        <v>124974.24</v>
      </c>
      <c r="O54" s="103">
        <f t="shared" si="23"/>
        <v>595347.16999999993</v>
      </c>
      <c r="P54" s="17">
        <f t="shared" si="24"/>
        <v>1190446.1499999999</v>
      </c>
    </row>
    <row r="55" spans="1:16">
      <c r="B55" s="6" t="s">
        <v>43</v>
      </c>
      <c r="C55" s="19">
        <v>42019.11</v>
      </c>
      <c r="D55" s="19">
        <v>44141.46</v>
      </c>
      <c r="E55" s="19">
        <v>54258.04</v>
      </c>
      <c r="F55" s="60">
        <v>54931</v>
      </c>
      <c r="G55" s="19">
        <v>58109</v>
      </c>
      <c r="H55" s="19">
        <v>42193</v>
      </c>
      <c r="I55" s="19">
        <v>52333</v>
      </c>
      <c r="J55" s="19">
        <v>44857</v>
      </c>
      <c r="K55" s="19">
        <v>32336</v>
      </c>
      <c r="L55" s="19">
        <v>47391</v>
      </c>
      <c r="M55" s="19">
        <v>68078.62999999999</v>
      </c>
      <c r="N55" s="19">
        <v>57289.740000000005</v>
      </c>
      <c r="O55" s="103">
        <f t="shared" si="23"/>
        <v>597936.98</v>
      </c>
      <c r="P55" s="17">
        <f t="shared" si="24"/>
        <v>1153854.8500000001</v>
      </c>
    </row>
    <row r="56" spans="1:16">
      <c r="A56" t="s">
        <v>129</v>
      </c>
      <c r="B56" s="11" t="s">
        <v>122</v>
      </c>
      <c r="C56" s="20">
        <f t="shared" ref="C56:O56" si="25">SUM(C49:C55)</f>
        <v>143142.79999999999</v>
      </c>
      <c r="D56" s="20">
        <f t="shared" si="25"/>
        <v>78361.359999999986</v>
      </c>
      <c r="E56" s="20">
        <f t="shared" si="25"/>
        <v>292246.19</v>
      </c>
      <c r="F56" s="20">
        <f t="shared" si="25"/>
        <v>94596</v>
      </c>
      <c r="G56" s="20">
        <f t="shared" si="25"/>
        <v>91461</v>
      </c>
      <c r="H56" s="20">
        <f t="shared" si="25"/>
        <v>219474</v>
      </c>
      <c r="I56" s="20">
        <f t="shared" si="25"/>
        <v>103384</v>
      </c>
      <c r="J56" s="20">
        <f t="shared" si="25"/>
        <v>97253</v>
      </c>
      <c r="K56" s="20">
        <f t="shared" si="25"/>
        <v>105654</v>
      </c>
      <c r="L56" s="20">
        <f t="shared" si="25"/>
        <v>223539</v>
      </c>
      <c r="M56" s="20">
        <f t="shared" si="25"/>
        <v>357821.15</v>
      </c>
      <c r="N56" s="20">
        <f t="shared" si="25"/>
        <v>213920.83000000002</v>
      </c>
      <c r="O56" s="104">
        <f t="shared" si="25"/>
        <v>2020853.3299999998</v>
      </c>
      <c r="P56" s="20">
        <f>SUM(P49:P55)</f>
        <v>3898563.86</v>
      </c>
    </row>
    <row r="57" spans="1:16">
      <c r="B57" s="11"/>
      <c r="C57" s="19"/>
      <c r="D57" s="19"/>
      <c r="E57" s="19"/>
      <c r="F57" s="59"/>
      <c r="G57" s="19"/>
      <c r="H57" s="19"/>
      <c r="I57" s="19"/>
      <c r="J57" s="19"/>
      <c r="K57" s="19"/>
      <c r="L57" s="19"/>
      <c r="M57" s="19"/>
      <c r="N57" s="19"/>
      <c r="O57" s="107"/>
      <c r="P57" s="19"/>
    </row>
    <row r="58" spans="1:16">
      <c r="B58" s="11" t="s">
        <v>123</v>
      </c>
      <c r="C58" s="19"/>
      <c r="D58" s="19"/>
      <c r="E58" s="19"/>
      <c r="F58" s="59"/>
      <c r="G58" s="19"/>
      <c r="H58" s="19"/>
      <c r="I58" s="19"/>
      <c r="J58" s="19"/>
      <c r="K58" s="19"/>
      <c r="L58" s="19"/>
      <c r="M58" s="19"/>
      <c r="N58" s="19"/>
      <c r="O58" s="107"/>
      <c r="P58" s="19"/>
    </row>
    <row r="59" spans="1:16">
      <c r="B59" s="6" t="s">
        <v>37</v>
      </c>
      <c r="C59" s="19">
        <v>2638.43</v>
      </c>
      <c r="D59" s="19"/>
      <c r="E59" s="19">
        <v>3105.79</v>
      </c>
      <c r="F59" s="60">
        <v>3648</v>
      </c>
      <c r="G59" s="19">
        <v>2203</v>
      </c>
      <c r="H59" s="19">
        <v>2479</v>
      </c>
      <c r="I59" s="19">
        <v>1877</v>
      </c>
      <c r="J59" s="19">
        <v>1250</v>
      </c>
      <c r="K59" s="19">
        <v>2575</v>
      </c>
      <c r="L59" s="19">
        <v>2928</v>
      </c>
      <c r="M59" s="19">
        <v>2240.4100000000003</v>
      </c>
      <c r="N59" s="19">
        <v>2014.1100000000001</v>
      </c>
      <c r="O59" s="103">
        <f t="shared" ref="O59:O65" si="26">SUM(C59:N59)</f>
        <v>26958.74</v>
      </c>
      <c r="P59" s="17">
        <f t="shared" ref="P59:P65" si="27">SUM(D59:O59)</f>
        <v>51279.05</v>
      </c>
    </row>
    <row r="60" spans="1:16">
      <c r="B60" s="6" t="s">
        <v>38</v>
      </c>
      <c r="C60" s="19">
        <v>2497.06</v>
      </c>
      <c r="D60" s="19"/>
      <c r="E60" s="19">
        <v>1837.79</v>
      </c>
      <c r="F60" s="60">
        <v>-591</v>
      </c>
      <c r="G60" s="19"/>
      <c r="H60" s="19"/>
      <c r="I60" s="19"/>
      <c r="J60" s="19"/>
      <c r="K60" s="19"/>
      <c r="L60" s="19"/>
      <c r="M60" s="19"/>
      <c r="N60" s="19"/>
      <c r="O60" s="103">
        <f t="shared" si="26"/>
        <v>3743.8500000000004</v>
      </c>
      <c r="P60" s="17">
        <f t="shared" si="27"/>
        <v>4990.6400000000003</v>
      </c>
    </row>
    <row r="61" spans="1:16">
      <c r="B61" s="6" t="s">
        <v>242</v>
      </c>
      <c r="D61" s="19"/>
      <c r="E61" s="19"/>
      <c r="F61" s="19"/>
      <c r="G61" s="19"/>
      <c r="H61" s="19"/>
      <c r="I61" s="19"/>
      <c r="J61" s="19"/>
      <c r="K61" s="19"/>
      <c r="L61" s="19">
        <v>257</v>
      </c>
      <c r="M61" s="19"/>
      <c r="N61" s="19"/>
      <c r="O61" s="103">
        <f t="shared" si="26"/>
        <v>257</v>
      </c>
      <c r="P61" s="17">
        <f t="shared" si="27"/>
        <v>514</v>
      </c>
    </row>
    <row r="62" spans="1:16" hidden="1">
      <c r="B62" s="6" t="s">
        <v>40</v>
      </c>
      <c r="D62" s="19"/>
      <c r="E62" s="19"/>
      <c r="F62" s="19"/>
      <c r="G62" s="19"/>
      <c r="H62" s="19"/>
      <c r="I62" s="19"/>
      <c r="J62" s="19"/>
      <c r="K62" s="19"/>
      <c r="L62" s="19"/>
      <c r="M62" s="19"/>
      <c r="N62" s="19"/>
      <c r="O62" s="103">
        <f t="shared" si="26"/>
        <v>0</v>
      </c>
      <c r="P62" s="17">
        <f t="shared" si="27"/>
        <v>0</v>
      </c>
    </row>
    <row r="63" spans="1:16" hidden="1">
      <c r="B63" s="6" t="s">
        <v>41</v>
      </c>
      <c r="D63" s="19"/>
      <c r="E63" s="19"/>
      <c r="F63" s="19"/>
      <c r="G63" s="19"/>
      <c r="H63" s="19"/>
      <c r="I63" s="19"/>
      <c r="J63" s="19"/>
      <c r="K63" s="19"/>
      <c r="L63" s="19"/>
      <c r="M63" s="19"/>
      <c r="N63" s="19"/>
      <c r="O63" s="103">
        <f t="shared" si="26"/>
        <v>0</v>
      </c>
      <c r="P63" s="17">
        <f t="shared" si="27"/>
        <v>0</v>
      </c>
    </row>
    <row r="64" spans="1:16">
      <c r="B64" s="6" t="s">
        <v>42</v>
      </c>
      <c r="D64" s="19"/>
      <c r="E64" s="19"/>
      <c r="F64" s="19"/>
      <c r="G64" s="19"/>
      <c r="H64" s="19"/>
      <c r="I64" s="19"/>
      <c r="J64" s="19"/>
      <c r="K64" s="19"/>
      <c r="L64" s="19"/>
      <c r="M64" s="19"/>
      <c r="N64" s="19"/>
      <c r="O64" s="103">
        <f t="shared" si="26"/>
        <v>0</v>
      </c>
      <c r="P64" s="17">
        <f t="shared" si="27"/>
        <v>0</v>
      </c>
    </row>
    <row r="65" spans="1:16">
      <c r="B65" s="6" t="s">
        <v>43</v>
      </c>
      <c r="D65" s="19"/>
      <c r="E65" s="19"/>
      <c r="F65" s="19"/>
      <c r="G65" s="19">
        <v>460</v>
      </c>
      <c r="H65" s="19">
        <v>632</v>
      </c>
      <c r="I65" s="19">
        <v>1272</v>
      </c>
      <c r="J65" s="19">
        <v>1059</v>
      </c>
      <c r="K65" s="19">
        <v>-115</v>
      </c>
      <c r="L65" s="19"/>
      <c r="M65" s="19"/>
      <c r="N65" s="19"/>
      <c r="O65" s="103">
        <f t="shared" si="26"/>
        <v>3308</v>
      </c>
      <c r="P65" s="17">
        <f t="shared" si="27"/>
        <v>6616</v>
      </c>
    </row>
    <row r="66" spans="1:16">
      <c r="A66" t="s">
        <v>130</v>
      </c>
      <c r="B66" s="11" t="s">
        <v>46</v>
      </c>
      <c r="C66" s="20">
        <f t="shared" ref="C66:P66" si="28">SUM(C59:C65)</f>
        <v>5135.49</v>
      </c>
      <c r="D66" s="20">
        <f t="shared" si="28"/>
        <v>0</v>
      </c>
      <c r="E66" s="20">
        <f t="shared" si="28"/>
        <v>4943.58</v>
      </c>
      <c r="F66" s="20">
        <f t="shared" si="28"/>
        <v>3057</v>
      </c>
      <c r="G66" s="20">
        <f t="shared" si="28"/>
        <v>2663</v>
      </c>
      <c r="H66" s="20">
        <f t="shared" si="28"/>
        <v>3111</v>
      </c>
      <c r="I66" s="20">
        <f t="shared" si="28"/>
        <v>3149</v>
      </c>
      <c r="J66" s="20">
        <f t="shared" si="28"/>
        <v>2309</v>
      </c>
      <c r="K66" s="20">
        <f t="shared" si="28"/>
        <v>2460</v>
      </c>
      <c r="L66" s="20">
        <f t="shared" si="28"/>
        <v>3185</v>
      </c>
      <c r="M66" s="20">
        <f t="shared" si="28"/>
        <v>2240.4100000000003</v>
      </c>
      <c r="N66" s="20">
        <f t="shared" si="28"/>
        <v>2014.1100000000001</v>
      </c>
      <c r="O66" s="104">
        <f t="shared" si="28"/>
        <v>34267.590000000004</v>
      </c>
      <c r="P66" s="20">
        <f t="shared" si="28"/>
        <v>63399.69</v>
      </c>
    </row>
    <row r="67" spans="1:16">
      <c r="B67" s="11"/>
      <c r="C67" s="19"/>
      <c r="D67" s="19"/>
      <c r="E67" s="19"/>
      <c r="F67" s="19"/>
      <c r="G67" s="19"/>
      <c r="H67" s="19"/>
      <c r="I67" s="19"/>
      <c r="J67" s="19"/>
      <c r="K67" s="19"/>
      <c r="L67" s="19"/>
      <c r="M67" s="19"/>
      <c r="N67" s="19"/>
      <c r="O67" s="107"/>
      <c r="P67" s="19"/>
    </row>
    <row r="68" spans="1:16" ht="15.75" thickBot="1">
      <c r="A68" t="s">
        <v>131</v>
      </c>
      <c r="B68" s="11" t="s">
        <v>124</v>
      </c>
      <c r="C68" s="22">
        <f>C66+C56+C46</f>
        <v>811064.90999999992</v>
      </c>
      <c r="D68" s="22">
        <f>D66+D56+D46</f>
        <v>270696.20999999996</v>
      </c>
      <c r="E68" s="22">
        <f t="shared" ref="E68:P68" si="29">E66+E56+E46</f>
        <v>509995.67000000004</v>
      </c>
      <c r="F68" s="22">
        <f t="shared" si="29"/>
        <v>270920</v>
      </c>
      <c r="G68" s="22">
        <f t="shared" si="29"/>
        <v>434829</v>
      </c>
      <c r="H68" s="22">
        <f t="shared" si="29"/>
        <v>438518</v>
      </c>
      <c r="I68" s="22">
        <f t="shared" si="29"/>
        <v>432352</v>
      </c>
      <c r="J68" s="22">
        <f t="shared" si="29"/>
        <v>400368</v>
      </c>
      <c r="K68" s="22">
        <f t="shared" si="29"/>
        <v>368586</v>
      </c>
      <c r="L68" s="22">
        <f t="shared" si="29"/>
        <v>486870</v>
      </c>
      <c r="M68" s="22">
        <f t="shared" si="29"/>
        <v>545114.87</v>
      </c>
      <c r="N68" s="22">
        <f t="shared" si="29"/>
        <v>475700.15</v>
      </c>
      <c r="O68" s="106">
        <f t="shared" si="29"/>
        <v>5445014.8100000005</v>
      </c>
      <c r="P68" s="22">
        <f t="shared" si="29"/>
        <v>10078964.710000001</v>
      </c>
    </row>
    <row r="69" spans="1:16" ht="15.75" thickTop="1">
      <c r="B69" s="10"/>
      <c r="O69" s="105"/>
    </row>
    <row r="70" spans="1:16">
      <c r="B70" s="12" t="s">
        <v>47</v>
      </c>
      <c r="O70" s="105"/>
    </row>
    <row r="71" spans="1:16">
      <c r="B71" s="12" t="s">
        <v>49</v>
      </c>
      <c r="O71" s="105"/>
    </row>
    <row r="72" spans="1:16">
      <c r="B72" s="13" t="s">
        <v>37</v>
      </c>
      <c r="C72" s="60">
        <f>C7-C39</f>
        <v>-361937.54000000004</v>
      </c>
      <c r="D72" s="60">
        <f t="shared" ref="D72:E72" si="30">D7-D39</f>
        <v>86977.5</v>
      </c>
      <c r="E72" s="60">
        <f t="shared" si="30"/>
        <v>76618.399999999994</v>
      </c>
      <c r="F72" s="60">
        <f t="shared" ref="F72:G72" si="31">F7-F39</f>
        <v>74260.5</v>
      </c>
      <c r="G72" s="60">
        <f t="shared" si="31"/>
        <v>30527.5</v>
      </c>
      <c r="H72" s="60">
        <f t="shared" ref="H72:I72" si="32">H7-H39</f>
        <v>46500.5</v>
      </c>
      <c r="I72" s="60">
        <f t="shared" si="32"/>
        <v>-9429.5</v>
      </c>
      <c r="J72" s="60">
        <f t="shared" ref="J72:K72" si="33">J7-J39</f>
        <v>24954.5</v>
      </c>
      <c r="K72" s="60">
        <f t="shared" si="33"/>
        <v>32102.5</v>
      </c>
      <c r="L72" s="60">
        <f t="shared" ref="L72:N72" si="34">L7-L39</f>
        <v>70243.5</v>
      </c>
      <c r="M72" s="60">
        <f t="shared" si="34"/>
        <v>121990.65</v>
      </c>
      <c r="N72" s="60">
        <f t="shared" si="34"/>
        <v>52979.5</v>
      </c>
      <c r="O72" s="103">
        <f t="shared" ref="O72:O78" si="35">SUM(C72:N72)</f>
        <v>245788.00999999995</v>
      </c>
    </row>
    <row r="73" spans="1:16">
      <c r="B73" s="13" t="s">
        <v>38</v>
      </c>
      <c r="C73" s="60">
        <f t="shared" ref="C73:E79" si="36">C8-C40</f>
        <v>-31618.83</v>
      </c>
      <c r="D73" s="60">
        <f t="shared" si="36"/>
        <v>-9463.570000000007</v>
      </c>
      <c r="E73" s="60">
        <f t="shared" si="36"/>
        <v>-20194.050000000003</v>
      </c>
      <c r="F73" s="60">
        <f t="shared" ref="F73:G73" si="37">F8-F40</f>
        <v>21702.75</v>
      </c>
      <c r="G73" s="60">
        <f t="shared" si="37"/>
        <v>-17664.25</v>
      </c>
      <c r="H73" s="60">
        <f t="shared" ref="H73:I73" si="38">H8-H40</f>
        <v>6796.75</v>
      </c>
      <c r="I73" s="60">
        <f t="shared" si="38"/>
        <v>1856.75</v>
      </c>
      <c r="J73" s="60">
        <f t="shared" ref="J73:K73" si="39">J8-J40</f>
        <v>6287.75</v>
      </c>
      <c r="K73" s="60">
        <f t="shared" si="39"/>
        <v>15812.75</v>
      </c>
      <c r="L73" s="60">
        <f t="shared" ref="L73:N73" si="40">L8-L40</f>
        <v>-37548.25</v>
      </c>
      <c r="M73" s="60">
        <f t="shared" si="40"/>
        <v>-34529.900000000009</v>
      </c>
      <c r="N73" s="60">
        <f t="shared" si="40"/>
        <v>-33511.070000000007</v>
      </c>
      <c r="O73" s="103">
        <f t="shared" si="35"/>
        <v>-132073.17000000004</v>
      </c>
    </row>
    <row r="74" spans="1:16">
      <c r="B74" s="13" t="s">
        <v>242</v>
      </c>
      <c r="C74" s="60">
        <f t="shared" si="36"/>
        <v>29666.75</v>
      </c>
      <c r="D74" s="60">
        <f t="shared" si="36"/>
        <v>29048.22</v>
      </c>
      <c r="E74" s="60">
        <f t="shared" si="36"/>
        <v>29666.75</v>
      </c>
      <c r="F74" s="60">
        <f t="shared" ref="F74:G74" si="41">F9-F41</f>
        <v>29666.75</v>
      </c>
      <c r="G74" s="60">
        <f t="shared" si="41"/>
        <v>-54671.25</v>
      </c>
      <c r="H74" s="60">
        <f t="shared" ref="H74:I74" si="42">H9-H41</f>
        <v>29666.75</v>
      </c>
      <c r="I74" s="60">
        <f t="shared" si="42"/>
        <v>-19349.25</v>
      </c>
      <c r="J74" s="60">
        <f t="shared" ref="J74:K74" si="43">J9-J41</f>
        <v>-33151.25</v>
      </c>
      <c r="K74" s="60">
        <f t="shared" si="43"/>
        <v>-9490.25</v>
      </c>
      <c r="L74" s="60">
        <f t="shared" ref="L74:N74" si="44">L9-L41</f>
        <v>6055.75</v>
      </c>
      <c r="M74" s="60">
        <f t="shared" si="44"/>
        <v>26382.94</v>
      </c>
      <c r="N74" s="60">
        <f t="shared" si="44"/>
        <v>19663.36</v>
      </c>
      <c r="O74" s="103">
        <f t="shared" si="35"/>
        <v>83155.27</v>
      </c>
    </row>
    <row r="75" spans="1:16" hidden="1">
      <c r="B75" s="13" t="s">
        <v>40</v>
      </c>
      <c r="C75" s="60">
        <f t="shared" si="36"/>
        <v>0</v>
      </c>
      <c r="D75" s="60">
        <f t="shared" si="36"/>
        <v>0</v>
      </c>
      <c r="E75" s="60">
        <f t="shared" si="36"/>
        <v>0</v>
      </c>
      <c r="F75" s="60">
        <f t="shared" ref="F75:G75" si="45">F10-F42</f>
        <v>0</v>
      </c>
      <c r="G75" s="60">
        <f t="shared" si="45"/>
        <v>0</v>
      </c>
      <c r="H75" s="60">
        <f t="shared" ref="H75:I75" si="46">H10-H42</f>
        <v>0</v>
      </c>
      <c r="I75" s="60">
        <f t="shared" si="46"/>
        <v>0</v>
      </c>
      <c r="J75" s="60">
        <f t="shared" ref="J75:K75" si="47">J10-J42</f>
        <v>0</v>
      </c>
      <c r="K75" s="60">
        <f t="shared" si="47"/>
        <v>0</v>
      </c>
      <c r="L75" s="60">
        <f t="shared" ref="L75:N75" si="48">L10-L42</f>
        <v>0</v>
      </c>
      <c r="M75" s="60">
        <f t="shared" si="48"/>
        <v>0</v>
      </c>
      <c r="N75" s="60">
        <f t="shared" si="48"/>
        <v>0</v>
      </c>
      <c r="O75" s="103">
        <f t="shared" si="35"/>
        <v>0</v>
      </c>
    </row>
    <row r="76" spans="1:16" hidden="1">
      <c r="B76" s="13" t="s">
        <v>41</v>
      </c>
      <c r="C76" s="60">
        <f t="shared" si="36"/>
        <v>0</v>
      </c>
      <c r="D76" s="60">
        <f t="shared" si="36"/>
        <v>0</v>
      </c>
      <c r="E76" s="60">
        <f t="shared" si="36"/>
        <v>0</v>
      </c>
      <c r="F76" s="60">
        <f t="shared" ref="F76:G76" si="49">F11-F43</f>
        <v>0</v>
      </c>
      <c r="G76" s="60">
        <f t="shared" si="49"/>
        <v>0</v>
      </c>
      <c r="H76" s="60">
        <f t="shared" ref="H76:I76" si="50">H11-H43</f>
        <v>0</v>
      </c>
      <c r="I76" s="60">
        <f t="shared" si="50"/>
        <v>0</v>
      </c>
      <c r="J76" s="60">
        <f t="shared" ref="J76:K76" si="51">J11-J43</f>
        <v>0</v>
      </c>
      <c r="K76" s="60">
        <f t="shared" si="51"/>
        <v>0</v>
      </c>
      <c r="L76" s="60">
        <f t="shared" ref="L76:N76" si="52">L11-L43</f>
        <v>0</v>
      </c>
      <c r="M76" s="60">
        <f t="shared" si="52"/>
        <v>0</v>
      </c>
      <c r="N76" s="60">
        <f t="shared" si="52"/>
        <v>0</v>
      </c>
      <c r="O76" s="103">
        <f t="shared" si="35"/>
        <v>0</v>
      </c>
    </row>
    <row r="77" spans="1:16" hidden="1">
      <c r="B77" s="13" t="s">
        <v>42</v>
      </c>
      <c r="C77" s="60">
        <f t="shared" si="36"/>
        <v>0</v>
      </c>
      <c r="D77" s="60">
        <f t="shared" si="36"/>
        <v>0</v>
      </c>
      <c r="E77" s="60">
        <f t="shared" si="36"/>
        <v>0</v>
      </c>
      <c r="F77" s="60">
        <f t="shared" ref="F77:G77" si="53">F12-F44</f>
        <v>0</v>
      </c>
      <c r="G77" s="60">
        <f t="shared" si="53"/>
        <v>0</v>
      </c>
      <c r="H77" s="60">
        <f t="shared" ref="H77:I77" si="54">H12-H44</f>
        <v>0</v>
      </c>
      <c r="I77" s="60">
        <f t="shared" si="54"/>
        <v>0</v>
      </c>
      <c r="J77" s="60">
        <f t="shared" ref="J77:K77" si="55">J12-J44</f>
        <v>0</v>
      </c>
      <c r="K77" s="60">
        <f t="shared" si="55"/>
        <v>0</v>
      </c>
      <c r="L77" s="60">
        <f t="shared" ref="L77:N77" si="56">L12-L44</f>
        <v>0</v>
      </c>
      <c r="M77" s="60">
        <f t="shared" si="56"/>
        <v>0</v>
      </c>
      <c r="N77" s="60">
        <f t="shared" si="56"/>
        <v>0</v>
      </c>
      <c r="O77" s="103">
        <f t="shared" si="35"/>
        <v>0</v>
      </c>
    </row>
    <row r="78" spans="1:16" hidden="1">
      <c r="B78" s="13" t="s">
        <v>43</v>
      </c>
      <c r="C78" s="60">
        <f t="shared" si="36"/>
        <v>0</v>
      </c>
      <c r="D78" s="60">
        <f t="shared" si="36"/>
        <v>0</v>
      </c>
      <c r="E78" s="60">
        <f t="shared" si="36"/>
        <v>0</v>
      </c>
      <c r="F78" s="60">
        <f t="shared" ref="F78:G78" si="57">F13-F45</f>
        <v>0</v>
      </c>
      <c r="G78" s="60">
        <f t="shared" si="57"/>
        <v>0</v>
      </c>
      <c r="H78" s="60">
        <f t="shared" ref="H78:I78" si="58">H13-H45</f>
        <v>0</v>
      </c>
      <c r="I78" s="60">
        <f t="shared" si="58"/>
        <v>0</v>
      </c>
      <c r="J78" s="60">
        <f t="shared" ref="J78:K78" si="59">J13-J45</f>
        <v>0</v>
      </c>
      <c r="K78" s="60">
        <f t="shared" si="59"/>
        <v>0</v>
      </c>
      <c r="L78" s="60">
        <f t="shared" ref="L78:N78" si="60">L13-L45</f>
        <v>0</v>
      </c>
      <c r="M78" s="60">
        <f t="shared" si="60"/>
        <v>0</v>
      </c>
      <c r="N78" s="60">
        <f t="shared" si="60"/>
        <v>0</v>
      </c>
      <c r="O78" s="103">
        <f t="shared" si="35"/>
        <v>0</v>
      </c>
    </row>
    <row r="79" spans="1:16">
      <c r="A79" t="s">
        <v>132</v>
      </c>
      <c r="B79" s="12" t="s">
        <v>48</v>
      </c>
      <c r="C79" s="20">
        <f t="shared" si="36"/>
        <v>-363889.62</v>
      </c>
      <c r="D79" s="20">
        <f t="shared" si="36"/>
        <v>106562.15</v>
      </c>
      <c r="E79" s="20">
        <f t="shared" si="36"/>
        <v>86091.099999999977</v>
      </c>
      <c r="F79" s="20">
        <f t="shared" ref="F79:G79" si="61">F14-F46</f>
        <v>125630</v>
      </c>
      <c r="G79" s="20">
        <f t="shared" si="61"/>
        <v>-41808</v>
      </c>
      <c r="H79" s="20">
        <f t="shared" ref="H79:I79" si="62">H14-H46</f>
        <v>82964</v>
      </c>
      <c r="I79" s="20">
        <f t="shared" si="62"/>
        <v>-26922</v>
      </c>
      <c r="J79" s="20">
        <f t="shared" ref="J79:K79" si="63">J14-J46</f>
        <v>-1909</v>
      </c>
      <c r="K79" s="20">
        <f t="shared" si="63"/>
        <v>38425</v>
      </c>
      <c r="L79" s="20">
        <f t="shared" ref="L79:N79" si="64">L14-L46</f>
        <v>38751</v>
      </c>
      <c r="M79" s="20">
        <f t="shared" si="64"/>
        <v>113843.69</v>
      </c>
      <c r="N79" s="20">
        <f t="shared" si="64"/>
        <v>39131.789999999979</v>
      </c>
      <c r="O79" s="104">
        <f t="shared" ref="O79" si="65">SUM(O72:O78)</f>
        <v>196870.10999999993</v>
      </c>
    </row>
    <row r="80" spans="1:16">
      <c r="B80" s="12"/>
      <c r="C80" s="59"/>
      <c r="D80" s="59"/>
      <c r="E80" s="59"/>
      <c r="F80" s="59"/>
      <c r="G80" s="59"/>
      <c r="H80" s="59"/>
      <c r="I80" s="59"/>
      <c r="J80" s="59"/>
      <c r="K80" s="59"/>
      <c r="L80" s="59"/>
      <c r="M80" s="59"/>
      <c r="N80" s="59"/>
      <c r="O80" s="107"/>
    </row>
    <row r="81" spans="1:15">
      <c r="B81" s="12" t="s">
        <v>126</v>
      </c>
      <c r="C81" s="59"/>
      <c r="D81" s="59"/>
      <c r="E81" s="59"/>
      <c r="F81" s="59"/>
      <c r="G81" s="59"/>
      <c r="H81" s="59"/>
      <c r="I81" s="59"/>
      <c r="J81" s="59"/>
      <c r="K81" s="59"/>
      <c r="L81" s="59"/>
      <c r="M81" s="59"/>
      <c r="N81" s="59"/>
      <c r="O81" s="103"/>
    </row>
    <row r="82" spans="1:15">
      <c r="B82" s="13" t="s">
        <v>37</v>
      </c>
      <c r="C82" s="60">
        <f t="shared" ref="C82:E89" si="66">C17-C49</f>
        <v>-61433.933333333334</v>
      </c>
      <c r="D82" s="60">
        <f t="shared" si="66"/>
        <v>-10916.803333333333</v>
      </c>
      <c r="E82" s="60">
        <f t="shared" si="66"/>
        <v>-77083.103333333333</v>
      </c>
      <c r="F82" s="60">
        <f t="shared" ref="F82:G82" si="67">F17-F49</f>
        <v>-22140.833333333332</v>
      </c>
      <c r="G82" s="60">
        <f t="shared" si="67"/>
        <v>-4406.833333333333</v>
      </c>
      <c r="H82" s="60">
        <f t="shared" ref="H82:I82" si="68">H17-H49</f>
        <v>-14383.833333333334</v>
      </c>
      <c r="I82" s="60">
        <f t="shared" si="68"/>
        <v>-13248.833333333334</v>
      </c>
      <c r="J82" s="60">
        <f t="shared" ref="J82:K82" si="69">J17-J49</f>
        <v>-27347.833333333332</v>
      </c>
      <c r="K82" s="60">
        <f t="shared" si="69"/>
        <v>-65455.833333333336</v>
      </c>
      <c r="L82" s="60">
        <f t="shared" ref="L82:N82" si="70">L17-L49</f>
        <v>-119892.83333333333</v>
      </c>
      <c r="M82" s="60">
        <f t="shared" si="70"/>
        <v>-46860.413333333338</v>
      </c>
      <c r="N82" s="60">
        <f t="shared" si="70"/>
        <v>-7358.5033333333322</v>
      </c>
      <c r="O82" s="103">
        <f t="shared" ref="O82:O88" si="71">SUM(C82:N82)</f>
        <v>-470529.59</v>
      </c>
    </row>
    <row r="83" spans="1:15">
      <c r="B83" s="13" t="s">
        <v>38</v>
      </c>
      <c r="C83" s="60">
        <f t="shared" si="66"/>
        <v>-23425.513333333336</v>
      </c>
      <c r="D83" s="60">
        <f t="shared" si="66"/>
        <v>-8983.4933333333338</v>
      </c>
      <c r="E83" s="60">
        <f t="shared" si="66"/>
        <v>-17586.843333333331</v>
      </c>
      <c r="F83" s="60">
        <f t="shared" ref="F83:G83" si="72">F18-F50</f>
        <v>-3268.5833333333339</v>
      </c>
      <c r="G83" s="60">
        <f t="shared" si="72"/>
        <v>-10847.583333333334</v>
      </c>
      <c r="H83" s="60">
        <f t="shared" ref="H83:I83" si="73">H18-H50</f>
        <v>-341.58333333333394</v>
      </c>
      <c r="I83" s="60">
        <f t="shared" si="73"/>
        <v>-16279.583333333334</v>
      </c>
      <c r="J83" s="60">
        <f t="shared" ref="J83:K83" si="74">J18-J50</f>
        <v>12837.416666666666</v>
      </c>
      <c r="K83" s="60">
        <f t="shared" si="74"/>
        <v>12322.416666666666</v>
      </c>
      <c r="L83" s="60">
        <f t="shared" ref="L83:N83" si="75">L18-L50</f>
        <v>-41488.583333333336</v>
      </c>
      <c r="M83" s="60">
        <f t="shared" si="75"/>
        <v>-61234.60333333334</v>
      </c>
      <c r="N83" s="60">
        <f t="shared" si="75"/>
        <v>-6370.2933333333331</v>
      </c>
      <c r="O83" s="103">
        <f t="shared" si="71"/>
        <v>-164666.83000000002</v>
      </c>
    </row>
    <row r="84" spans="1:15" hidden="1">
      <c r="B84" s="13" t="s">
        <v>39</v>
      </c>
      <c r="C84" s="60">
        <f t="shared" si="66"/>
        <v>-3035.47</v>
      </c>
      <c r="D84" s="60">
        <f t="shared" si="66"/>
        <v>-1067.99</v>
      </c>
      <c r="E84" s="60">
        <f t="shared" si="66"/>
        <v>-1001.12</v>
      </c>
      <c r="F84" s="60">
        <f t="shared" ref="F84:G84" si="76">F19-F51</f>
        <v>-885</v>
      </c>
      <c r="G84" s="60">
        <f t="shared" si="76"/>
        <v>-4663</v>
      </c>
      <c r="H84" s="60">
        <f t="shared" ref="H84:I84" si="77">H19-H51</f>
        <v>-1120</v>
      </c>
      <c r="I84" s="60">
        <f t="shared" si="77"/>
        <v>-8234</v>
      </c>
      <c r="J84" s="60">
        <f t="shared" ref="J84:K84" si="78">J19-J51</f>
        <v>-2969</v>
      </c>
      <c r="K84" s="60">
        <f t="shared" si="78"/>
        <v>-6378</v>
      </c>
      <c r="L84" s="60">
        <f t="shared" ref="L84:N84" si="79">L19-L51</f>
        <v>-1231</v>
      </c>
      <c r="M84" s="60">
        <f t="shared" si="79"/>
        <v>-1073.71</v>
      </c>
      <c r="N84" s="60">
        <f t="shared" si="79"/>
        <v>-4947.47</v>
      </c>
      <c r="O84" s="103">
        <f t="shared" si="71"/>
        <v>-36605.760000000002</v>
      </c>
    </row>
    <row r="85" spans="1:15" hidden="1">
      <c r="B85" s="13" t="s">
        <v>40</v>
      </c>
      <c r="C85" s="60">
        <f t="shared" si="66"/>
        <v>416.66666666666669</v>
      </c>
      <c r="D85" s="60">
        <f t="shared" si="66"/>
        <v>416.66666666666669</v>
      </c>
      <c r="E85" s="60">
        <f t="shared" si="66"/>
        <v>416.66666666666669</v>
      </c>
      <c r="F85" s="60">
        <f t="shared" ref="F85:G85" si="80">F20-F52</f>
        <v>416.66666666666669</v>
      </c>
      <c r="G85" s="60">
        <f t="shared" si="80"/>
        <v>416.66666666666669</v>
      </c>
      <c r="H85" s="60">
        <f t="shared" ref="H85:I85" si="81">H20-H52</f>
        <v>416.66666666666669</v>
      </c>
      <c r="I85" s="60">
        <f t="shared" si="81"/>
        <v>416.66666666666669</v>
      </c>
      <c r="J85" s="60">
        <f t="shared" ref="J85:K85" si="82">J20-J52</f>
        <v>416.66666666666669</v>
      </c>
      <c r="K85" s="60">
        <f t="shared" si="82"/>
        <v>416.66666666666669</v>
      </c>
      <c r="L85" s="60">
        <f t="shared" ref="L85:N85" si="83">L20-L52</f>
        <v>416.66666666666669</v>
      </c>
      <c r="M85" s="60">
        <f t="shared" si="83"/>
        <v>416.66666666666669</v>
      </c>
      <c r="N85" s="60">
        <f t="shared" si="83"/>
        <v>416.66666666666669</v>
      </c>
      <c r="O85" s="103">
        <f t="shared" si="71"/>
        <v>5000</v>
      </c>
    </row>
    <row r="86" spans="1:15" hidden="1">
      <c r="B86" s="13" t="s">
        <v>41</v>
      </c>
      <c r="C86" s="60">
        <f t="shared" si="66"/>
        <v>0</v>
      </c>
      <c r="D86" s="60">
        <f t="shared" si="66"/>
        <v>0</v>
      </c>
      <c r="E86" s="60">
        <f t="shared" si="66"/>
        <v>0</v>
      </c>
      <c r="F86" s="60">
        <f t="shared" ref="F86:G86" si="84">F21-F53</f>
        <v>0</v>
      </c>
      <c r="G86" s="60">
        <f t="shared" si="84"/>
        <v>0</v>
      </c>
      <c r="H86" s="60">
        <f t="shared" ref="H86:I86" si="85">H21-H53</f>
        <v>0</v>
      </c>
      <c r="I86" s="60">
        <f t="shared" si="85"/>
        <v>0</v>
      </c>
      <c r="J86" s="60">
        <f t="shared" ref="J86:K86" si="86">J21-J53</f>
        <v>0</v>
      </c>
      <c r="K86" s="60">
        <f t="shared" si="86"/>
        <v>0</v>
      </c>
      <c r="L86" s="60">
        <f t="shared" ref="L86:N86" si="87">L21-L53</f>
        <v>0</v>
      </c>
      <c r="M86" s="60">
        <f t="shared" si="87"/>
        <v>0</v>
      </c>
      <c r="N86" s="60">
        <f t="shared" si="87"/>
        <v>0</v>
      </c>
      <c r="O86" s="103">
        <f t="shared" si="71"/>
        <v>0</v>
      </c>
    </row>
    <row r="87" spans="1:15">
      <c r="B87" s="13" t="s">
        <v>42</v>
      </c>
      <c r="C87" s="60">
        <f t="shared" si="66"/>
        <v>58114.226666666662</v>
      </c>
      <c r="D87" s="60">
        <f t="shared" si="66"/>
        <v>58091.386666666665</v>
      </c>
      <c r="E87" s="60">
        <f t="shared" si="66"/>
        <v>-70974.083333333343</v>
      </c>
      <c r="F87" s="60">
        <f t="shared" ref="F87:G87" si="88">F22-F54</f>
        <v>57972.416666666664</v>
      </c>
      <c r="G87" s="60">
        <f t="shared" si="88"/>
        <v>57908.416666666664</v>
      </c>
      <c r="H87" s="60">
        <f t="shared" ref="H87:I87" si="89">H22-H54</f>
        <v>-90092.583333333343</v>
      </c>
      <c r="I87" s="60">
        <f t="shared" si="89"/>
        <v>58054.416666666664</v>
      </c>
      <c r="J87" s="60">
        <f t="shared" ref="J87:K87" si="90">J22-J54</f>
        <v>36426.416666666664</v>
      </c>
      <c r="K87" s="60">
        <f t="shared" si="90"/>
        <v>57536.416666666664</v>
      </c>
      <c r="L87" s="60">
        <f t="shared" ref="L87:N87" si="91">L22-L54</f>
        <v>57807.416666666664</v>
      </c>
      <c r="M87" s="60">
        <f t="shared" si="91"/>
        <v>-109230.79333333333</v>
      </c>
      <c r="N87" s="60">
        <f t="shared" si="91"/>
        <v>-66611.823333333334</v>
      </c>
      <c r="O87" s="103">
        <f t="shared" si="71"/>
        <v>105001.82999999993</v>
      </c>
    </row>
    <row r="88" spans="1:15">
      <c r="B88" s="13" t="s">
        <v>43</v>
      </c>
      <c r="C88" s="60">
        <f t="shared" si="66"/>
        <v>-4835.3600000000006</v>
      </c>
      <c r="D88" s="60">
        <f t="shared" si="66"/>
        <v>-6957.7099999999991</v>
      </c>
      <c r="E88" s="60">
        <f t="shared" si="66"/>
        <v>-17074.29</v>
      </c>
      <c r="F88" s="60">
        <f t="shared" ref="F88:G88" si="92">F23-F55</f>
        <v>-17747.25</v>
      </c>
      <c r="G88" s="60">
        <f t="shared" si="92"/>
        <v>-20925.25</v>
      </c>
      <c r="H88" s="60">
        <f t="shared" ref="H88:I88" si="93">H23-H55</f>
        <v>-5009.25</v>
      </c>
      <c r="I88" s="60">
        <f t="shared" si="93"/>
        <v>-15149.25</v>
      </c>
      <c r="J88" s="60">
        <f t="shared" ref="J88:K88" si="94">J23-J55</f>
        <v>-7673.25</v>
      </c>
      <c r="K88" s="60">
        <f t="shared" si="94"/>
        <v>4847.75</v>
      </c>
      <c r="L88" s="60">
        <f t="shared" ref="L88:N88" si="95">L23-L55</f>
        <v>-10207.25</v>
      </c>
      <c r="M88" s="60">
        <f t="shared" si="95"/>
        <v>-30894.87999999999</v>
      </c>
      <c r="N88" s="60">
        <f t="shared" si="95"/>
        <v>-20105.990000000005</v>
      </c>
      <c r="O88" s="103">
        <f t="shared" si="71"/>
        <v>-151731.97999999998</v>
      </c>
    </row>
    <row r="89" spans="1:15">
      <c r="A89" t="s">
        <v>133</v>
      </c>
      <c r="B89" s="12" t="s">
        <v>48</v>
      </c>
      <c r="C89" s="20">
        <f t="shared" si="66"/>
        <v>-34199.383333333331</v>
      </c>
      <c r="D89" s="20">
        <f t="shared" si="66"/>
        <v>30582.056666666671</v>
      </c>
      <c r="E89" s="20">
        <f t="shared" si="66"/>
        <v>-183302.77333333335</v>
      </c>
      <c r="F89" s="20">
        <f t="shared" ref="F89:G89" si="96">F24-F56</f>
        <v>14347.416666666657</v>
      </c>
      <c r="G89" s="20">
        <f t="shared" si="96"/>
        <v>17482.416666666657</v>
      </c>
      <c r="H89" s="20">
        <f t="shared" ref="H89:I89" si="97">H24-H56</f>
        <v>-110530.58333333334</v>
      </c>
      <c r="I89" s="20">
        <f t="shared" si="97"/>
        <v>5559.416666666657</v>
      </c>
      <c r="J89" s="20">
        <f t="shared" ref="J89:K89" si="98">J24-J56</f>
        <v>11690.416666666657</v>
      </c>
      <c r="K89" s="20">
        <f t="shared" si="98"/>
        <v>3289.416666666657</v>
      </c>
      <c r="L89" s="20">
        <f t="shared" ref="L89:N89" si="99">L24-L56</f>
        <v>-114595.58333333334</v>
      </c>
      <c r="M89" s="20">
        <f t="shared" si="99"/>
        <v>-248877.73333333337</v>
      </c>
      <c r="N89" s="20">
        <f t="shared" si="99"/>
        <v>-104977.41333333336</v>
      </c>
      <c r="O89" s="104">
        <f t="shared" ref="O89" si="100">SUM(O82:O88)</f>
        <v>-713532.33000000007</v>
      </c>
    </row>
    <row r="90" spans="1:15">
      <c r="B90" s="12"/>
      <c r="C90" s="59"/>
      <c r="D90" s="59"/>
      <c r="E90" s="59"/>
      <c r="F90" s="59"/>
      <c r="G90" s="59"/>
      <c r="H90" s="59"/>
      <c r="I90" s="59"/>
      <c r="J90" s="59"/>
      <c r="K90" s="59"/>
      <c r="L90" s="59"/>
      <c r="M90" s="59"/>
      <c r="N90" s="59"/>
      <c r="O90" s="107"/>
    </row>
    <row r="91" spans="1:15">
      <c r="B91" s="12" t="s">
        <v>127</v>
      </c>
      <c r="C91" s="59"/>
      <c r="D91" s="59"/>
      <c r="E91" s="59"/>
      <c r="F91" s="59"/>
      <c r="G91" s="59"/>
      <c r="H91" s="59"/>
      <c r="I91" s="59"/>
      <c r="J91" s="59"/>
      <c r="K91" s="59"/>
      <c r="L91" s="59"/>
      <c r="M91" s="59"/>
      <c r="N91" s="59"/>
      <c r="O91" s="107"/>
    </row>
    <row r="92" spans="1:15">
      <c r="B92" s="13" t="s">
        <v>37</v>
      </c>
      <c r="C92" s="60">
        <f t="shared" ref="C92:E99" si="101">C27-C59</f>
        <v>24239.32</v>
      </c>
      <c r="D92" s="60">
        <f t="shared" si="101"/>
        <v>26877.75</v>
      </c>
      <c r="E92" s="60">
        <f t="shared" si="101"/>
        <v>23771.96</v>
      </c>
      <c r="F92" s="60">
        <f t="shared" ref="F92:G92" si="102">F27-F59</f>
        <v>23229.75</v>
      </c>
      <c r="G92" s="60">
        <f t="shared" si="102"/>
        <v>24674.75</v>
      </c>
      <c r="H92" s="60">
        <f t="shared" ref="H92:I92" si="103">H27-H59</f>
        <v>24398.75</v>
      </c>
      <c r="I92" s="60">
        <f t="shared" si="103"/>
        <v>25000.75</v>
      </c>
      <c r="J92" s="60">
        <f t="shared" ref="J92:K92" si="104">J27-J59</f>
        <v>25627.75</v>
      </c>
      <c r="K92" s="60">
        <f t="shared" si="104"/>
        <v>24302.75</v>
      </c>
      <c r="L92" s="60">
        <f t="shared" ref="L92:N92" si="105">L27-L59</f>
        <v>23949.75</v>
      </c>
      <c r="M92" s="60">
        <f t="shared" si="105"/>
        <v>24637.34</v>
      </c>
      <c r="N92" s="60">
        <f t="shared" si="105"/>
        <v>24863.64</v>
      </c>
      <c r="O92" s="103">
        <f t="shared" ref="O92:O98" si="106">SUM(C92:N92)</f>
        <v>295574.26</v>
      </c>
    </row>
    <row r="93" spans="1:15">
      <c r="B93" s="13" t="s">
        <v>38</v>
      </c>
      <c r="C93" s="60">
        <f t="shared" si="101"/>
        <v>4968.2733333333326</v>
      </c>
      <c r="D93" s="60">
        <f t="shared" si="101"/>
        <v>7465.333333333333</v>
      </c>
      <c r="E93" s="60">
        <f t="shared" si="101"/>
        <v>5627.5433333333331</v>
      </c>
      <c r="F93" s="60">
        <f t="shared" ref="F93:G93" si="107">F28-F60</f>
        <v>8056.333333333333</v>
      </c>
      <c r="G93" s="60">
        <f t="shared" si="107"/>
        <v>7465.333333333333</v>
      </c>
      <c r="H93" s="60">
        <f t="shared" ref="H93:I93" si="108">H28-H60</f>
        <v>7465.333333333333</v>
      </c>
      <c r="I93" s="60">
        <f t="shared" si="108"/>
        <v>7465.333333333333</v>
      </c>
      <c r="J93" s="60">
        <f t="shared" ref="J93:K93" si="109">J28-J60</f>
        <v>7465.333333333333</v>
      </c>
      <c r="K93" s="60">
        <f t="shared" si="109"/>
        <v>7465.333333333333</v>
      </c>
      <c r="L93" s="60">
        <f t="shared" ref="L93:N93" si="110">L28-L60</f>
        <v>7465.333333333333</v>
      </c>
      <c r="M93" s="60">
        <f t="shared" si="110"/>
        <v>7465.333333333333</v>
      </c>
      <c r="N93" s="60">
        <f t="shared" si="110"/>
        <v>7465.333333333333</v>
      </c>
      <c r="O93" s="103">
        <f t="shared" si="106"/>
        <v>85840.15</v>
      </c>
    </row>
    <row r="94" spans="1:15">
      <c r="B94" s="13" t="s">
        <v>242</v>
      </c>
      <c r="C94" s="60">
        <f t="shared" si="101"/>
        <v>1316.8333333333333</v>
      </c>
      <c r="D94" s="60">
        <f t="shared" si="101"/>
        <v>1316.8333333333333</v>
      </c>
      <c r="E94" s="60">
        <f t="shared" si="101"/>
        <v>1316.8333333333333</v>
      </c>
      <c r="F94" s="60">
        <f t="shared" ref="F94:G94" si="111">F29-F61</f>
        <v>1316.8333333333333</v>
      </c>
      <c r="G94" s="60">
        <f t="shared" si="111"/>
        <v>1316.8333333333333</v>
      </c>
      <c r="H94" s="60">
        <f t="shared" ref="H94:I94" si="112">H29-H61</f>
        <v>1316.8333333333333</v>
      </c>
      <c r="I94" s="60">
        <f t="shared" si="112"/>
        <v>1316.8333333333333</v>
      </c>
      <c r="J94" s="60">
        <f t="shared" ref="J94:K94" si="113">J29-J61</f>
        <v>1316.8333333333333</v>
      </c>
      <c r="K94" s="60">
        <f t="shared" si="113"/>
        <v>1316.8333333333333</v>
      </c>
      <c r="L94" s="60">
        <f t="shared" ref="L94:N94" si="114">L29-L61</f>
        <v>1059.8333333333333</v>
      </c>
      <c r="M94" s="60">
        <f t="shared" si="114"/>
        <v>1316.8333333333333</v>
      </c>
      <c r="N94" s="60">
        <f t="shared" si="114"/>
        <v>1316.8333333333333</v>
      </c>
      <c r="O94" s="103">
        <f t="shared" si="106"/>
        <v>15545.000000000002</v>
      </c>
    </row>
    <row r="95" spans="1:15" hidden="1">
      <c r="B95" s="13" t="s">
        <v>40</v>
      </c>
      <c r="C95" s="60">
        <f t="shared" si="101"/>
        <v>0</v>
      </c>
      <c r="D95" s="60">
        <f t="shared" si="101"/>
        <v>0</v>
      </c>
      <c r="E95" s="60">
        <f t="shared" si="101"/>
        <v>0</v>
      </c>
      <c r="F95" s="60">
        <f t="shared" ref="F95:G95" si="115">F30-F62</f>
        <v>0</v>
      </c>
      <c r="G95" s="60">
        <f t="shared" si="115"/>
        <v>0</v>
      </c>
      <c r="H95" s="60">
        <f t="shared" ref="H95:I95" si="116">H30-H62</f>
        <v>0</v>
      </c>
      <c r="I95" s="60">
        <f t="shared" si="116"/>
        <v>0</v>
      </c>
      <c r="J95" s="60">
        <f t="shared" ref="J95:K95" si="117">J30-J62</f>
        <v>0</v>
      </c>
      <c r="K95" s="60">
        <f t="shared" si="117"/>
        <v>0</v>
      </c>
      <c r="L95" s="60">
        <f t="shared" ref="L95:N95" si="118">L30-L62</f>
        <v>0</v>
      </c>
      <c r="M95" s="60">
        <f t="shared" si="118"/>
        <v>0</v>
      </c>
      <c r="N95" s="60">
        <f t="shared" si="118"/>
        <v>0</v>
      </c>
      <c r="O95" s="103">
        <f t="shared" si="106"/>
        <v>0</v>
      </c>
    </row>
    <row r="96" spans="1:15" hidden="1">
      <c r="B96" s="13" t="s">
        <v>41</v>
      </c>
      <c r="C96" s="60">
        <f t="shared" si="101"/>
        <v>0</v>
      </c>
      <c r="D96" s="60">
        <f t="shared" si="101"/>
        <v>0</v>
      </c>
      <c r="E96" s="60">
        <f t="shared" si="101"/>
        <v>0</v>
      </c>
      <c r="F96" s="60">
        <f t="shared" ref="F96:G96" si="119">F31-F63</f>
        <v>0</v>
      </c>
      <c r="G96" s="60">
        <f t="shared" si="119"/>
        <v>0</v>
      </c>
      <c r="H96" s="60">
        <f t="shared" ref="H96:I96" si="120">H31-H63</f>
        <v>0</v>
      </c>
      <c r="I96" s="60">
        <f t="shared" si="120"/>
        <v>0</v>
      </c>
      <c r="J96" s="60">
        <f t="shared" ref="J96:K96" si="121">J31-J63</f>
        <v>0</v>
      </c>
      <c r="K96" s="60">
        <f t="shared" si="121"/>
        <v>0</v>
      </c>
      <c r="L96" s="60">
        <f t="shared" ref="L96:N96" si="122">L31-L63</f>
        <v>0</v>
      </c>
      <c r="M96" s="60">
        <f t="shared" si="122"/>
        <v>0</v>
      </c>
      <c r="N96" s="60">
        <f t="shared" si="122"/>
        <v>0</v>
      </c>
      <c r="O96" s="103">
        <f t="shared" si="106"/>
        <v>0</v>
      </c>
    </row>
    <row r="97" spans="1:15" hidden="1">
      <c r="B97" s="13" t="s">
        <v>42</v>
      </c>
      <c r="C97" s="60">
        <f t="shared" si="101"/>
        <v>0</v>
      </c>
      <c r="D97" s="60">
        <f t="shared" si="101"/>
        <v>0</v>
      </c>
      <c r="E97" s="60">
        <f t="shared" si="101"/>
        <v>0</v>
      </c>
      <c r="F97" s="60">
        <f t="shared" ref="F97:G97" si="123">F32-F64</f>
        <v>0</v>
      </c>
      <c r="G97" s="60">
        <f t="shared" si="123"/>
        <v>0</v>
      </c>
      <c r="H97" s="60">
        <f t="shared" ref="H97:I97" si="124">H32-H64</f>
        <v>0</v>
      </c>
      <c r="I97" s="60">
        <f t="shared" si="124"/>
        <v>0</v>
      </c>
      <c r="J97" s="60">
        <f t="shared" ref="J97:K97" si="125">J32-J64</f>
        <v>0</v>
      </c>
      <c r="K97" s="60">
        <f t="shared" si="125"/>
        <v>0</v>
      </c>
      <c r="L97" s="60">
        <f t="shared" ref="L97:N97" si="126">L32-L64</f>
        <v>0</v>
      </c>
      <c r="M97" s="60">
        <f t="shared" si="126"/>
        <v>0</v>
      </c>
      <c r="N97" s="60">
        <f t="shared" si="126"/>
        <v>0</v>
      </c>
      <c r="O97" s="103">
        <f t="shared" si="106"/>
        <v>0</v>
      </c>
    </row>
    <row r="98" spans="1:15">
      <c r="B98" s="13" t="s">
        <v>43</v>
      </c>
      <c r="C98" s="60">
        <f t="shared" si="101"/>
        <v>21064.5</v>
      </c>
      <c r="D98" s="60">
        <f t="shared" si="101"/>
        <v>21064.5</v>
      </c>
      <c r="E98" s="60">
        <f t="shared" si="101"/>
        <v>21064.5</v>
      </c>
      <c r="F98" s="60">
        <f t="shared" ref="F98:G98" si="127">F33-F65</f>
        <v>21064.5</v>
      </c>
      <c r="G98" s="60">
        <f t="shared" si="127"/>
        <v>20604.5</v>
      </c>
      <c r="H98" s="60">
        <f t="shared" ref="H98:I98" si="128">H33-H65</f>
        <v>20432.5</v>
      </c>
      <c r="I98" s="60">
        <f t="shared" si="128"/>
        <v>19792.5</v>
      </c>
      <c r="J98" s="60">
        <f t="shared" ref="J98:K98" si="129">J33-J65</f>
        <v>20005.5</v>
      </c>
      <c r="K98" s="60">
        <f t="shared" si="129"/>
        <v>21179.5</v>
      </c>
      <c r="L98" s="60">
        <f t="shared" ref="L98:N98" si="130">L33-L65</f>
        <v>21064.5</v>
      </c>
      <c r="M98" s="60">
        <f t="shared" si="130"/>
        <v>21064.5</v>
      </c>
      <c r="N98" s="60">
        <f t="shared" si="130"/>
        <v>21064.5</v>
      </c>
      <c r="O98" s="103">
        <f t="shared" si="106"/>
        <v>249466</v>
      </c>
    </row>
    <row r="99" spans="1:15">
      <c r="A99" t="s">
        <v>134</v>
      </c>
      <c r="B99" s="12" t="s">
        <v>48</v>
      </c>
      <c r="C99" s="20">
        <f t="shared" si="101"/>
        <v>51588.926666666674</v>
      </c>
      <c r="D99" s="20">
        <f t="shared" si="101"/>
        <v>56724.416666666672</v>
      </c>
      <c r="E99" s="20">
        <f t="shared" si="101"/>
        <v>51780.83666666667</v>
      </c>
      <c r="F99" s="20">
        <f t="shared" ref="F99:G99" si="131">F34-F66</f>
        <v>53667.416666666672</v>
      </c>
      <c r="G99" s="20">
        <f t="shared" si="131"/>
        <v>54061.416666666672</v>
      </c>
      <c r="H99" s="20">
        <f t="shared" ref="H99:I99" si="132">H34-H66</f>
        <v>53613.416666666672</v>
      </c>
      <c r="I99" s="20">
        <f t="shared" si="132"/>
        <v>53575.416666666672</v>
      </c>
      <c r="J99" s="20">
        <f t="shared" ref="J99:K99" si="133">J34-J66</f>
        <v>54415.416666666672</v>
      </c>
      <c r="K99" s="20">
        <f t="shared" si="133"/>
        <v>54264.416666666672</v>
      </c>
      <c r="L99" s="20">
        <f t="shared" ref="L99:N99" si="134">L34-L66</f>
        <v>53539.416666666672</v>
      </c>
      <c r="M99" s="20">
        <f t="shared" si="134"/>
        <v>54484.006666666668</v>
      </c>
      <c r="N99" s="20">
        <f t="shared" si="134"/>
        <v>54710.306666666671</v>
      </c>
      <c r="O99" s="104">
        <f t="shared" ref="O99" si="135">SUM(O92:O98)</f>
        <v>646425.41</v>
      </c>
    </row>
    <row r="100" spans="1:15">
      <c r="B100" s="12"/>
      <c r="C100" s="59"/>
      <c r="D100" s="59"/>
      <c r="E100" s="59"/>
      <c r="F100" s="59"/>
      <c r="G100" s="59"/>
      <c r="H100" s="59"/>
      <c r="I100" s="59"/>
      <c r="J100" s="59"/>
      <c r="K100" s="59"/>
      <c r="L100" s="59"/>
      <c r="M100" s="59"/>
      <c r="N100" s="59"/>
      <c r="O100" s="107"/>
    </row>
    <row r="101" spans="1:15" ht="15.75" thickBot="1">
      <c r="B101" s="12" t="s">
        <v>48</v>
      </c>
      <c r="C101" s="62">
        <f>C36-C68</f>
        <v>-346500.0766666666</v>
      </c>
      <c r="D101" s="62">
        <f t="shared" ref="D101:E101" si="136">D36-D68</f>
        <v>193868.62333333335</v>
      </c>
      <c r="E101" s="62">
        <f t="shared" si="136"/>
        <v>-45430.836666666728</v>
      </c>
      <c r="F101" s="62">
        <f t="shared" ref="F101:G101" si="137">F36-F68</f>
        <v>193644.83333333331</v>
      </c>
      <c r="G101" s="62">
        <f t="shared" si="137"/>
        <v>29735.833333333314</v>
      </c>
      <c r="H101" s="62">
        <f t="shared" ref="H101:I101" si="138">H36-H68</f>
        <v>26046.833333333314</v>
      </c>
      <c r="I101" s="62">
        <f t="shared" si="138"/>
        <v>32212.833333333314</v>
      </c>
      <c r="J101" s="62">
        <f t="shared" ref="J101:K101" si="139">J36-J68</f>
        <v>64196.833333333314</v>
      </c>
      <c r="K101" s="62">
        <f t="shared" si="139"/>
        <v>95978.833333333314</v>
      </c>
      <c r="L101" s="62">
        <f t="shared" ref="L101:N101" si="140">L36-L68</f>
        <v>-22305.166666666686</v>
      </c>
      <c r="M101" s="62">
        <f t="shared" si="140"/>
        <v>-80550.036666666681</v>
      </c>
      <c r="N101" s="62">
        <f t="shared" si="140"/>
        <v>-11135.316666666709</v>
      </c>
      <c r="O101" s="108">
        <f t="shared" ref="O101" si="141">O99+O89+O79</f>
        <v>129763.18999999989</v>
      </c>
    </row>
    <row r="102" spans="1:15" ht="15.75" thickTop="1">
      <c r="B102" s="10"/>
    </row>
    <row r="103" spans="1:15">
      <c r="B103" s="10"/>
    </row>
    <row r="104" spans="1:15">
      <c r="B104" s="56" t="s">
        <v>77</v>
      </c>
      <c r="C104" s="19"/>
      <c r="D104" s="19"/>
      <c r="E104" s="19"/>
      <c r="F104" s="19"/>
      <c r="G104" s="19"/>
      <c r="H104" s="19"/>
      <c r="I104" s="19"/>
      <c r="J104" s="19"/>
      <c r="K104" s="19"/>
      <c r="L104" s="19"/>
      <c r="M104" s="19"/>
      <c r="N104" s="19"/>
      <c r="O104" s="19"/>
    </row>
    <row r="105" spans="1:15" ht="31.5" customHeight="1">
      <c r="B105" s="149" t="s">
        <v>86</v>
      </c>
      <c r="C105" s="149"/>
      <c r="D105" s="149"/>
      <c r="E105" s="149"/>
      <c r="F105" s="149"/>
      <c r="G105" s="149"/>
      <c r="H105" s="149"/>
      <c r="I105" s="149"/>
      <c r="J105" s="149"/>
      <c r="K105" s="149"/>
      <c r="L105" s="149"/>
      <c r="M105" s="149"/>
      <c r="N105" s="149"/>
      <c r="O105" s="149"/>
    </row>
    <row r="106" spans="1:15" ht="31.5" customHeight="1">
      <c r="B106" s="149" t="s">
        <v>87</v>
      </c>
      <c r="C106" s="149"/>
      <c r="D106" s="149"/>
      <c r="E106" s="149"/>
      <c r="F106" s="149"/>
      <c r="G106" s="149"/>
      <c r="H106" s="149"/>
      <c r="I106" s="149"/>
      <c r="J106" s="149"/>
      <c r="K106" s="149"/>
      <c r="L106" s="149"/>
      <c r="M106" s="149"/>
      <c r="N106" s="149"/>
      <c r="O106" s="149"/>
    </row>
    <row r="108" spans="1:15">
      <c r="B108" s="112" t="s">
        <v>79</v>
      </c>
    </row>
    <row r="109" spans="1:15">
      <c r="B109" s="148" t="s">
        <v>108</v>
      </c>
      <c r="C109" s="148"/>
      <c r="D109" s="148"/>
      <c r="E109" s="148"/>
      <c r="F109" s="148"/>
      <c r="G109" s="148"/>
      <c r="H109" s="148"/>
      <c r="I109" s="148"/>
      <c r="J109" s="148"/>
      <c r="K109" s="148"/>
      <c r="L109" s="148"/>
      <c r="M109" s="148"/>
      <c r="N109" s="148"/>
      <c r="O109" s="148"/>
    </row>
    <row r="110" spans="1:15">
      <c r="B110" s="148" t="s">
        <v>109</v>
      </c>
      <c r="C110" s="148"/>
      <c r="D110" s="148"/>
      <c r="E110" s="148"/>
      <c r="F110" s="148"/>
      <c r="G110" s="148"/>
      <c r="H110" s="148"/>
      <c r="I110" s="148"/>
      <c r="J110" s="148"/>
      <c r="K110" s="148"/>
      <c r="L110" s="148"/>
      <c r="M110" s="148"/>
      <c r="N110" s="148"/>
      <c r="O110" s="148"/>
    </row>
    <row r="111" spans="1:15" ht="30.75" customHeight="1">
      <c r="B111" s="144" t="s">
        <v>110</v>
      </c>
      <c r="C111" s="144"/>
      <c r="D111" s="144"/>
      <c r="E111" s="144"/>
      <c r="F111" s="144"/>
      <c r="G111" s="144"/>
      <c r="H111" s="144"/>
      <c r="I111" s="144"/>
      <c r="J111" s="144"/>
      <c r="K111" s="144"/>
      <c r="L111" s="144"/>
      <c r="M111" s="144"/>
      <c r="N111" s="144"/>
      <c r="O111" s="144"/>
    </row>
    <row r="112" spans="1:15">
      <c r="B112" s="144" t="s">
        <v>167</v>
      </c>
      <c r="C112" s="144"/>
      <c r="D112" s="144"/>
      <c r="E112" s="144"/>
      <c r="F112" s="144"/>
      <c r="G112" s="144"/>
      <c r="H112" s="144"/>
      <c r="I112" s="144"/>
      <c r="J112" s="144"/>
      <c r="K112" s="144"/>
      <c r="L112" s="144"/>
      <c r="M112" s="144"/>
      <c r="N112" s="144"/>
    </row>
    <row r="113" spans="2:15">
      <c r="B113" s="144" t="s">
        <v>184</v>
      </c>
      <c r="C113" s="144"/>
      <c r="D113" s="144"/>
      <c r="E113" s="144"/>
      <c r="F113" s="144"/>
      <c r="G113" s="144"/>
      <c r="H113" s="144"/>
      <c r="I113" s="144"/>
      <c r="J113" s="144"/>
      <c r="K113" s="144"/>
      <c r="L113" s="144"/>
      <c r="M113" s="144"/>
      <c r="N113" s="144"/>
    </row>
    <row r="114" spans="2:15">
      <c r="B114" s="144" t="s">
        <v>206</v>
      </c>
      <c r="C114" s="144"/>
      <c r="D114" s="144"/>
      <c r="E114" s="144"/>
      <c r="F114" s="144"/>
      <c r="G114" s="144"/>
      <c r="H114" s="144"/>
      <c r="I114" s="144"/>
      <c r="J114" s="144"/>
      <c r="K114" s="144"/>
      <c r="L114" s="144"/>
      <c r="M114" s="144"/>
      <c r="N114" s="144"/>
    </row>
    <row r="115" spans="2:15">
      <c r="B115" s="144" t="s">
        <v>205</v>
      </c>
      <c r="C115" s="144"/>
      <c r="D115" s="144"/>
      <c r="E115" s="144"/>
      <c r="F115" s="144"/>
      <c r="G115" s="144"/>
      <c r="H115" s="144"/>
      <c r="I115" s="144"/>
      <c r="J115" s="144"/>
      <c r="K115" s="144"/>
      <c r="L115" s="144"/>
      <c r="M115" s="144"/>
      <c r="N115" s="144"/>
    </row>
    <row r="116" spans="2:15">
      <c r="B116" s="144" t="s">
        <v>219</v>
      </c>
      <c r="C116" s="144"/>
      <c r="D116" s="144"/>
      <c r="E116" s="144"/>
      <c r="F116" s="144"/>
      <c r="G116" s="144"/>
      <c r="H116" s="144"/>
      <c r="I116" s="144"/>
      <c r="J116" s="144"/>
      <c r="K116" s="144"/>
      <c r="L116" s="144"/>
      <c r="M116" s="144"/>
      <c r="N116" s="144"/>
    </row>
    <row r="117" spans="2:15">
      <c r="B117" s="144" t="s">
        <v>238</v>
      </c>
      <c r="C117" s="144"/>
      <c r="D117" s="144"/>
      <c r="E117" s="144"/>
      <c r="F117" s="144"/>
      <c r="G117" s="144"/>
      <c r="H117" s="144"/>
      <c r="I117" s="144"/>
      <c r="J117" s="144"/>
      <c r="K117" s="144"/>
      <c r="L117" s="144"/>
      <c r="M117" s="144"/>
      <c r="N117" s="144"/>
    </row>
    <row r="118" spans="2:15">
      <c r="B118" s="144" t="s">
        <v>246</v>
      </c>
      <c r="C118" s="144"/>
      <c r="D118" s="144"/>
      <c r="E118" s="144"/>
      <c r="F118" s="144"/>
      <c r="G118" s="144"/>
      <c r="H118" s="144"/>
      <c r="I118" s="144"/>
      <c r="J118" s="144"/>
      <c r="K118" s="144"/>
      <c r="L118" s="144"/>
      <c r="M118" s="144"/>
      <c r="N118" s="144"/>
      <c r="O118" s="144"/>
    </row>
    <row r="119" spans="2:15">
      <c r="B119" s="144" t="s">
        <v>260</v>
      </c>
      <c r="C119" s="144"/>
      <c r="D119" s="144"/>
      <c r="E119" s="144"/>
      <c r="F119" s="144"/>
      <c r="G119" s="144"/>
      <c r="H119" s="144"/>
      <c r="I119" s="144"/>
      <c r="J119" s="144"/>
      <c r="K119" s="144"/>
      <c r="L119" s="144"/>
      <c r="M119" s="144"/>
      <c r="N119" s="144"/>
      <c r="O119" s="144"/>
    </row>
  </sheetData>
  <mergeCells count="13">
    <mergeCell ref="B119:O119"/>
    <mergeCell ref="B118:O118"/>
    <mergeCell ref="B117:N117"/>
    <mergeCell ref="B105:O105"/>
    <mergeCell ref="B106:O106"/>
    <mergeCell ref="B109:O109"/>
    <mergeCell ref="B110:O110"/>
    <mergeCell ref="B111:O111"/>
    <mergeCell ref="B116:N116"/>
    <mergeCell ref="B115:N115"/>
    <mergeCell ref="B114:N114"/>
    <mergeCell ref="B113:N113"/>
    <mergeCell ref="B112:N112"/>
  </mergeCells>
  <pageMargins left="0" right="0" top="0.75" bottom="0.75" header="0.3" footer="0.3"/>
  <pageSetup scale="75" orientation="landscape" r:id="rId1"/>
</worksheet>
</file>

<file path=xl/worksheets/sheet14.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132" t="s">
        <v>223</v>
      </c>
      <c r="B2" s="1">
        <f>'ID-Sch191 Rider Balance'!J17</f>
        <v>1240141.1440069531</v>
      </c>
    </row>
    <row r="3" spans="1:2">
      <c r="A3" s="132"/>
    </row>
    <row r="4" spans="1:2">
      <c r="A4" s="132" t="s">
        <v>224</v>
      </c>
      <c r="B4" s="1">
        <v>1615000</v>
      </c>
    </row>
    <row r="5" spans="1:2">
      <c r="A5" s="132" t="s">
        <v>225</v>
      </c>
      <c r="B5" s="139">
        <f>SUM('ID-Sch191 Rider Balance'!K11:N11)</f>
        <v>692542.33333333337</v>
      </c>
    </row>
    <row r="6" spans="1:2">
      <c r="A6" s="132"/>
      <c r="B6" s="1">
        <f>B5-B4</f>
        <v>-922457.66666666663</v>
      </c>
    </row>
    <row r="8" spans="1:2">
      <c r="A8" s="132" t="s">
        <v>226</v>
      </c>
      <c r="B8" s="3">
        <f>B2+B6</f>
        <v>317683.47734028648</v>
      </c>
    </row>
    <row r="10" spans="1:2">
      <c r="A10" s="132" t="s">
        <v>227</v>
      </c>
      <c r="B10" s="1">
        <v>4076000</v>
      </c>
    </row>
    <row r="11" spans="1:2">
      <c r="A11" t="s">
        <v>228</v>
      </c>
      <c r="B11" s="140"/>
    </row>
    <row r="12" spans="1:2">
      <c r="B12" s="3">
        <f>B11-B10</f>
        <v>-4076000</v>
      </c>
    </row>
    <row r="14" spans="1:2">
      <c r="A14" t="s">
        <v>229</v>
      </c>
      <c r="B14" s="3">
        <f>B8+B12</f>
        <v>-3758316.5226597134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theme="5" tint="0.39997558519241921"/>
  </sheetPr>
  <dimension ref="A2:AF32"/>
  <sheetViews>
    <sheetView zoomScaleNormal="100" workbookViewId="0">
      <pane xSplit="2" ySplit="4" topLeftCell="C5" activePane="bottomRight" state="frozen"/>
      <selection pane="topRight" activeCell="C1" sqref="C1"/>
      <selection pane="bottomLeft" activeCell="A5" sqref="A5"/>
      <selection pane="bottomRight" activeCell="A4" sqref="A4"/>
    </sheetView>
  </sheetViews>
  <sheetFormatPr defaultRowHeight="15"/>
  <cols>
    <col min="1" max="1" width="3.42578125" bestFit="1" customWidth="1"/>
    <col min="2" max="2" width="34.85546875" customWidth="1"/>
    <col min="3" max="14" width="10.5703125" bestFit="1" customWidth="1"/>
    <col min="15" max="15" width="11.28515625" bestFit="1" customWidth="1"/>
    <col min="16" max="16" width="11.5703125" bestFit="1" customWidth="1"/>
    <col min="17" max="19" width="10.5703125" bestFit="1" customWidth="1"/>
    <col min="21" max="21" width="9.7109375" bestFit="1" customWidth="1"/>
    <col min="22" max="32" width="11.28515625" bestFit="1" customWidth="1"/>
  </cols>
  <sheetData>
    <row r="2" spans="1:32">
      <c r="B2" s="63" t="s">
        <v>78</v>
      </c>
    </row>
    <row r="3" spans="1:32">
      <c r="C3" s="32">
        <v>2010</v>
      </c>
      <c r="D3" s="32">
        <v>2010</v>
      </c>
      <c r="E3" s="32">
        <v>2010</v>
      </c>
      <c r="F3" s="32">
        <v>2010</v>
      </c>
      <c r="G3" s="32">
        <v>2010</v>
      </c>
      <c r="H3" s="32">
        <v>2010</v>
      </c>
      <c r="I3" s="32">
        <v>2010</v>
      </c>
      <c r="J3" s="32">
        <v>2010</v>
      </c>
      <c r="K3" s="32">
        <v>2010</v>
      </c>
      <c r="L3" s="32">
        <v>2010</v>
      </c>
      <c r="M3" s="32">
        <v>2010</v>
      </c>
      <c r="N3" s="32">
        <v>2010</v>
      </c>
      <c r="O3" s="70" t="s">
        <v>34</v>
      </c>
      <c r="P3" s="70">
        <v>2010</v>
      </c>
      <c r="Q3" s="70">
        <v>2010</v>
      </c>
      <c r="R3" s="70">
        <v>2010</v>
      </c>
      <c r="S3" s="70">
        <v>2010</v>
      </c>
      <c r="U3" s="70">
        <v>2011</v>
      </c>
      <c r="V3" s="70">
        <v>2011</v>
      </c>
      <c r="W3" s="70">
        <v>2011</v>
      </c>
      <c r="X3" s="70">
        <v>2011</v>
      </c>
      <c r="Y3" s="70">
        <v>2011</v>
      </c>
      <c r="Z3" s="70">
        <v>2011</v>
      </c>
      <c r="AA3" s="70">
        <v>2011</v>
      </c>
      <c r="AB3" s="70">
        <v>2011</v>
      </c>
      <c r="AC3" s="70">
        <v>2011</v>
      </c>
      <c r="AD3" s="70">
        <v>2011</v>
      </c>
      <c r="AE3" s="70">
        <v>2011</v>
      </c>
      <c r="AF3" s="70">
        <v>2011</v>
      </c>
    </row>
    <row r="4" spans="1:32">
      <c r="C4" s="32" t="s">
        <v>0</v>
      </c>
      <c r="D4" s="32" t="s">
        <v>1</v>
      </c>
      <c r="E4" s="32" t="s">
        <v>2</v>
      </c>
      <c r="F4" s="32" t="s">
        <v>3</v>
      </c>
      <c r="G4" s="32" t="s">
        <v>4</v>
      </c>
      <c r="H4" s="32" t="s">
        <v>5</v>
      </c>
      <c r="I4" s="32" t="s">
        <v>6</v>
      </c>
      <c r="J4" s="32" t="s">
        <v>7</v>
      </c>
      <c r="K4" s="32" t="s">
        <v>8</v>
      </c>
      <c r="L4" s="32" t="s">
        <v>9</v>
      </c>
      <c r="M4" s="32" t="s">
        <v>10</v>
      </c>
      <c r="N4" s="32" t="s">
        <v>11</v>
      </c>
      <c r="O4" s="70"/>
      <c r="P4" s="70" t="s">
        <v>97</v>
      </c>
      <c r="Q4" s="70" t="s">
        <v>98</v>
      </c>
      <c r="R4" s="70" t="s">
        <v>99</v>
      </c>
      <c r="S4" s="70" t="s">
        <v>100</v>
      </c>
      <c r="U4" s="70" t="s">
        <v>0</v>
      </c>
      <c r="V4" s="70" t="s">
        <v>1</v>
      </c>
      <c r="W4" s="70" t="s">
        <v>2</v>
      </c>
      <c r="X4" s="70" t="s">
        <v>3</v>
      </c>
      <c r="Y4" s="70" t="s">
        <v>4</v>
      </c>
      <c r="Z4" s="70" t="s">
        <v>5</v>
      </c>
      <c r="AA4" s="70" t="s">
        <v>6</v>
      </c>
      <c r="AB4" s="70" t="s">
        <v>7</v>
      </c>
      <c r="AC4" s="70" t="s">
        <v>8</v>
      </c>
      <c r="AD4" s="70" t="s">
        <v>9</v>
      </c>
      <c r="AE4" s="70" t="s">
        <v>10</v>
      </c>
      <c r="AF4" s="70" t="s">
        <v>11</v>
      </c>
    </row>
    <row r="5" spans="1:32">
      <c r="A5" t="s">
        <v>22</v>
      </c>
      <c r="B5" t="s">
        <v>13</v>
      </c>
      <c r="C5" s="1">
        <v>1626625</v>
      </c>
      <c r="D5" s="1">
        <f>C17</f>
        <v>1375429.2825873264</v>
      </c>
      <c r="E5" s="1">
        <f>D17</f>
        <v>1238274.809433915</v>
      </c>
      <c r="F5" s="1">
        <f>E17</f>
        <v>1095898.0768288989</v>
      </c>
      <c r="G5" s="1">
        <f>F17</f>
        <v>974336.62797704863</v>
      </c>
      <c r="H5" s="1">
        <f t="shared" ref="H5:N5" si="0">G17</f>
        <v>944358.62061345635</v>
      </c>
      <c r="I5" s="1">
        <f t="shared" si="0"/>
        <v>980081.54009495745</v>
      </c>
      <c r="J5" s="1">
        <f t="shared" si="0"/>
        <v>1177633.0459421936</v>
      </c>
      <c r="K5" s="1">
        <f t="shared" si="0"/>
        <v>1240141.1440069531</v>
      </c>
      <c r="L5" s="1">
        <f t="shared" si="0"/>
        <v>1301287.1701729987</v>
      </c>
      <c r="M5" s="1">
        <f t="shared" si="0"/>
        <v>1329775.1701729987</v>
      </c>
      <c r="N5" s="1">
        <f t="shared" si="0"/>
        <v>1220950.5901729986</v>
      </c>
      <c r="O5" s="68"/>
      <c r="P5" s="72">
        <f>C5</f>
        <v>1626625</v>
      </c>
      <c r="Q5" s="75">
        <f>P17</f>
        <v>1095898.0768288986</v>
      </c>
      <c r="R5" s="75">
        <f>Q17</f>
        <v>980081.54009495722</v>
      </c>
      <c r="S5" s="75">
        <f>R17</f>
        <v>1301287.1701729982</v>
      </c>
      <c r="U5" s="75" t="str">
        <f>N19</f>
        <v xml:space="preserve"> </v>
      </c>
      <c r="V5" s="75" t="e">
        <f>U19</f>
        <v>#VALUE!</v>
      </c>
      <c r="W5" s="75" t="e">
        <f t="shared" ref="W5:AF5" si="1">V19</f>
        <v>#VALUE!</v>
      </c>
      <c r="X5" s="75" t="e">
        <f t="shared" si="1"/>
        <v>#VALUE!</v>
      </c>
      <c r="Y5" s="75" t="e">
        <f t="shared" si="1"/>
        <v>#VALUE!</v>
      </c>
      <c r="Z5" s="75" t="e">
        <f t="shared" si="1"/>
        <v>#VALUE!</v>
      </c>
      <c r="AA5" s="75" t="e">
        <f t="shared" si="1"/>
        <v>#VALUE!</v>
      </c>
      <c r="AB5" s="75" t="e">
        <f t="shared" si="1"/>
        <v>#VALUE!</v>
      </c>
      <c r="AC5" s="75" t="e">
        <f t="shared" si="1"/>
        <v>#VALUE!</v>
      </c>
      <c r="AD5" s="75" t="e">
        <f t="shared" si="1"/>
        <v>#VALUE!</v>
      </c>
      <c r="AE5" s="75" t="e">
        <f t="shared" si="1"/>
        <v>#VALUE!</v>
      </c>
      <c r="AF5" s="75" t="e">
        <f t="shared" si="1"/>
        <v>#VALUE!</v>
      </c>
    </row>
    <row r="6" spans="1:32">
      <c r="C6" s="1"/>
      <c r="D6" s="1"/>
      <c r="E6" s="1"/>
      <c r="F6" s="1"/>
      <c r="G6" s="1"/>
      <c r="H6" s="1"/>
      <c r="I6" s="1"/>
      <c r="J6" s="1"/>
      <c r="K6" s="1"/>
      <c r="L6" s="1"/>
      <c r="M6" s="1"/>
      <c r="N6" s="1"/>
      <c r="O6" s="68"/>
      <c r="P6" s="68"/>
      <c r="Q6" s="68"/>
      <c r="R6" s="68"/>
      <c r="S6" s="68"/>
      <c r="U6" s="68"/>
      <c r="V6" s="68"/>
      <c r="W6" s="68"/>
      <c r="X6" s="68"/>
      <c r="Y6" s="68"/>
      <c r="Z6" s="68"/>
      <c r="AA6" s="68"/>
      <c r="AB6" s="68"/>
      <c r="AC6" s="68"/>
      <c r="AD6" s="68"/>
      <c r="AE6" s="68"/>
      <c r="AF6" s="68"/>
    </row>
    <row r="7" spans="1:32">
      <c r="B7" t="s">
        <v>14</v>
      </c>
      <c r="C7" s="1">
        <f>'ID-Sch191 Forecasted-Act Rev'!B41</f>
        <v>419209.98380815692</v>
      </c>
      <c r="D7" s="1">
        <f>'ID-Sch191 Forecasted-Act Rev'!C41</f>
        <v>328614.56575911184</v>
      </c>
      <c r="E7" s="1">
        <f>'ID-Sch191 Forecasted-Act Rev'!D41</f>
        <v>276309.75673962827</v>
      </c>
      <c r="F7" s="1">
        <f>'ID-Sch191 Forecasted-Act Rev'!E41</f>
        <v>201013.99161668337</v>
      </c>
      <c r="G7" s="1">
        <f>'ID-Sch191 Forecasted-Act Rev'!F41</f>
        <v>119613.14111167201</v>
      </c>
      <c r="H7" s="1">
        <f>'ID-Sch191 Forecasted-Act Rev'!G41</f>
        <v>90527.406386947419</v>
      </c>
      <c r="I7" s="1">
        <f>'ID-Sch191 Forecasted-Act Rev'!H41</f>
        <v>66857.969033931746</v>
      </c>
      <c r="J7" s="1">
        <f>'ID-Sch191 Forecasted-Act Rev'!I41</f>
        <v>71081.86826672389</v>
      </c>
      <c r="K7" s="1">
        <f>'ID-Sch191 Forecasted-Act Rev'!J41</f>
        <v>88500.59563281991</v>
      </c>
      <c r="L7" s="1">
        <f>'ID-Sch191 Forecasted-Act Rev'!K41</f>
        <v>199049.82167356106</v>
      </c>
      <c r="M7" s="1">
        <f>'ID-Sch191 Forecasted-Act Rev'!L41</f>
        <v>324075.05224528984</v>
      </c>
      <c r="N7" s="1">
        <f>'ID-Sch191 Forecasted-Act Rev'!M41</f>
        <v>448154.452078395</v>
      </c>
      <c r="O7" s="75">
        <f>SUM(C7:N7)</f>
        <v>2633008.6043529212</v>
      </c>
      <c r="P7" s="75">
        <f>SUM(C7:E7)</f>
        <v>1024134.306306897</v>
      </c>
      <c r="Q7" s="75">
        <f>SUM(F7:H7)</f>
        <v>411154.53911530279</v>
      </c>
      <c r="R7" s="75">
        <f>SUM(I7:K7)</f>
        <v>226440.43293347553</v>
      </c>
      <c r="S7" s="75">
        <f>SUM(L7:N7)</f>
        <v>971279.32599724596</v>
      </c>
      <c r="U7" s="36">
        <v>671255.47706469079</v>
      </c>
      <c r="V7" s="36">
        <v>500807.28146179469</v>
      </c>
      <c r="W7" s="36">
        <v>447468.90769040131</v>
      </c>
      <c r="X7" s="36">
        <v>293578.83763654699</v>
      </c>
      <c r="Y7" s="36">
        <v>186552.56612849256</v>
      </c>
      <c r="Z7" s="36">
        <v>120677.08470763813</v>
      </c>
      <c r="AA7" s="36">
        <v>106797.70929644014</v>
      </c>
      <c r="AB7" s="36">
        <v>116339.50766468508</v>
      </c>
      <c r="AC7" s="36">
        <v>130316.40752960715</v>
      </c>
      <c r="AD7" s="36">
        <v>299358.62388890015</v>
      </c>
      <c r="AE7" s="36">
        <v>502430.36184913921</v>
      </c>
      <c r="AF7" s="36">
        <v>706126.64611759665</v>
      </c>
    </row>
    <row r="8" spans="1:32">
      <c r="A8" t="s">
        <v>21</v>
      </c>
      <c r="B8" t="s">
        <v>15</v>
      </c>
      <c r="C8" s="1">
        <f>'ID-Sch191 Forecasted-Act Rev'!B49</f>
        <v>408071.37741267373</v>
      </c>
      <c r="D8" s="1">
        <f>'ID-Sch191 Forecasted-Act Rev'!C49</f>
        <v>317193.05315341149</v>
      </c>
      <c r="E8" s="1">
        <f>'ID-Sch191 Forecasted-Act Rev'!D49</f>
        <v>271989.03260501608</v>
      </c>
      <c r="F8" s="1">
        <f>'ID-Sch191 Forecasted-Act Rev'!E49</f>
        <v>238360.4488518502</v>
      </c>
      <c r="G8" s="1">
        <f>'ID-Sch191 Forecasted-Act Rev'!F49</f>
        <v>175025.00736359225</v>
      </c>
      <c r="H8" s="1">
        <f>'ID-Sch191 Forecasted-Act Rev'!G49</f>
        <v>116702.0805184989</v>
      </c>
      <c r="I8" s="1">
        <f>'ID-Sch191 Forecasted-Act Rev'!H49</f>
        <v>78080.4941527638</v>
      </c>
      <c r="J8" s="1">
        <f>'ID-Sch191 Forecasted-Act Rev'!I49</f>
        <v>62455.901935240603</v>
      </c>
      <c r="K8" s="1">
        <f>'ID-Sch191 Forecasted-Act Rev'!J49</f>
        <v>71890.9738339545</v>
      </c>
      <c r="L8" s="1">
        <f>'ID-Sch191 Forecasted-Act Rev'!K49</f>
        <v>112140</v>
      </c>
      <c r="M8" s="1">
        <f>'ID-Sch191 Forecasted-Act Rev'!L49</f>
        <v>298937.08</v>
      </c>
      <c r="N8" s="1">
        <f>'ID-Sch191 Forecasted-Act Rev'!M49</f>
        <v>618183.26000000013</v>
      </c>
      <c r="O8" s="75">
        <f t="shared" ref="O8:O9" si="2">SUM(C8:N8)</f>
        <v>2769028.7098270021</v>
      </c>
      <c r="P8" s="75">
        <f>SUM(C8:E8)</f>
        <v>997253.46317110141</v>
      </c>
      <c r="Q8" s="75">
        <f>SUM(F8:H8)</f>
        <v>530087.53673394141</v>
      </c>
      <c r="R8" s="75">
        <f>SUM(I8:K8)</f>
        <v>212427.36992195889</v>
      </c>
      <c r="S8" s="75">
        <f>SUM(L8:N8)</f>
        <v>1029260.3400000001</v>
      </c>
      <c r="U8" s="68"/>
      <c r="V8" s="68"/>
      <c r="W8" s="68"/>
      <c r="X8" s="68"/>
      <c r="Y8" s="68"/>
      <c r="Z8" s="68"/>
      <c r="AA8" s="68"/>
      <c r="AB8" s="68"/>
      <c r="AC8" s="68"/>
      <c r="AD8" s="68"/>
      <c r="AE8" s="68"/>
      <c r="AF8" s="68"/>
    </row>
    <row r="9" spans="1:32">
      <c r="B9" t="s">
        <v>16</v>
      </c>
      <c r="C9" s="3">
        <f>C8-C7</f>
        <v>-11138.606395483192</v>
      </c>
      <c r="D9" s="3">
        <f>D8-D7</f>
        <v>-11421.512605700351</v>
      </c>
      <c r="E9" s="3">
        <f t="shared" ref="E9:N9" si="3">E8-E7</f>
        <v>-4320.7241346121882</v>
      </c>
      <c r="F9" s="3">
        <f t="shared" si="3"/>
        <v>37346.457235166832</v>
      </c>
      <c r="G9" s="3">
        <f t="shared" si="3"/>
        <v>55411.866251920233</v>
      </c>
      <c r="H9" s="3">
        <f t="shared" si="3"/>
        <v>26174.674131551481</v>
      </c>
      <c r="I9" s="3">
        <f t="shared" si="3"/>
        <v>11222.525118832054</v>
      </c>
      <c r="J9" s="3">
        <f t="shared" si="3"/>
        <v>-8625.9663314832869</v>
      </c>
      <c r="K9" s="3">
        <f t="shared" si="3"/>
        <v>-16609.62179886541</v>
      </c>
      <c r="L9" s="3">
        <f t="shared" si="3"/>
        <v>-86909.821673561062</v>
      </c>
      <c r="M9" s="3">
        <f t="shared" si="3"/>
        <v>-25137.972245289828</v>
      </c>
      <c r="N9" s="3">
        <f t="shared" si="3"/>
        <v>170028.80792160513</v>
      </c>
      <c r="O9" s="76">
        <f t="shared" si="2"/>
        <v>136020.10547408042</v>
      </c>
      <c r="P9" s="76">
        <f t="shared" ref="P9:S9" si="4">P8-P7</f>
        <v>-26880.843135795556</v>
      </c>
      <c r="Q9" s="76">
        <f t="shared" si="4"/>
        <v>118932.99761863862</v>
      </c>
      <c r="R9" s="76">
        <f t="shared" si="4"/>
        <v>-14013.063011516642</v>
      </c>
      <c r="S9" s="76">
        <f t="shared" si="4"/>
        <v>57981.01400275412</v>
      </c>
      <c r="U9" s="68"/>
      <c r="V9" s="68"/>
      <c r="W9" s="68"/>
      <c r="X9" s="68"/>
      <c r="Y9" s="68"/>
      <c r="Z9" s="68"/>
      <c r="AA9" s="68"/>
      <c r="AB9" s="68"/>
      <c r="AC9" s="68"/>
      <c r="AD9" s="68"/>
      <c r="AE9" s="68"/>
      <c r="AF9" s="68"/>
    </row>
    <row r="10" spans="1:32">
      <c r="C10" s="1"/>
      <c r="D10" s="1"/>
      <c r="E10" s="1"/>
      <c r="F10" s="1"/>
      <c r="G10" s="1"/>
      <c r="H10" s="1"/>
      <c r="I10" s="1"/>
      <c r="J10" s="1"/>
      <c r="K10" s="1"/>
      <c r="L10" s="1"/>
      <c r="M10" s="1"/>
      <c r="N10" s="1"/>
      <c r="O10" s="68"/>
      <c r="P10" s="68"/>
      <c r="Q10" s="68"/>
      <c r="R10" s="68"/>
      <c r="S10" s="68"/>
      <c r="U10" s="68"/>
      <c r="V10" s="68"/>
      <c r="W10" s="68"/>
      <c r="X10" s="68"/>
      <c r="Y10" s="68"/>
      <c r="Z10" s="68"/>
      <c r="AA10" s="68"/>
      <c r="AB10" s="68"/>
      <c r="AC10" s="68"/>
      <c r="AD10" s="68"/>
      <c r="AE10" s="68"/>
      <c r="AF10" s="68"/>
    </row>
    <row r="11" spans="1:32">
      <c r="B11" t="s">
        <v>18</v>
      </c>
      <c r="C11" s="1">
        <f>2077627/12</f>
        <v>173135.58333333334</v>
      </c>
      <c r="D11" s="1">
        <f t="shared" ref="D11:N11" si="5">2077627/12</f>
        <v>173135.58333333334</v>
      </c>
      <c r="E11" s="1">
        <f t="shared" si="5"/>
        <v>173135.58333333334</v>
      </c>
      <c r="F11" s="1">
        <f t="shared" si="5"/>
        <v>173135.58333333334</v>
      </c>
      <c r="G11" s="1">
        <f t="shared" si="5"/>
        <v>173135.58333333334</v>
      </c>
      <c r="H11" s="1">
        <f t="shared" si="5"/>
        <v>173135.58333333334</v>
      </c>
      <c r="I11" s="1">
        <f t="shared" si="5"/>
        <v>173135.58333333334</v>
      </c>
      <c r="J11" s="1">
        <f t="shared" si="5"/>
        <v>173135.58333333334</v>
      </c>
      <c r="K11" s="1">
        <f t="shared" si="5"/>
        <v>173135.58333333334</v>
      </c>
      <c r="L11" s="1">
        <f t="shared" si="5"/>
        <v>173135.58333333334</v>
      </c>
      <c r="M11" s="1">
        <f t="shared" si="5"/>
        <v>173135.58333333334</v>
      </c>
      <c r="N11" s="1">
        <f t="shared" si="5"/>
        <v>173135.58333333334</v>
      </c>
      <c r="O11" s="75">
        <f t="shared" ref="O11:O13" si="6">SUM(C11:N11)</f>
        <v>2077626.9999999998</v>
      </c>
      <c r="P11" s="75">
        <f>SUM(C11:E11)</f>
        <v>519406.75</v>
      </c>
      <c r="Q11" s="75">
        <f>SUM(F11:H11)</f>
        <v>519406.75</v>
      </c>
      <c r="R11" s="75">
        <f>SUM(I11:K11)</f>
        <v>519406.75</v>
      </c>
      <c r="S11" s="75">
        <f>SUM(L11:N11)</f>
        <v>519406.75</v>
      </c>
      <c r="U11" s="73">
        <f>2108309*(C12/(SUM($C$12:$K$12)+SUM($L$11:$N$11)))</f>
        <v>171029.05584106303</v>
      </c>
      <c r="V11" s="73">
        <f t="shared" ref="V11:AC11" si="7">2108309*(D12/(SUM($C$12:$K$12)+SUM($L$11:$N$11)))</f>
        <v>196281.74537952984</v>
      </c>
      <c r="W11" s="73">
        <f t="shared" si="7"/>
        <v>141305.98267690866</v>
      </c>
      <c r="X11" s="73">
        <f t="shared" si="7"/>
        <v>127336.66072340553</v>
      </c>
      <c r="Y11" s="73">
        <f t="shared" si="7"/>
        <v>158133.2085715443</v>
      </c>
      <c r="Z11" s="73">
        <f t="shared" si="7"/>
        <v>166176.85520222853</v>
      </c>
      <c r="AA11" s="73">
        <f t="shared" si="7"/>
        <v>300499.64870002068</v>
      </c>
      <c r="AB11" s="73">
        <f t="shared" si="7"/>
        <v>136238.31086430236</v>
      </c>
      <c r="AC11" s="73">
        <f t="shared" si="7"/>
        <v>145039.66072192145</v>
      </c>
      <c r="AD11" s="73">
        <f>2108309*(L11/(SUM($C$12:$K$12)+SUM($L$11:$N$11)))</f>
        <v>188755.95710635855</v>
      </c>
      <c r="AE11" s="73">
        <f t="shared" ref="AE11:AF11" si="8">2108309*(M11/(SUM($C$12:$K$12)+SUM($L$11:$N$11)))</f>
        <v>188755.95710635855</v>
      </c>
      <c r="AF11" s="73">
        <f t="shared" si="8"/>
        <v>188755.95710635855</v>
      </c>
    </row>
    <row r="12" spans="1:32">
      <c r="A12" t="s">
        <v>20</v>
      </c>
      <c r="B12" t="s">
        <v>17</v>
      </c>
      <c r="C12" s="1">
        <f>'ID-Sch191 Budget-Act Exp'!C68</f>
        <v>156875.66</v>
      </c>
      <c r="D12" s="1">
        <f>'ID-Sch191 Budget-Act Exp'!D68</f>
        <v>180038.58000000002</v>
      </c>
      <c r="E12" s="1">
        <f>'ID-Sch191 Budget-Act Exp'!E68</f>
        <v>129612.29999999999</v>
      </c>
      <c r="F12" s="1">
        <f>'ID-Sch191 Budget-Act Exp'!F68</f>
        <v>116799</v>
      </c>
      <c r="G12" s="1">
        <f>'ID-Sch191 Budget-Act Exp'!G68</f>
        <v>145047</v>
      </c>
      <c r="H12" s="1">
        <f>'ID-Sch191 Budget-Act Exp'!H68</f>
        <v>152425</v>
      </c>
      <c r="I12" s="1">
        <f>'ID-Sch191 Budget-Act Exp'!I68</f>
        <v>275632</v>
      </c>
      <c r="J12" s="1">
        <f>'ID-Sch191 Budget-Act Exp'!J68</f>
        <v>124964</v>
      </c>
      <c r="K12" s="1">
        <f>'ID-Sch191 Budget-Act Exp'!K68</f>
        <v>133037</v>
      </c>
      <c r="L12" s="1">
        <f>'ID-Sch191 Budget-Act Exp'!L68</f>
        <v>140628</v>
      </c>
      <c r="M12" s="1">
        <f>'ID-Sch191 Budget-Act Exp'!M68</f>
        <v>190112.5</v>
      </c>
      <c r="N12" s="1">
        <f>'ID-Sch191 Budget-Act Exp'!N68</f>
        <v>211972.63</v>
      </c>
      <c r="O12" s="75">
        <f t="shared" si="6"/>
        <v>1957143.67</v>
      </c>
      <c r="P12" s="75">
        <f>SUM(C12:E12)</f>
        <v>466526.54</v>
      </c>
      <c r="Q12" s="75">
        <f>SUM(F12:H12)</f>
        <v>414271</v>
      </c>
      <c r="R12" s="75">
        <f>SUM(I12:K12)</f>
        <v>533633</v>
      </c>
      <c r="S12" s="75">
        <f>SUM(L12:N12)</f>
        <v>542713.13</v>
      </c>
      <c r="U12" s="73"/>
      <c r="V12" s="68"/>
      <c r="W12" s="68"/>
      <c r="X12" s="68"/>
      <c r="Y12" s="68"/>
      <c r="Z12" s="68"/>
      <c r="AA12" s="68"/>
      <c r="AB12" s="68"/>
      <c r="AC12" s="68"/>
      <c r="AD12" s="68"/>
      <c r="AE12" s="68"/>
      <c r="AF12" s="68"/>
    </row>
    <row r="13" spans="1:32">
      <c r="B13" t="s">
        <v>19</v>
      </c>
      <c r="C13" s="1">
        <f>C11-C12</f>
        <v>16259.92333333334</v>
      </c>
      <c r="D13" s="1">
        <f t="shared" ref="D13:N13" si="9">D11-D12</f>
        <v>-6902.9966666666733</v>
      </c>
      <c r="E13" s="1">
        <f t="shared" si="9"/>
        <v>43523.283333333355</v>
      </c>
      <c r="F13" s="1">
        <f t="shared" si="9"/>
        <v>56336.583333333343</v>
      </c>
      <c r="G13" s="1">
        <f t="shared" si="9"/>
        <v>28088.583333333343</v>
      </c>
      <c r="H13" s="1">
        <f t="shared" si="9"/>
        <v>20710.583333333343</v>
      </c>
      <c r="I13" s="1">
        <f t="shared" si="9"/>
        <v>-102496.41666666666</v>
      </c>
      <c r="J13" s="1">
        <f t="shared" si="9"/>
        <v>48171.583333333343</v>
      </c>
      <c r="K13" s="1">
        <f t="shared" si="9"/>
        <v>40098.583333333343</v>
      </c>
      <c r="L13" s="1">
        <f t="shared" si="9"/>
        <v>32507.583333333343</v>
      </c>
      <c r="M13" s="1">
        <f t="shared" si="9"/>
        <v>-16976.916666666657</v>
      </c>
      <c r="N13" s="1">
        <f t="shared" si="9"/>
        <v>-38837.046666666662</v>
      </c>
      <c r="O13" s="76">
        <f t="shared" si="6"/>
        <v>120483.3300000001</v>
      </c>
      <c r="P13" s="77">
        <f t="shared" ref="P13:S13" si="10">P11-P12</f>
        <v>52880.210000000021</v>
      </c>
      <c r="Q13" s="77">
        <f t="shared" si="10"/>
        <v>105135.75</v>
      </c>
      <c r="R13" s="77">
        <f t="shared" si="10"/>
        <v>-14226.25</v>
      </c>
      <c r="S13" s="77">
        <f t="shared" si="10"/>
        <v>-23306.380000000005</v>
      </c>
      <c r="U13" s="68"/>
      <c r="V13" s="68"/>
      <c r="W13" s="68"/>
      <c r="X13" s="68"/>
      <c r="Y13" s="68"/>
      <c r="Z13" s="68"/>
      <c r="AA13" s="68"/>
      <c r="AB13" s="68"/>
      <c r="AC13" s="68"/>
      <c r="AD13" s="68"/>
      <c r="AE13" s="68"/>
      <c r="AF13" s="68"/>
    </row>
    <row r="14" spans="1:32">
      <c r="C14" s="1"/>
      <c r="D14" s="1"/>
      <c r="E14" s="1"/>
      <c r="F14" s="1"/>
      <c r="G14" s="1"/>
      <c r="H14" s="1"/>
      <c r="I14" s="1"/>
      <c r="J14" s="1"/>
      <c r="K14" s="1"/>
      <c r="L14" s="1"/>
      <c r="M14" s="1"/>
      <c r="N14" s="1"/>
      <c r="O14" s="68"/>
      <c r="P14" s="68"/>
      <c r="Q14" s="68"/>
      <c r="R14" s="68"/>
      <c r="S14" s="68"/>
      <c r="U14" s="68"/>
      <c r="V14" s="68"/>
      <c r="W14" s="68"/>
      <c r="X14" s="68"/>
      <c r="Y14" s="68"/>
      <c r="Z14" s="68"/>
      <c r="AA14" s="68"/>
      <c r="AB14" s="68"/>
      <c r="AC14" s="68"/>
      <c r="AD14" s="68"/>
      <c r="AE14" s="68"/>
      <c r="AF14" s="68"/>
    </row>
    <row r="15" spans="1:32" ht="30">
      <c r="A15" t="s">
        <v>24</v>
      </c>
      <c r="B15" s="4" t="s">
        <v>23</v>
      </c>
      <c r="C15" s="1">
        <f>C8-C12</f>
        <v>251195.71741267372</v>
      </c>
      <c r="D15" s="1">
        <f t="shared" ref="D15:S15" si="11">D8-D12</f>
        <v>137154.47315341147</v>
      </c>
      <c r="E15" s="1">
        <f t="shared" si="11"/>
        <v>142376.73260501609</v>
      </c>
      <c r="F15" s="1">
        <f t="shared" si="11"/>
        <v>121561.4488518502</v>
      </c>
      <c r="G15" s="1">
        <f t="shared" si="11"/>
        <v>29978.007363592245</v>
      </c>
      <c r="H15" s="1">
        <f t="shared" si="11"/>
        <v>-35722.9194815011</v>
      </c>
      <c r="I15" s="1">
        <f t="shared" si="11"/>
        <v>-197551.5058472362</v>
      </c>
      <c r="J15" s="1">
        <f t="shared" si="11"/>
        <v>-62508.098064759397</v>
      </c>
      <c r="K15" s="1">
        <f t="shared" si="11"/>
        <v>-61146.0261660455</v>
      </c>
      <c r="L15" s="1">
        <f t="shared" si="11"/>
        <v>-28488</v>
      </c>
      <c r="M15" s="1">
        <f t="shared" si="11"/>
        <v>108824.58000000002</v>
      </c>
      <c r="N15" s="1">
        <f t="shared" si="11"/>
        <v>406210.63000000012</v>
      </c>
      <c r="O15" s="73">
        <f t="shared" si="11"/>
        <v>811885.03982700221</v>
      </c>
      <c r="P15" s="73">
        <f t="shared" si="11"/>
        <v>530726.92317110137</v>
      </c>
      <c r="Q15" s="73">
        <f t="shared" si="11"/>
        <v>115816.53673394141</v>
      </c>
      <c r="R15" s="73">
        <f t="shared" si="11"/>
        <v>-321205.63007804111</v>
      </c>
      <c r="S15" s="73">
        <f t="shared" si="11"/>
        <v>486547.21000000008</v>
      </c>
      <c r="U15" s="68"/>
      <c r="V15" s="68"/>
      <c r="W15" s="68"/>
      <c r="X15" s="68"/>
      <c r="Y15" s="68"/>
      <c r="Z15" s="68"/>
      <c r="AA15" s="68"/>
      <c r="AB15" s="68"/>
      <c r="AC15" s="68"/>
      <c r="AD15" s="68"/>
      <c r="AE15" s="68"/>
      <c r="AF15" s="68"/>
    </row>
    <row r="16" spans="1:32">
      <c r="C16" s="1"/>
      <c r="D16" s="1"/>
      <c r="E16" s="1"/>
      <c r="F16" s="1"/>
      <c r="G16" s="1"/>
      <c r="H16" s="1"/>
      <c r="I16" s="1"/>
      <c r="J16" s="1"/>
      <c r="K16" s="1"/>
      <c r="L16" s="1"/>
      <c r="M16" s="1"/>
      <c r="N16" s="1"/>
      <c r="O16" s="68"/>
      <c r="P16" s="68"/>
      <c r="Q16" s="68"/>
      <c r="R16" s="68"/>
      <c r="S16" s="68"/>
      <c r="U16" s="68"/>
      <c r="V16" s="68"/>
      <c r="W16" s="68"/>
      <c r="X16" s="68"/>
      <c r="Y16" s="68"/>
      <c r="Z16" s="68"/>
      <c r="AA16" s="68"/>
      <c r="AB16" s="68"/>
      <c r="AC16" s="68"/>
      <c r="AD16" s="68"/>
      <c r="AE16" s="68"/>
      <c r="AF16" s="68"/>
    </row>
    <row r="17" spans="2:32">
      <c r="B17" t="s">
        <v>25</v>
      </c>
      <c r="C17" s="3">
        <f>C5-C15</f>
        <v>1375429.2825873264</v>
      </c>
      <c r="D17" s="3">
        <f t="shared" ref="D17:N17" si="12">D5-D15</f>
        <v>1238274.809433915</v>
      </c>
      <c r="E17" s="3">
        <f t="shared" si="12"/>
        <v>1095898.0768288989</v>
      </c>
      <c r="F17" s="3">
        <f t="shared" si="12"/>
        <v>974336.62797704863</v>
      </c>
      <c r="G17" s="3">
        <f t="shared" si="12"/>
        <v>944358.62061345635</v>
      </c>
      <c r="H17" s="3">
        <f t="shared" si="12"/>
        <v>980081.54009495745</v>
      </c>
      <c r="I17" s="3">
        <f t="shared" si="12"/>
        <v>1177633.0459421936</v>
      </c>
      <c r="J17" s="3">
        <f t="shared" si="12"/>
        <v>1240141.1440069531</v>
      </c>
      <c r="K17" s="3">
        <f t="shared" si="12"/>
        <v>1301287.1701729987</v>
      </c>
      <c r="L17" s="3">
        <f t="shared" si="12"/>
        <v>1329775.1701729987</v>
      </c>
      <c r="M17" s="3">
        <f t="shared" si="12"/>
        <v>1220950.5901729986</v>
      </c>
      <c r="N17" s="3">
        <f t="shared" si="12"/>
        <v>814739.96017299849</v>
      </c>
      <c r="O17" s="75"/>
      <c r="P17" s="75">
        <f t="shared" ref="P17:S17" si="13">P5-P15</f>
        <v>1095898.0768288986</v>
      </c>
      <c r="Q17" s="75">
        <f t="shared" si="13"/>
        <v>980081.54009495722</v>
      </c>
      <c r="R17" s="75">
        <f t="shared" si="13"/>
        <v>1301287.1701729982</v>
      </c>
      <c r="S17" s="75">
        <f t="shared" si="13"/>
        <v>814739.96017299814</v>
      </c>
      <c r="U17" s="68"/>
      <c r="V17" s="68"/>
      <c r="W17" s="68"/>
      <c r="X17" s="68"/>
      <c r="Y17" s="68"/>
      <c r="Z17" s="68"/>
      <c r="AA17" s="68"/>
      <c r="AB17" s="68"/>
      <c r="AC17" s="68"/>
      <c r="AD17" s="68"/>
      <c r="AE17" s="68"/>
      <c r="AF17" s="68"/>
    </row>
    <row r="18" spans="2:32">
      <c r="O18" s="68"/>
      <c r="P18" s="68"/>
      <c r="Q18" s="68"/>
      <c r="R18" s="68"/>
      <c r="S18" s="68"/>
      <c r="U18" s="68"/>
      <c r="V18" s="68"/>
      <c r="W18" s="68"/>
      <c r="X18" s="68"/>
      <c r="Y18" s="68"/>
      <c r="Z18" s="68"/>
      <c r="AA18" s="68"/>
      <c r="AB18" s="68"/>
      <c r="AC18" s="68"/>
      <c r="AD18" s="68"/>
      <c r="AE18" s="68"/>
      <c r="AF18" s="68"/>
    </row>
    <row r="19" spans="2:32">
      <c r="B19" t="s">
        <v>30</v>
      </c>
      <c r="E19" s="3"/>
      <c r="F19" s="3"/>
      <c r="G19" s="3"/>
      <c r="H19" s="3"/>
      <c r="I19" s="3"/>
      <c r="J19" s="3"/>
      <c r="K19" s="3"/>
      <c r="L19" s="3"/>
      <c r="M19" s="3" t="s">
        <v>96</v>
      </c>
      <c r="N19" s="3" t="s">
        <v>96</v>
      </c>
      <c r="O19" s="68"/>
      <c r="P19" s="75"/>
      <c r="Q19" s="68"/>
      <c r="R19" s="68"/>
      <c r="S19" s="68"/>
      <c r="U19" s="75" t="e">
        <f>U5-U7+U11</f>
        <v>#VALUE!</v>
      </c>
      <c r="V19" s="75" t="e">
        <f t="shared" ref="V19:AF19" si="14">V5-V7+V11</f>
        <v>#VALUE!</v>
      </c>
      <c r="W19" s="75" t="e">
        <f t="shared" si="14"/>
        <v>#VALUE!</v>
      </c>
      <c r="X19" s="75" t="e">
        <f t="shared" si="14"/>
        <v>#VALUE!</v>
      </c>
      <c r="Y19" s="75" t="e">
        <f t="shared" si="14"/>
        <v>#VALUE!</v>
      </c>
      <c r="Z19" s="75" t="e">
        <f t="shared" si="14"/>
        <v>#VALUE!</v>
      </c>
      <c r="AA19" s="75" t="e">
        <f t="shared" si="14"/>
        <v>#VALUE!</v>
      </c>
      <c r="AB19" s="75" t="e">
        <f t="shared" si="14"/>
        <v>#VALUE!</v>
      </c>
      <c r="AC19" s="75" t="e">
        <f t="shared" si="14"/>
        <v>#VALUE!</v>
      </c>
      <c r="AD19" s="75" t="e">
        <f t="shared" si="14"/>
        <v>#VALUE!</v>
      </c>
      <c r="AE19" s="75" t="e">
        <f t="shared" si="14"/>
        <v>#VALUE!</v>
      </c>
      <c r="AF19" s="75" t="e">
        <f t="shared" si="14"/>
        <v>#VALUE!</v>
      </c>
    </row>
    <row r="21" spans="2:32">
      <c r="B21" s="84" t="s">
        <v>26</v>
      </c>
    </row>
    <row r="22" spans="2:32" ht="30.75" customHeight="1">
      <c r="B22" s="144" t="s">
        <v>28</v>
      </c>
      <c r="C22" s="144"/>
      <c r="D22" s="144"/>
      <c r="E22" s="144"/>
      <c r="F22" s="144"/>
      <c r="G22" s="144"/>
      <c r="H22" s="144"/>
      <c r="I22" s="144"/>
      <c r="J22" s="144"/>
      <c r="K22" s="144"/>
      <c r="L22" s="144"/>
      <c r="M22" s="144"/>
      <c r="N22" s="144"/>
    </row>
    <row r="23" spans="2:32" ht="30.75" customHeight="1">
      <c r="B23" s="144" t="s">
        <v>29</v>
      </c>
      <c r="C23" s="144"/>
      <c r="D23" s="144"/>
      <c r="E23" s="144"/>
      <c r="F23" s="144"/>
      <c r="G23" s="144"/>
      <c r="H23" s="144"/>
      <c r="I23" s="144"/>
      <c r="J23" s="144"/>
      <c r="K23" s="144"/>
      <c r="L23" s="144"/>
      <c r="M23" s="144"/>
      <c r="N23" s="144"/>
    </row>
    <row r="24" spans="2:32" ht="30.75" customHeight="1">
      <c r="B24" s="144" t="s">
        <v>162</v>
      </c>
      <c r="C24" s="144"/>
      <c r="D24" s="144"/>
      <c r="E24" s="144"/>
      <c r="F24" s="144"/>
      <c r="G24" s="144"/>
      <c r="H24" s="144"/>
      <c r="I24" s="144"/>
      <c r="J24" s="144"/>
      <c r="K24" s="144"/>
      <c r="L24" s="144"/>
      <c r="M24" s="144"/>
      <c r="N24" s="144"/>
    </row>
    <row r="25" spans="2:32">
      <c r="B25" s="144" t="s">
        <v>175</v>
      </c>
      <c r="C25" s="144"/>
      <c r="D25" s="144"/>
      <c r="E25" s="144"/>
      <c r="F25" s="144"/>
      <c r="G25" s="144"/>
      <c r="H25" s="144"/>
      <c r="I25" s="144"/>
      <c r="J25" s="144"/>
      <c r="K25" s="144"/>
      <c r="L25" s="144"/>
      <c r="M25" s="144"/>
      <c r="N25" s="144"/>
    </row>
    <row r="26" spans="2:32">
      <c r="B26" s="144" t="s">
        <v>185</v>
      </c>
      <c r="C26" s="144"/>
      <c r="D26" s="144"/>
      <c r="E26" s="144"/>
      <c r="F26" s="144"/>
      <c r="G26" s="144"/>
      <c r="H26" s="144"/>
      <c r="I26" s="144"/>
      <c r="J26" s="144"/>
      <c r="K26" s="144"/>
      <c r="L26" s="144"/>
      <c r="M26" s="144"/>
      <c r="N26" s="144"/>
    </row>
    <row r="27" spans="2:32">
      <c r="B27" s="144" t="s">
        <v>196</v>
      </c>
      <c r="C27" s="144"/>
      <c r="D27" s="144"/>
      <c r="E27" s="144"/>
      <c r="F27" s="144"/>
      <c r="G27" s="144"/>
      <c r="H27" s="144"/>
      <c r="I27" s="144"/>
      <c r="J27" s="144"/>
      <c r="K27" s="144"/>
      <c r="L27" s="144"/>
      <c r="M27" s="144"/>
      <c r="N27" s="144"/>
    </row>
    <row r="28" spans="2:32" ht="30" customHeight="1">
      <c r="B28" s="144" t="s">
        <v>211</v>
      </c>
      <c r="C28" s="144"/>
      <c r="D28" s="144"/>
      <c r="E28" s="144"/>
      <c r="F28" s="144"/>
      <c r="G28" s="144"/>
      <c r="H28" s="144"/>
      <c r="I28" s="144"/>
      <c r="J28" s="144"/>
      <c r="K28" s="144"/>
      <c r="L28" s="144"/>
      <c r="M28" s="144"/>
      <c r="N28" s="144"/>
    </row>
    <row r="29" spans="2:32">
      <c r="B29" s="144" t="s">
        <v>220</v>
      </c>
      <c r="C29" s="144"/>
      <c r="D29" s="144"/>
      <c r="E29" s="144"/>
      <c r="F29" s="144"/>
      <c r="G29" s="144"/>
      <c r="H29" s="144"/>
      <c r="I29" s="144"/>
      <c r="J29" s="144"/>
      <c r="K29" s="144"/>
      <c r="L29" s="144"/>
      <c r="M29" s="144"/>
      <c r="N29" s="144"/>
    </row>
    <row r="30" spans="2:32">
      <c r="B30" s="144" t="s">
        <v>241</v>
      </c>
      <c r="C30" s="144"/>
      <c r="D30" s="144"/>
      <c r="E30" s="144"/>
      <c r="F30" s="144"/>
      <c r="G30" s="144"/>
      <c r="H30" s="144"/>
      <c r="I30" s="144"/>
      <c r="J30" s="144"/>
      <c r="K30" s="144"/>
      <c r="L30" s="144"/>
      <c r="M30" s="144"/>
      <c r="N30" s="144"/>
    </row>
    <row r="31" spans="2:32">
      <c r="B31" s="144" t="s">
        <v>256</v>
      </c>
      <c r="C31" s="144"/>
      <c r="D31" s="144"/>
      <c r="E31" s="144"/>
      <c r="F31" s="144"/>
      <c r="G31" s="144"/>
      <c r="H31" s="144"/>
      <c r="I31" s="144"/>
      <c r="J31" s="144"/>
      <c r="K31" s="144"/>
      <c r="L31" s="144"/>
      <c r="M31" s="144"/>
      <c r="N31" s="144"/>
    </row>
    <row r="32" spans="2:32">
      <c r="B32" s="144" t="s">
        <v>269</v>
      </c>
      <c r="C32" s="144"/>
      <c r="D32" s="144"/>
      <c r="E32" s="144"/>
      <c r="F32" s="144"/>
      <c r="G32" s="144"/>
      <c r="H32" s="144"/>
      <c r="I32" s="144"/>
      <c r="J32" s="144"/>
      <c r="K32" s="144"/>
      <c r="L32" s="144"/>
      <c r="M32" s="144"/>
      <c r="N32" s="144"/>
    </row>
  </sheetData>
  <mergeCells count="11">
    <mergeCell ref="B32:N32"/>
    <mergeCell ref="B31:N31"/>
    <mergeCell ref="B30:N30"/>
    <mergeCell ref="B29:N29"/>
    <mergeCell ref="B28:N28"/>
    <mergeCell ref="B27:N27"/>
    <mergeCell ref="B22:N22"/>
    <mergeCell ref="B23:N23"/>
    <mergeCell ref="B24:N24"/>
    <mergeCell ref="B25:N25"/>
    <mergeCell ref="B26:N26"/>
  </mergeCells>
  <pageMargins left="0" right="0" top="0.75" bottom="0.75" header="0.3" footer="0.3"/>
  <pageSetup scale="70" orientation="landscape" r:id="rId1"/>
  <colBreaks count="1" manualBreakCount="1">
    <brk id="15" max="1048575" man="1"/>
  </colBreaks>
</worksheet>
</file>

<file path=xl/worksheets/sheet16.xml><?xml version="1.0" encoding="utf-8"?>
<worksheet xmlns="http://schemas.openxmlformats.org/spreadsheetml/2006/main" xmlns:r="http://schemas.openxmlformats.org/officeDocument/2006/relationships">
  <sheetPr>
    <tabColor theme="5" tint="0.39997558519241921"/>
  </sheetPr>
  <dimension ref="A2:BC258"/>
  <sheetViews>
    <sheetView workbookViewId="0">
      <pane xSplit="1" ySplit="4" topLeftCell="I48" activePane="bottomRight" state="frozen"/>
      <selection pane="topRight" activeCell="B1" sqref="B1"/>
      <selection pane="bottomLeft" activeCell="A5" sqref="A5"/>
      <selection pane="bottomRight" activeCell="M57" sqref="M57"/>
    </sheetView>
  </sheetViews>
  <sheetFormatPr defaultRowHeight="15"/>
  <cols>
    <col min="1" max="1" width="34.85546875" customWidth="1"/>
    <col min="2" max="2" width="16" bestFit="1" customWidth="1"/>
    <col min="3" max="13" width="12.5703125" bestFit="1" customWidth="1"/>
    <col min="14" max="14" width="14.28515625" style="7" bestFit="1" customWidth="1"/>
    <col min="15" max="27" width="11.7109375" style="7" hidden="1" customWidth="1"/>
    <col min="28" max="55" width="11.7109375" style="7" customWidth="1"/>
  </cols>
  <sheetData>
    <row r="2" spans="1:55">
      <c r="A2" s="63" t="s">
        <v>78</v>
      </c>
    </row>
    <row r="3" spans="1:55">
      <c r="B3" s="8">
        <v>2010</v>
      </c>
      <c r="C3" s="8">
        <v>2010</v>
      </c>
      <c r="D3" s="8">
        <v>2010</v>
      </c>
      <c r="E3" s="8">
        <v>2010</v>
      </c>
      <c r="F3" s="8">
        <v>2010</v>
      </c>
      <c r="G3" s="8">
        <v>2010</v>
      </c>
      <c r="H3" s="8">
        <v>2010</v>
      </c>
      <c r="I3" s="8">
        <v>2010</v>
      </c>
      <c r="J3" s="8">
        <v>2010</v>
      </c>
      <c r="K3" s="8">
        <v>2010</v>
      </c>
      <c r="L3" s="8">
        <v>2010</v>
      </c>
      <c r="M3" s="8">
        <v>2010</v>
      </c>
      <c r="N3" s="8" t="s">
        <v>34</v>
      </c>
      <c r="O3" s="5">
        <v>2011</v>
      </c>
      <c r="P3" s="5">
        <v>2011</v>
      </c>
      <c r="Q3" s="5">
        <v>2011</v>
      </c>
      <c r="R3" s="5">
        <v>2011</v>
      </c>
      <c r="S3" s="5">
        <v>2011</v>
      </c>
      <c r="T3" s="5">
        <v>2011</v>
      </c>
      <c r="U3" s="5">
        <v>2011</v>
      </c>
      <c r="V3" s="5">
        <v>2011</v>
      </c>
      <c r="W3" s="5">
        <v>2011</v>
      </c>
      <c r="X3" s="5">
        <v>2011</v>
      </c>
      <c r="Y3" s="5">
        <v>2011</v>
      </c>
      <c r="Z3" s="5">
        <v>2011</v>
      </c>
      <c r="AA3" s="8" t="s">
        <v>35</v>
      </c>
    </row>
    <row r="4" spans="1:55">
      <c r="B4" s="32" t="s">
        <v>0</v>
      </c>
      <c r="C4" s="32" t="s">
        <v>1</v>
      </c>
      <c r="D4" s="32" t="s">
        <v>2</v>
      </c>
      <c r="E4" s="32" t="s">
        <v>3</v>
      </c>
      <c r="F4" s="32" t="s">
        <v>4</v>
      </c>
      <c r="G4" s="32" t="s">
        <v>5</v>
      </c>
      <c r="H4" s="32" t="s">
        <v>6</v>
      </c>
      <c r="I4" s="32" t="s">
        <v>7</v>
      </c>
      <c r="J4" s="32" t="s">
        <v>8</v>
      </c>
      <c r="K4" s="32" t="s">
        <v>9</v>
      </c>
      <c r="L4" s="32" t="s">
        <v>10</v>
      </c>
      <c r="M4" s="32" t="s">
        <v>11</v>
      </c>
      <c r="O4" s="5" t="s">
        <v>0</v>
      </c>
      <c r="P4" s="5" t="s">
        <v>1</v>
      </c>
      <c r="Q4" s="5" t="s">
        <v>2</v>
      </c>
      <c r="R4" s="5" t="s">
        <v>3</v>
      </c>
      <c r="S4" s="5" t="s">
        <v>4</v>
      </c>
      <c r="T4" s="5" t="s">
        <v>5</v>
      </c>
      <c r="U4" s="5" t="s">
        <v>6</v>
      </c>
      <c r="V4" s="5" t="s">
        <v>7</v>
      </c>
      <c r="W4" s="5" t="s">
        <v>8</v>
      </c>
      <c r="X4" s="5" t="s">
        <v>9</v>
      </c>
      <c r="Y4" s="5" t="s">
        <v>10</v>
      </c>
      <c r="Z4" s="5" t="s">
        <v>11</v>
      </c>
      <c r="AA4" s="5"/>
    </row>
    <row r="5" spans="1:55">
      <c r="D5" s="3"/>
      <c r="E5" s="3"/>
      <c r="F5" s="3"/>
      <c r="G5" s="3"/>
      <c r="H5" s="3"/>
      <c r="I5" s="3"/>
      <c r="J5" s="3"/>
      <c r="K5" s="3"/>
      <c r="L5" s="3"/>
      <c r="M5" s="3"/>
    </row>
    <row r="6" spans="1:55">
      <c r="D6" s="3"/>
      <c r="E6" s="3"/>
      <c r="F6" s="3"/>
      <c r="G6" s="3"/>
      <c r="H6" s="3"/>
      <c r="I6" s="3"/>
      <c r="J6" s="3"/>
      <c r="K6" s="3"/>
      <c r="L6" s="3"/>
      <c r="M6" s="3"/>
    </row>
    <row r="7" spans="1:55">
      <c r="A7" s="89" t="s">
        <v>92</v>
      </c>
      <c r="D7" s="3"/>
      <c r="E7" s="3"/>
      <c r="F7" s="3"/>
      <c r="G7" s="3"/>
      <c r="H7" s="3"/>
      <c r="I7" s="3"/>
      <c r="J7" s="3"/>
      <c r="K7" s="3"/>
      <c r="L7" s="3"/>
      <c r="M7" s="3"/>
    </row>
    <row r="8" spans="1:55">
      <c r="A8" s="5" t="s">
        <v>88</v>
      </c>
      <c r="B8" s="66">
        <v>9616669.7234826311</v>
      </c>
      <c r="C8" s="66">
        <v>7524648.7144793449</v>
      </c>
      <c r="D8" s="66">
        <v>6350805.6845258027</v>
      </c>
      <c r="E8" s="66">
        <v>4663458.7713776529</v>
      </c>
      <c r="F8" s="66">
        <v>2440571.1457396876</v>
      </c>
      <c r="G8" s="66">
        <v>1901335.7568362406</v>
      </c>
      <c r="H8" s="66">
        <v>1014928.5487401204</v>
      </c>
      <c r="I8" s="66">
        <v>1755955.5686419664</v>
      </c>
      <c r="J8" s="66">
        <v>1248347.1773190589</v>
      </c>
      <c r="K8" s="66">
        <v>4076574.6611140892</v>
      </c>
      <c r="L8" s="66">
        <v>6979239.6193483695</v>
      </c>
      <c r="M8" s="66">
        <v>9973143.74797244</v>
      </c>
      <c r="N8" s="9">
        <f t="shared" ref="N8:N258" si="0">SUM(B8:M8)</f>
        <v>57545679.119577393</v>
      </c>
    </row>
    <row r="9" spans="1:55">
      <c r="A9" s="5" t="s">
        <v>91</v>
      </c>
      <c r="B9" s="36">
        <v>2858219.9031048501</v>
      </c>
      <c r="C9" s="36">
        <v>2256106.7479455578</v>
      </c>
      <c r="D9" s="36">
        <v>1864085.1911615417</v>
      </c>
      <c r="E9" s="36">
        <v>1298777.080573855</v>
      </c>
      <c r="F9" s="36">
        <v>1138691.2904725708</v>
      </c>
      <c r="G9" s="36">
        <v>802254.42833929718</v>
      </c>
      <c r="H9" s="36">
        <v>1029608.0834708144</v>
      </c>
      <c r="I9" s="36">
        <v>331012.1469617394</v>
      </c>
      <c r="J9" s="36">
        <v>1478102.6559801816</v>
      </c>
      <c r="K9" s="36">
        <v>1907296.5459521711</v>
      </c>
      <c r="L9" s="36">
        <v>2733290.6279989919</v>
      </c>
      <c r="M9" s="36">
        <v>3420721.499945567</v>
      </c>
      <c r="N9" s="9">
        <f t="shared" si="0"/>
        <v>21118166.201907136</v>
      </c>
      <c r="BA9"/>
      <c r="BB9"/>
      <c r="BC9"/>
    </row>
    <row r="10" spans="1:55">
      <c r="A10" s="5" t="s">
        <v>90</v>
      </c>
      <c r="B10" s="36">
        <v>0</v>
      </c>
      <c r="C10" s="36">
        <v>0</v>
      </c>
      <c r="D10" s="36">
        <v>0</v>
      </c>
      <c r="E10" s="36">
        <v>0</v>
      </c>
      <c r="F10" s="36">
        <v>0</v>
      </c>
      <c r="G10" s="36">
        <v>0</v>
      </c>
      <c r="H10" s="36">
        <v>0</v>
      </c>
      <c r="I10" s="36">
        <v>0</v>
      </c>
      <c r="J10" s="36">
        <v>0</v>
      </c>
      <c r="K10" s="36">
        <v>0</v>
      </c>
      <c r="L10" s="36">
        <v>0</v>
      </c>
      <c r="M10" s="36">
        <v>0</v>
      </c>
      <c r="N10" s="9">
        <f t="shared" si="0"/>
        <v>0</v>
      </c>
    </row>
    <row r="11" spans="1:55">
      <c r="A11" s="5" t="s">
        <v>89</v>
      </c>
      <c r="B11" s="36">
        <v>54726.85</v>
      </c>
      <c r="C11" s="36">
        <v>42964.39</v>
      </c>
      <c r="D11" s="36">
        <v>43107.81</v>
      </c>
      <c r="E11" s="36">
        <v>41129.22</v>
      </c>
      <c r="F11" s="36">
        <v>41078.720000000001</v>
      </c>
      <c r="G11" s="36">
        <v>28662.79</v>
      </c>
      <c r="H11" s="36">
        <v>27095.896199999999</v>
      </c>
      <c r="I11" s="36">
        <v>22754.350600000002</v>
      </c>
      <c r="J11" s="36">
        <v>27308.077000000001</v>
      </c>
      <c r="K11" s="36">
        <v>33002.275200000004</v>
      </c>
      <c r="L11" s="36">
        <v>34006.053599999999</v>
      </c>
      <c r="M11" s="36">
        <v>39492.151400000002</v>
      </c>
      <c r="N11" s="9">
        <f t="shared" si="0"/>
        <v>435328.58399999992</v>
      </c>
    </row>
    <row r="12" spans="1:55">
      <c r="A12" s="27" t="s">
        <v>54</v>
      </c>
      <c r="B12" s="26">
        <f t="shared" ref="B12:N12" si="1">SUM(B8:B11)</f>
        <v>12529616.47658748</v>
      </c>
      <c r="C12" s="26">
        <f t="shared" si="1"/>
        <v>9823719.8524249028</v>
      </c>
      <c r="D12" s="26">
        <f t="shared" si="1"/>
        <v>8257998.6856873436</v>
      </c>
      <c r="E12" s="26">
        <f t="shared" si="1"/>
        <v>6003365.0719515076</v>
      </c>
      <c r="F12" s="26">
        <f t="shared" si="1"/>
        <v>3620341.1562122586</v>
      </c>
      <c r="G12" s="26">
        <f t="shared" si="1"/>
        <v>2732252.9751755381</v>
      </c>
      <c r="H12" s="26">
        <f t="shared" si="1"/>
        <v>2071632.5284109348</v>
      </c>
      <c r="I12" s="26">
        <f t="shared" si="1"/>
        <v>2109722.066203706</v>
      </c>
      <c r="J12" s="26">
        <f t="shared" si="1"/>
        <v>2753757.9102992406</v>
      </c>
      <c r="K12" s="26">
        <f t="shared" si="1"/>
        <v>6016873.4822662603</v>
      </c>
      <c r="L12" s="26">
        <f t="shared" si="1"/>
        <v>9746536.3009473626</v>
      </c>
      <c r="M12" s="26">
        <f t="shared" si="1"/>
        <v>13433357.399318006</v>
      </c>
      <c r="N12" s="25">
        <f t="shared" si="1"/>
        <v>79099173.905484542</v>
      </c>
      <c r="O12" s="28"/>
      <c r="P12" s="28"/>
      <c r="Q12" s="28"/>
      <c r="R12" s="28"/>
      <c r="S12" s="28"/>
      <c r="T12" s="28"/>
      <c r="U12" s="28"/>
      <c r="V12" s="28"/>
      <c r="W12" s="28"/>
      <c r="X12" s="28"/>
      <c r="Y12" s="28"/>
      <c r="Z12" s="28"/>
      <c r="AA12" s="28"/>
    </row>
    <row r="13" spans="1:55">
      <c r="A13" s="5"/>
      <c r="D13" s="3"/>
      <c r="E13" s="3"/>
      <c r="F13" s="3"/>
      <c r="G13" s="3"/>
      <c r="H13" s="3"/>
      <c r="I13" s="3"/>
      <c r="J13" s="3"/>
      <c r="K13" s="3"/>
      <c r="L13" s="3"/>
      <c r="M13" s="3"/>
      <c r="N13" s="9"/>
    </row>
    <row r="14" spans="1:55">
      <c r="D14" s="3"/>
      <c r="E14" s="3"/>
      <c r="F14" s="3"/>
      <c r="G14" s="3"/>
      <c r="H14" s="3"/>
      <c r="I14" s="3"/>
      <c r="J14" s="3"/>
      <c r="K14" s="3"/>
      <c r="L14" s="3"/>
      <c r="M14" s="3"/>
      <c r="N14" s="9"/>
    </row>
    <row r="15" spans="1:55">
      <c r="A15" s="87" t="s">
        <v>93</v>
      </c>
      <c r="D15" s="3"/>
      <c r="E15" s="3"/>
      <c r="F15" s="3"/>
      <c r="G15" s="3"/>
      <c r="H15" s="3"/>
      <c r="I15" s="3"/>
      <c r="J15" s="3"/>
      <c r="K15" s="3"/>
      <c r="L15" s="3"/>
      <c r="M15" s="3"/>
      <c r="N15" s="9"/>
    </row>
    <row r="16" spans="1:55">
      <c r="A16" s="33" t="s">
        <v>88</v>
      </c>
      <c r="B16" s="39">
        <v>9411318</v>
      </c>
      <c r="C16" s="39">
        <v>7324019</v>
      </c>
      <c r="D16" s="39">
        <v>6232363</v>
      </c>
      <c r="E16" s="39">
        <v>5338243</v>
      </c>
      <c r="F16" s="39">
        <v>3819383</v>
      </c>
      <c r="G16" s="39">
        <v>2350180</v>
      </c>
      <c r="H16" s="39">
        <v>1404116</v>
      </c>
      <c r="I16" s="39">
        <v>1005683</v>
      </c>
      <c r="J16" s="39">
        <v>1189132</v>
      </c>
      <c r="K16" s="39">
        <v>1751247</v>
      </c>
      <c r="L16" s="39">
        <v>4047052</v>
      </c>
      <c r="M16" s="39">
        <v>8805605</v>
      </c>
      <c r="N16" s="40"/>
    </row>
    <row r="17" spans="1:27">
      <c r="A17" s="33" t="s">
        <v>91</v>
      </c>
      <c r="B17" s="39">
        <v>2732925</v>
      </c>
      <c r="C17" s="39">
        <v>2106077</v>
      </c>
      <c r="D17" s="39">
        <v>1854203</v>
      </c>
      <c r="E17" s="39">
        <f>1761363+1173</f>
        <v>1762536</v>
      </c>
      <c r="F17" s="39">
        <v>1401893</v>
      </c>
      <c r="G17" s="39">
        <v>1150901</v>
      </c>
      <c r="H17" s="39">
        <v>956694</v>
      </c>
      <c r="I17" s="39">
        <v>896776</v>
      </c>
      <c r="J17" s="39">
        <v>999297</v>
      </c>
      <c r="K17" s="39">
        <v>981012</v>
      </c>
      <c r="L17" s="39">
        <f>1446786+53367</f>
        <v>1500153</v>
      </c>
      <c r="M17" s="39">
        <f>2601920+1450</f>
        <v>2603370</v>
      </c>
      <c r="N17" s="40"/>
    </row>
    <row r="18" spans="1:27">
      <c r="A18" s="33" t="s">
        <v>90</v>
      </c>
      <c r="B18" s="41">
        <v>0</v>
      </c>
      <c r="C18" s="41">
        <v>0</v>
      </c>
      <c r="D18" s="41">
        <v>0</v>
      </c>
      <c r="E18" s="41">
        <v>0</v>
      </c>
      <c r="F18" s="41">
        <v>0</v>
      </c>
      <c r="G18" s="41">
        <v>0</v>
      </c>
      <c r="H18" s="41">
        <v>0</v>
      </c>
      <c r="I18" s="41">
        <v>0</v>
      </c>
      <c r="J18" s="41">
        <v>0</v>
      </c>
      <c r="K18" s="41">
        <v>0</v>
      </c>
      <c r="L18" s="41">
        <v>0</v>
      </c>
      <c r="M18" s="41">
        <v>0</v>
      </c>
      <c r="N18" s="40"/>
    </row>
    <row r="19" spans="1:27">
      <c r="A19" s="33" t="s">
        <v>89</v>
      </c>
      <c r="B19" s="41">
        <v>44179</v>
      </c>
      <c r="C19" s="41">
        <v>44399</v>
      </c>
      <c r="D19" s="41">
        <v>45371</v>
      </c>
      <c r="E19" s="41">
        <v>43014</v>
      </c>
      <c r="F19" s="41">
        <v>39167</v>
      </c>
      <c r="G19" s="41">
        <v>34442</v>
      </c>
      <c r="H19" s="41">
        <v>28345</v>
      </c>
      <c r="I19" s="41">
        <v>24896</v>
      </c>
      <c r="J19" s="41">
        <v>25262</v>
      </c>
      <c r="K19" s="41">
        <v>27571</v>
      </c>
      <c r="L19" s="41">
        <v>36711</v>
      </c>
      <c r="M19" s="41">
        <v>44271</v>
      </c>
      <c r="N19" s="40"/>
    </row>
    <row r="20" spans="1:27">
      <c r="A20" s="34" t="s">
        <v>54</v>
      </c>
      <c r="B20" s="26">
        <f t="shared" ref="B20:M20" si="2">SUM(B16:B19)</f>
        <v>12188422</v>
      </c>
      <c r="C20" s="26">
        <f t="shared" si="2"/>
        <v>9474495</v>
      </c>
      <c r="D20" s="26">
        <f t="shared" si="2"/>
        <v>8131937</v>
      </c>
      <c r="E20" s="26">
        <f t="shared" si="2"/>
        <v>7143793</v>
      </c>
      <c r="F20" s="26">
        <f t="shared" si="2"/>
        <v>5260443</v>
      </c>
      <c r="G20" s="26">
        <f t="shared" si="2"/>
        <v>3535523</v>
      </c>
      <c r="H20" s="26">
        <f t="shared" si="2"/>
        <v>2389155</v>
      </c>
      <c r="I20" s="26">
        <f t="shared" si="2"/>
        <v>1927355</v>
      </c>
      <c r="J20" s="26">
        <f t="shared" si="2"/>
        <v>2213691</v>
      </c>
      <c r="K20" s="26">
        <f t="shared" si="2"/>
        <v>2759830</v>
      </c>
      <c r="L20" s="26">
        <f t="shared" si="2"/>
        <v>5583916</v>
      </c>
      <c r="M20" s="26">
        <f t="shared" si="2"/>
        <v>11453246</v>
      </c>
      <c r="N20" s="25">
        <f>SUM(B20:M20)</f>
        <v>72061806</v>
      </c>
      <c r="O20" s="28"/>
      <c r="P20" s="28"/>
      <c r="Q20" s="28"/>
      <c r="R20" s="28"/>
      <c r="S20" s="28"/>
      <c r="T20" s="28"/>
      <c r="U20" s="28"/>
      <c r="V20" s="28"/>
      <c r="W20" s="28"/>
      <c r="X20" s="28"/>
      <c r="Y20" s="28"/>
      <c r="Z20" s="28"/>
      <c r="AA20" s="28"/>
    </row>
    <row r="21" spans="1:27">
      <c r="A21" s="47"/>
      <c r="B21" s="48"/>
      <c r="C21" s="48"/>
      <c r="D21" s="48"/>
      <c r="E21" s="48"/>
      <c r="F21" s="48"/>
      <c r="G21" s="48"/>
      <c r="H21" s="48"/>
      <c r="I21" s="48"/>
      <c r="J21" s="48"/>
      <c r="K21" s="48"/>
      <c r="L21" s="48"/>
      <c r="M21" s="48"/>
      <c r="N21" s="49"/>
      <c r="O21" s="50"/>
      <c r="P21" s="50"/>
      <c r="Q21" s="50"/>
      <c r="R21" s="50"/>
      <c r="S21" s="50"/>
      <c r="T21" s="50"/>
      <c r="U21" s="50"/>
      <c r="V21" s="50"/>
      <c r="W21" s="50"/>
      <c r="X21" s="50"/>
      <c r="Y21" s="50"/>
      <c r="Z21" s="50"/>
      <c r="AA21" s="50"/>
    </row>
    <row r="22" spans="1:27">
      <c r="B22" s="1"/>
      <c r="D22" s="3"/>
      <c r="E22" s="3"/>
      <c r="F22" s="3"/>
      <c r="G22" s="3"/>
      <c r="H22" s="3"/>
      <c r="I22" s="3"/>
      <c r="J22" s="3"/>
      <c r="K22" s="3"/>
      <c r="L22" s="3"/>
      <c r="M22" s="3"/>
      <c r="N22" s="9"/>
    </row>
    <row r="23" spans="1:27">
      <c r="A23" s="53" t="s">
        <v>33</v>
      </c>
      <c r="D23" s="3"/>
      <c r="E23" s="3"/>
      <c r="F23" s="3"/>
      <c r="G23" s="3"/>
      <c r="H23" s="3"/>
      <c r="I23" s="3"/>
      <c r="J23" s="3"/>
      <c r="K23" s="3"/>
      <c r="L23" s="3"/>
      <c r="M23" s="3"/>
      <c r="N23" s="9"/>
    </row>
    <row r="24" spans="1:27">
      <c r="A24" t="s">
        <v>88</v>
      </c>
      <c r="B24" s="1">
        <f>B16-B8</f>
        <v>-205351.72348263115</v>
      </c>
      <c r="C24" s="1">
        <f t="shared" ref="C24:M24" si="3">C16-C8</f>
        <v>-200629.7144793449</v>
      </c>
      <c r="D24" s="1">
        <f t="shared" si="3"/>
        <v>-118442.68452580273</v>
      </c>
      <c r="E24" s="1">
        <f t="shared" si="3"/>
        <v>674784.22862234712</v>
      </c>
      <c r="F24" s="1">
        <f t="shared" si="3"/>
        <v>1378811.8542603124</v>
      </c>
      <c r="G24" s="1">
        <f t="shared" si="3"/>
        <v>448844.24316375935</v>
      </c>
      <c r="H24" s="1">
        <f t="shared" si="3"/>
        <v>389187.45125987963</v>
      </c>
      <c r="I24" s="1">
        <f t="shared" si="3"/>
        <v>-750272.56864196644</v>
      </c>
      <c r="J24" s="1">
        <f t="shared" si="3"/>
        <v>-59215.177319058916</v>
      </c>
      <c r="K24" s="1">
        <f t="shared" si="3"/>
        <v>-2325327.6611140892</v>
      </c>
      <c r="L24" s="1">
        <f t="shared" si="3"/>
        <v>-2932187.6193483695</v>
      </c>
      <c r="M24" s="1">
        <f t="shared" si="3"/>
        <v>-1167538.74797244</v>
      </c>
      <c r="N24" s="1">
        <f t="shared" ref="N24" si="4">N16-N8</f>
        <v>-57545679.119577393</v>
      </c>
    </row>
    <row r="25" spans="1:27">
      <c r="A25" t="s">
        <v>91</v>
      </c>
      <c r="B25" s="1">
        <f t="shared" ref="B25:M27" si="5">B17-B9</f>
        <v>-125294.90310485009</v>
      </c>
      <c r="C25" s="1">
        <f t="shared" si="5"/>
        <v>-150029.74794555781</v>
      </c>
      <c r="D25" s="1">
        <f t="shared" si="5"/>
        <v>-9882.1911615417339</v>
      </c>
      <c r="E25" s="1">
        <f t="shared" si="5"/>
        <v>463758.91942614503</v>
      </c>
      <c r="F25" s="1">
        <f t="shared" si="5"/>
        <v>263201.70952742919</v>
      </c>
      <c r="G25" s="1">
        <f t="shared" si="5"/>
        <v>348646.57166070282</v>
      </c>
      <c r="H25" s="1">
        <f t="shared" si="5"/>
        <v>-72914.083470814396</v>
      </c>
      <c r="I25" s="1">
        <f t="shared" si="5"/>
        <v>565763.8530382606</v>
      </c>
      <c r="J25" s="1">
        <f t="shared" si="5"/>
        <v>-478805.65598018165</v>
      </c>
      <c r="K25" s="1">
        <f t="shared" si="5"/>
        <v>-926284.54595217109</v>
      </c>
      <c r="L25" s="1">
        <f t="shared" si="5"/>
        <v>-1233137.6279989919</v>
      </c>
      <c r="M25" s="1">
        <f t="shared" si="5"/>
        <v>-817351.49994556699</v>
      </c>
      <c r="N25" s="1">
        <f t="shared" ref="N25" si="6">N17-N9</f>
        <v>-21118166.201907136</v>
      </c>
    </row>
    <row r="26" spans="1:27">
      <c r="A26" t="s">
        <v>90</v>
      </c>
      <c r="B26" s="1">
        <f t="shared" si="5"/>
        <v>0</v>
      </c>
      <c r="C26" s="1">
        <f t="shared" si="5"/>
        <v>0</v>
      </c>
      <c r="D26" s="1">
        <f t="shared" si="5"/>
        <v>0</v>
      </c>
      <c r="E26" s="1">
        <f t="shared" si="5"/>
        <v>0</v>
      </c>
      <c r="F26" s="1">
        <f t="shared" si="5"/>
        <v>0</v>
      </c>
      <c r="G26" s="1">
        <f t="shared" si="5"/>
        <v>0</v>
      </c>
      <c r="H26" s="1">
        <f t="shared" si="5"/>
        <v>0</v>
      </c>
      <c r="I26" s="1">
        <f t="shared" si="5"/>
        <v>0</v>
      </c>
      <c r="J26" s="1">
        <f t="shared" si="5"/>
        <v>0</v>
      </c>
      <c r="K26" s="1">
        <f t="shared" si="5"/>
        <v>0</v>
      </c>
      <c r="L26" s="1">
        <f t="shared" si="5"/>
        <v>0</v>
      </c>
      <c r="M26" s="1">
        <f t="shared" si="5"/>
        <v>0</v>
      </c>
      <c r="N26" s="1">
        <f t="shared" ref="N26" si="7">N18-N10</f>
        <v>0</v>
      </c>
    </row>
    <row r="27" spans="1:27">
      <c r="A27" t="s">
        <v>89</v>
      </c>
      <c r="B27" s="1">
        <f t="shared" si="5"/>
        <v>-10547.849999999999</v>
      </c>
      <c r="C27" s="1">
        <f t="shared" si="5"/>
        <v>1434.6100000000006</v>
      </c>
      <c r="D27" s="1">
        <f t="shared" si="5"/>
        <v>2263.1900000000023</v>
      </c>
      <c r="E27" s="1">
        <f t="shared" si="5"/>
        <v>1884.7799999999988</v>
      </c>
      <c r="F27" s="1">
        <f t="shared" si="5"/>
        <v>-1911.7200000000012</v>
      </c>
      <c r="G27" s="1">
        <f t="shared" si="5"/>
        <v>5779.2099999999991</v>
      </c>
      <c r="H27" s="1">
        <f t="shared" si="5"/>
        <v>1249.1038000000008</v>
      </c>
      <c r="I27" s="1">
        <f t="shared" si="5"/>
        <v>2141.6493999999984</v>
      </c>
      <c r="J27" s="1">
        <f t="shared" si="5"/>
        <v>-2046.0770000000011</v>
      </c>
      <c r="K27" s="1">
        <f t="shared" si="5"/>
        <v>-5431.2752000000037</v>
      </c>
      <c r="L27" s="1">
        <f t="shared" si="5"/>
        <v>2704.9464000000007</v>
      </c>
      <c r="M27" s="1">
        <f t="shared" si="5"/>
        <v>4778.8485999999975</v>
      </c>
      <c r="N27" s="1">
        <f t="shared" ref="N27" si="8">N19-N11</f>
        <v>-435328.58399999992</v>
      </c>
    </row>
    <row r="28" spans="1:27">
      <c r="A28" s="28" t="s">
        <v>48</v>
      </c>
      <c r="B28" s="67">
        <f>SUM(B24:B27)</f>
        <v>-341194.47658748121</v>
      </c>
      <c r="C28" s="67">
        <f t="shared" ref="C28:N28" si="9">SUM(C24:C27)</f>
        <v>-349224.85242490273</v>
      </c>
      <c r="D28" s="67">
        <f t="shared" si="9"/>
        <v>-126061.68568734446</v>
      </c>
      <c r="E28" s="67">
        <f t="shared" si="9"/>
        <v>1140427.9280484922</v>
      </c>
      <c r="F28" s="67">
        <f t="shared" si="9"/>
        <v>1640101.8437877416</v>
      </c>
      <c r="G28" s="67">
        <f t="shared" si="9"/>
        <v>803270.02482446213</v>
      </c>
      <c r="H28" s="67">
        <f t="shared" si="9"/>
        <v>317522.47158906522</v>
      </c>
      <c r="I28" s="67">
        <f t="shared" si="9"/>
        <v>-182367.06620370585</v>
      </c>
      <c r="J28" s="67">
        <f t="shared" si="9"/>
        <v>-540066.91029924061</v>
      </c>
      <c r="K28" s="67">
        <f t="shared" si="9"/>
        <v>-3257043.4822662603</v>
      </c>
      <c r="L28" s="67">
        <f t="shared" si="9"/>
        <v>-4162620.3009473616</v>
      </c>
      <c r="M28" s="67">
        <f t="shared" si="9"/>
        <v>-1980111.3993180071</v>
      </c>
      <c r="N28" s="67">
        <f t="shared" si="9"/>
        <v>-79099173.905484542</v>
      </c>
      <c r="O28" s="28"/>
      <c r="P28" s="28"/>
      <c r="Q28" s="28"/>
      <c r="R28" s="28"/>
      <c r="S28" s="28"/>
      <c r="T28" s="28"/>
      <c r="U28" s="28"/>
      <c r="V28" s="28"/>
      <c r="W28" s="28"/>
      <c r="X28" s="28"/>
      <c r="Y28" s="28"/>
    </row>
    <row r="29" spans="1:27" s="7" customFormat="1">
      <c r="A29" s="5"/>
      <c r="B29"/>
      <c r="C29"/>
      <c r="D29" s="3"/>
      <c r="E29" s="3"/>
      <c r="F29" s="3"/>
      <c r="G29" s="3"/>
      <c r="H29" s="3"/>
      <c r="I29" s="3"/>
      <c r="J29" s="3"/>
      <c r="K29" s="3"/>
      <c r="L29" s="3"/>
      <c r="M29" s="3"/>
      <c r="N29" s="9"/>
    </row>
    <row r="30" spans="1:27" s="7" customFormat="1">
      <c r="A30" s="5"/>
      <c r="B30" s="30">
        <v>0.99580999999999997</v>
      </c>
      <c r="C30"/>
      <c r="D30" s="3"/>
      <c r="E30" s="3"/>
      <c r="F30" s="3"/>
      <c r="G30" s="3"/>
      <c r="H30" s="3"/>
      <c r="I30" s="3"/>
      <c r="J30" s="3"/>
      <c r="K30" s="3"/>
      <c r="L30" s="3"/>
      <c r="M30" s="3"/>
      <c r="N30" s="9"/>
    </row>
    <row r="31" spans="1:27" s="7" customFormat="1">
      <c r="A31" s="69" t="s">
        <v>62</v>
      </c>
      <c r="B31" s="80">
        <v>0.99580999999999997</v>
      </c>
      <c r="C31" s="80">
        <v>0.96543400000000001</v>
      </c>
      <c r="D31" s="75"/>
      <c r="E31" s="75"/>
      <c r="F31" s="3"/>
      <c r="G31" s="3"/>
      <c r="H31" s="3"/>
      <c r="I31" s="3"/>
      <c r="J31" s="3"/>
      <c r="K31" s="3"/>
      <c r="L31" s="3"/>
      <c r="M31" s="3"/>
      <c r="N31" s="9"/>
    </row>
    <row r="32" spans="1:27" s="7" customFormat="1">
      <c r="A32" s="68" t="s">
        <v>63</v>
      </c>
      <c r="B32" s="68" t="s">
        <v>88</v>
      </c>
      <c r="C32" s="68" t="s">
        <v>91</v>
      </c>
      <c r="D32" s="68" t="s">
        <v>90</v>
      </c>
      <c r="E32" s="68" t="s">
        <v>89</v>
      </c>
      <c r="F32" s="3"/>
      <c r="G32" s="3"/>
      <c r="H32" s="3"/>
      <c r="I32" s="3"/>
      <c r="J32" s="3"/>
      <c r="K32" s="3"/>
      <c r="L32" s="3"/>
      <c r="M32" s="3"/>
      <c r="N32" s="9"/>
    </row>
    <row r="33" spans="1:23" s="7" customFormat="1">
      <c r="A33" s="68" t="s">
        <v>66</v>
      </c>
      <c r="B33" s="29">
        <f>0.03458</f>
        <v>3.458E-2</v>
      </c>
      <c r="C33" s="29">
        <v>3.0450000000000001E-2</v>
      </c>
      <c r="D33" s="29">
        <v>0</v>
      </c>
      <c r="E33" s="29">
        <v>2.5520000000000001E-2</v>
      </c>
      <c r="F33" s="3"/>
      <c r="G33" s="3"/>
      <c r="H33" s="3"/>
      <c r="I33" s="3"/>
      <c r="J33" s="3"/>
      <c r="K33" s="3"/>
      <c r="L33" s="3"/>
      <c r="M33" s="3"/>
      <c r="N33" s="9"/>
    </row>
    <row r="34" spans="1:23" s="7" customFormat="1">
      <c r="A34" s="68" t="s">
        <v>67</v>
      </c>
      <c r="B34" s="29">
        <v>3.458E-2</v>
      </c>
      <c r="C34" s="29">
        <v>3.0450000000000001E-2</v>
      </c>
      <c r="D34" s="29">
        <v>0</v>
      </c>
      <c r="E34" s="29">
        <v>2.5520000000000001E-2</v>
      </c>
      <c r="F34" s="3"/>
      <c r="G34" s="3"/>
      <c r="H34" s="3"/>
      <c r="I34" s="3"/>
      <c r="J34" s="3"/>
      <c r="K34" s="3"/>
      <c r="L34" s="3"/>
      <c r="M34" s="3"/>
      <c r="N34" s="9"/>
    </row>
    <row r="35" spans="1:23" s="7" customFormat="1">
      <c r="A35" s="68"/>
      <c r="B35" s="29"/>
      <c r="C35" s="29"/>
      <c r="D35" s="29"/>
      <c r="E35" s="29"/>
      <c r="F35" s="29"/>
      <c r="G35" s="43"/>
      <c r="H35" s="3"/>
      <c r="I35" s="3"/>
      <c r="J35" s="3"/>
      <c r="K35" s="3"/>
      <c r="L35" s="3"/>
      <c r="M35" s="3"/>
      <c r="N35" s="9"/>
    </row>
    <row r="36" spans="1:23" s="7" customFormat="1">
      <c r="A36" s="89" t="s">
        <v>60</v>
      </c>
      <c r="B36"/>
      <c r="C36"/>
      <c r="D36" s="3"/>
      <c r="E36" s="3"/>
      <c r="F36" s="3"/>
      <c r="G36" s="3"/>
      <c r="H36" s="3"/>
      <c r="I36" s="3"/>
      <c r="J36" s="3"/>
      <c r="K36" s="3"/>
      <c r="L36" s="3"/>
      <c r="M36" s="3"/>
      <c r="N36" s="9"/>
    </row>
    <row r="37" spans="1:23" s="7" customFormat="1">
      <c r="A37" s="5" t="s">
        <v>88</v>
      </c>
      <c r="B37" s="46">
        <f>($B$33*B8)*$B$30</f>
        <v>331151.07783846004</v>
      </c>
      <c r="C37" s="46">
        <f t="shared" ref="C37:M37" si="10">($B$33*C8)*$B$30</f>
        <v>259112.10468952506</v>
      </c>
      <c r="D37" s="46">
        <f t="shared" si="10"/>
        <v>218690.69106511018</v>
      </c>
      <c r="E37" s="46">
        <f t="shared" si="10"/>
        <v>160586.71484016257</v>
      </c>
      <c r="F37" s="46">
        <f t="shared" si="10"/>
        <v>84041.335378257951</v>
      </c>
      <c r="G37" s="46">
        <f t="shared" si="10"/>
        <v>65472.705553322048</v>
      </c>
      <c r="H37" s="46">
        <f t="shared" si="10"/>
        <v>34949.176015020697</v>
      </c>
      <c r="I37" s="46">
        <f t="shared" si="10"/>
        <v>60466.522810107548</v>
      </c>
      <c r="J37" s="46">
        <f t="shared" si="10"/>
        <v>42986.972119501865</v>
      </c>
      <c r="K37" s="46">
        <f t="shared" si="10"/>
        <v>140377.29606336146</v>
      </c>
      <c r="L37" s="46">
        <f t="shared" si="10"/>
        <v>240330.8826127713</v>
      </c>
      <c r="M37" s="46">
        <f t="shared" si="10"/>
        <v>343426.30001261446</v>
      </c>
      <c r="N37" s="51">
        <f>SUM(B37:M37)</f>
        <v>1981591.7789982152</v>
      </c>
    </row>
    <row r="38" spans="1:23" s="7" customFormat="1">
      <c r="A38" s="5" t="s">
        <v>91</v>
      </c>
      <c r="B38" s="46">
        <f>($C$33*B9)*$B$30</f>
        <v>86668.128634095105</v>
      </c>
      <c r="C38" s="46">
        <f t="shared" ref="C38:M38" si="11">($C$33*C9)*$B$30</f>
        <v>68410.603967452218</v>
      </c>
      <c r="D38" s="46">
        <f t="shared" si="11"/>
        <v>56523.563829712002</v>
      </c>
      <c r="E38" s="46">
        <f t="shared" si="11"/>
        <v>39382.056980260328</v>
      </c>
      <c r="F38" s="46">
        <f t="shared" si="11"/>
        <v>34527.869297249192</v>
      </c>
      <c r="G38" s="46">
        <f t="shared" si="11"/>
        <v>24326.291310564717</v>
      </c>
      <c r="H38" s="46">
        <f t="shared" si="11"/>
        <v>31220.203079552633</v>
      </c>
      <c r="I38" s="46">
        <f t="shared" si="11"/>
        <v>10037.087524708779</v>
      </c>
      <c r="J38" s="46">
        <f t="shared" si="11"/>
        <v>44819.641408181968</v>
      </c>
      <c r="K38" s="46">
        <f t="shared" si="11"/>
        <v>57833.836440780033</v>
      </c>
      <c r="L38" s="46">
        <f t="shared" si="11"/>
        <v>82879.971371150736</v>
      </c>
      <c r="M38" s="46">
        <f t="shared" si="11"/>
        <v>103724.53521041121</v>
      </c>
      <c r="N38" s="51">
        <f t="shared" ref="N38:N41" si="12">SUM(B38:M38)</f>
        <v>640353.78905411891</v>
      </c>
    </row>
    <row r="39" spans="1:23" s="7" customFormat="1">
      <c r="A39" s="5" t="s">
        <v>90</v>
      </c>
      <c r="B39" s="46">
        <f>($D$33*B10)*$B$30</f>
        <v>0</v>
      </c>
      <c r="C39" s="46">
        <f t="shared" ref="C39:M39" si="13">($D$33*C10)*$B$30</f>
        <v>0</v>
      </c>
      <c r="D39" s="46">
        <f t="shared" si="13"/>
        <v>0</v>
      </c>
      <c r="E39" s="46">
        <f t="shared" si="13"/>
        <v>0</v>
      </c>
      <c r="F39" s="46">
        <f t="shared" si="13"/>
        <v>0</v>
      </c>
      <c r="G39" s="46">
        <f t="shared" si="13"/>
        <v>0</v>
      </c>
      <c r="H39" s="46">
        <f t="shared" si="13"/>
        <v>0</v>
      </c>
      <c r="I39" s="46">
        <f t="shared" si="13"/>
        <v>0</v>
      </c>
      <c r="J39" s="46">
        <f t="shared" si="13"/>
        <v>0</v>
      </c>
      <c r="K39" s="46">
        <f t="shared" si="13"/>
        <v>0</v>
      </c>
      <c r="L39" s="46">
        <f t="shared" si="13"/>
        <v>0</v>
      </c>
      <c r="M39" s="46">
        <f t="shared" si="13"/>
        <v>0</v>
      </c>
      <c r="N39" s="51">
        <f t="shared" si="12"/>
        <v>0</v>
      </c>
    </row>
    <row r="40" spans="1:23" s="7" customFormat="1">
      <c r="A40" s="5" t="s">
        <v>89</v>
      </c>
      <c r="B40" s="46">
        <f>($E$33*B11)*$B$30</f>
        <v>1390.7773356017201</v>
      </c>
      <c r="C40" s="46">
        <f t="shared" ref="C40:M40" si="14">($E$33*C11)*$B$30</f>
        <v>1091.8571021345681</v>
      </c>
      <c r="D40" s="46">
        <f t="shared" si="14"/>
        <v>1095.5018448060721</v>
      </c>
      <c r="E40" s="46">
        <f t="shared" si="14"/>
        <v>1045.2197962604641</v>
      </c>
      <c r="F40" s="46">
        <f t="shared" si="14"/>
        <v>1043.9364361648641</v>
      </c>
      <c r="G40" s="46">
        <f t="shared" si="14"/>
        <v>728.40952306064798</v>
      </c>
      <c r="H40" s="46">
        <f t="shared" si="14"/>
        <v>688.58993935840942</v>
      </c>
      <c r="I40" s="46">
        <f t="shared" si="14"/>
        <v>578.25793190756281</v>
      </c>
      <c r="J40" s="46">
        <f t="shared" si="14"/>
        <v>693.98210513608251</v>
      </c>
      <c r="K40" s="46">
        <f t="shared" si="14"/>
        <v>838.68916941959435</v>
      </c>
      <c r="L40" s="46">
        <f t="shared" si="14"/>
        <v>864.19826136781637</v>
      </c>
      <c r="M40" s="46">
        <f t="shared" si="14"/>
        <v>1003.6168553693798</v>
      </c>
      <c r="N40" s="51">
        <f t="shared" si="12"/>
        <v>11063.036300587182</v>
      </c>
    </row>
    <row r="41" spans="1:23" s="7" customFormat="1">
      <c r="A41" s="27" t="s">
        <v>54</v>
      </c>
      <c r="B41" s="45">
        <f>SUM(B37:B40)</f>
        <v>419209.98380815692</v>
      </c>
      <c r="C41" s="45">
        <f t="shared" ref="C41:M41" si="15">SUM(C37:C40)</f>
        <v>328614.56575911184</v>
      </c>
      <c r="D41" s="45">
        <f t="shared" si="15"/>
        <v>276309.75673962827</v>
      </c>
      <c r="E41" s="45">
        <f t="shared" si="15"/>
        <v>201013.99161668337</v>
      </c>
      <c r="F41" s="45">
        <f t="shared" si="15"/>
        <v>119613.14111167201</v>
      </c>
      <c r="G41" s="45">
        <f t="shared" si="15"/>
        <v>90527.406386947419</v>
      </c>
      <c r="H41" s="45">
        <f t="shared" si="15"/>
        <v>66857.969033931746</v>
      </c>
      <c r="I41" s="45">
        <f t="shared" si="15"/>
        <v>71081.86826672389</v>
      </c>
      <c r="J41" s="45">
        <f t="shared" si="15"/>
        <v>88500.59563281991</v>
      </c>
      <c r="K41" s="45">
        <f t="shared" si="15"/>
        <v>199049.82167356106</v>
      </c>
      <c r="L41" s="45">
        <f t="shared" si="15"/>
        <v>324075.05224528984</v>
      </c>
      <c r="M41" s="45">
        <f t="shared" si="15"/>
        <v>448154.452078395</v>
      </c>
      <c r="N41" s="52">
        <f t="shared" si="12"/>
        <v>2633008.6043529212</v>
      </c>
      <c r="O41" s="28"/>
      <c r="P41" s="28"/>
      <c r="Q41" s="28"/>
      <c r="R41" s="28"/>
      <c r="S41" s="28"/>
      <c r="T41" s="28"/>
      <c r="U41" s="28"/>
      <c r="V41" s="28"/>
      <c r="W41" s="28"/>
    </row>
    <row r="42" spans="1:23" s="7" customFormat="1">
      <c r="A42" s="5"/>
      <c r="B42"/>
      <c r="C42"/>
      <c r="D42" s="3"/>
      <c r="E42" s="3"/>
      <c r="F42" s="3"/>
      <c r="G42" s="3"/>
      <c r="H42" s="3"/>
      <c r="I42" s="3"/>
      <c r="J42" s="3"/>
      <c r="K42" s="3"/>
      <c r="L42" s="3"/>
      <c r="M42" s="3"/>
      <c r="N42" s="9"/>
    </row>
    <row r="43" spans="1:23" s="7" customFormat="1">
      <c r="A43"/>
      <c r="B43"/>
      <c r="C43"/>
      <c r="D43" s="3"/>
      <c r="E43" s="3"/>
      <c r="F43" s="3"/>
      <c r="G43" s="3"/>
      <c r="H43" s="3"/>
      <c r="I43" s="3"/>
      <c r="J43" s="3"/>
      <c r="K43" s="3"/>
      <c r="L43" s="3"/>
      <c r="M43" s="3"/>
      <c r="N43" s="9"/>
    </row>
    <row r="44" spans="1:23" s="7" customFormat="1">
      <c r="A44" s="87" t="s">
        <v>61</v>
      </c>
      <c r="B44"/>
      <c r="C44"/>
      <c r="D44" s="3"/>
      <c r="E44" s="3"/>
      <c r="F44" s="3"/>
      <c r="G44" s="3"/>
      <c r="H44" s="3"/>
      <c r="I44" s="3"/>
      <c r="J44" s="3"/>
      <c r="K44" s="3"/>
      <c r="L44" s="3"/>
      <c r="M44" s="3"/>
      <c r="N44" s="9"/>
    </row>
    <row r="45" spans="1:23" s="7" customFormat="1">
      <c r="A45" s="33" t="s">
        <v>88</v>
      </c>
      <c r="B45" s="23">
        <f t="shared" ref="B45:G45" si="16">($B$34*B16)*$B$31</f>
        <v>324079.76869271643</v>
      </c>
      <c r="C45" s="23">
        <f t="shared" si="16"/>
        <v>252203.39844228618</v>
      </c>
      <c r="D45" s="23">
        <f t="shared" si="16"/>
        <v>214612.10421845739</v>
      </c>
      <c r="E45" s="23">
        <f t="shared" si="16"/>
        <v>183822.98384408141</v>
      </c>
      <c r="F45" s="23">
        <f t="shared" si="16"/>
        <v>131520.87297325337</v>
      </c>
      <c r="G45" s="23">
        <f t="shared" si="16"/>
        <v>80928.70634976399</v>
      </c>
      <c r="H45" s="23">
        <f t="shared" ref="H45:I45" si="17">($B$34*H16)*$B$31</f>
        <v>48350.888631936796</v>
      </c>
      <c r="I45" s="23">
        <f t="shared" si="17"/>
        <v>34630.804528993402</v>
      </c>
      <c r="J45" s="23">
        <f t="shared" ref="J45" si="18">($B$34*J16)*$B$31</f>
        <v>40947.890986693601</v>
      </c>
      <c r="K45" s="3">
        <v>75009</v>
      </c>
      <c r="L45" s="3">
        <v>224797.57</v>
      </c>
      <c r="M45" s="23">
        <v>489840.9</v>
      </c>
      <c r="N45" s="51">
        <f>SUM(B45:M45)</f>
        <v>2100744.8886681828</v>
      </c>
    </row>
    <row r="46" spans="1:23" s="7" customFormat="1">
      <c r="A46" s="33" t="s">
        <v>91</v>
      </c>
      <c r="B46" s="23">
        <f t="shared" ref="B46:G46" si="19">(B17*$C$34)*$B$31</f>
        <v>82868.884647412502</v>
      </c>
      <c r="C46" s="23">
        <f t="shared" si="19"/>
        <v>63861.339762916505</v>
      </c>
      <c r="D46" s="23">
        <f t="shared" si="19"/>
        <v>56223.911933143499</v>
      </c>
      <c r="E46" s="23">
        <f t="shared" si="19"/>
        <v>53444.347163171995</v>
      </c>
      <c r="F46" s="23">
        <f t="shared" si="19"/>
        <v>42508.7806306485</v>
      </c>
      <c r="G46" s="23">
        <f t="shared" si="19"/>
        <v>34898.097170464505</v>
      </c>
      <c r="H46" s="23">
        <f t="shared" ref="H46:I46" si="20">(H17*$C$34)*$B$31</f>
        <v>29009.272017663003</v>
      </c>
      <c r="I46" s="23">
        <f t="shared" si="20"/>
        <v>27192.413585652001</v>
      </c>
      <c r="J46" s="23">
        <f t="shared" ref="J46" si="21">(J17*$C$34)*$B$31</f>
        <v>30301.097842606501</v>
      </c>
      <c r="K46" s="3">
        <v>36452</v>
      </c>
      <c r="L46" s="3">
        <f>70119.05+2595.69</f>
        <v>72714.740000000005</v>
      </c>
      <c r="M46" s="23">
        <f>126553.65+70.53</f>
        <v>126624.18</v>
      </c>
      <c r="N46" s="51">
        <f t="shared" ref="N46:N49" si="22">SUM(B46:M46)</f>
        <v>656099.06475367909</v>
      </c>
    </row>
    <row r="47" spans="1:23" s="7" customFormat="1">
      <c r="A47" s="33" t="s">
        <v>90</v>
      </c>
      <c r="B47" s="23">
        <f t="shared" ref="B47:G47" si="23">(B18*$D$34)*$B$31</f>
        <v>0</v>
      </c>
      <c r="C47" s="23">
        <f t="shared" si="23"/>
        <v>0</v>
      </c>
      <c r="D47" s="23">
        <f t="shared" si="23"/>
        <v>0</v>
      </c>
      <c r="E47" s="23">
        <f t="shared" si="23"/>
        <v>0</v>
      </c>
      <c r="F47" s="23">
        <f t="shared" si="23"/>
        <v>0</v>
      </c>
      <c r="G47" s="23">
        <f t="shared" si="23"/>
        <v>0</v>
      </c>
      <c r="H47" s="23">
        <f t="shared" ref="H47:I47" si="24">(H18*$D$34)*$B$31</f>
        <v>0</v>
      </c>
      <c r="I47" s="23">
        <f t="shared" si="24"/>
        <v>0</v>
      </c>
      <c r="J47" s="23">
        <f t="shared" ref="J47" si="25">(J18*$D$34)*$B$31</f>
        <v>0</v>
      </c>
      <c r="K47" s="3">
        <v>0</v>
      </c>
      <c r="L47" s="3"/>
      <c r="M47" s="23">
        <f t="shared" ref="M47" si="26">(M18*$D$34)*$B$31</f>
        <v>0</v>
      </c>
      <c r="N47" s="51">
        <f t="shared" si="22"/>
        <v>0</v>
      </c>
    </row>
    <row r="48" spans="1:23" s="7" customFormat="1">
      <c r="A48" s="33" t="s">
        <v>89</v>
      </c>
      <c r="B48" s="23">
        <f t="shared" ref="B48:G48" si="27">(B19*$E$34)*$B$31</f>
        <v>1122.7240725448</v>
      </c>
      <c r="C48" s="23">
        <f t="shared" si="27"/>
        <v>1128.3149482087999</v>
      </c>
      <c r="D48" s="23">
        <f t="shared" si="27"/>
        <v>1153.0164534152002</v>
      </c>
      <c r="E48" s="23">
        <f t="shared" si="27"/>
        <v>1093.1178445968001</v>
      </c>
      <c r="F48" s="23">
        <f t="shared" si="27"/>
        <v>995.35375969040001</v>
      </c>
      <c r="G48" s="23">
        <f t="shared" si="27"/>
        <v>875.27699827039999</v>
      </c>
      <c r="H48" s="23">
        <f t="shared" ref="H48:I48" si="28">(H19*$E$34)*$B$31</f>
        <v>720.33350316400004</v>
      </c>
      <c r="I48" s="23">
        <f t="shared" si="28"/>
        <v>632.6838205951999</v>
      </c>
      <c r="J48" s="23">
        <f t="shared" ref="J48" si="29">(J19*$E$34)*$B$31</f>
        <v>641.98500465439997</v>
      </c>
      <c r="K48" s="3">
        <v>679</v>
      </c>
      <c r="L48" s="3">
        <v>1424.77</v>
      </c>
      <c r="M48" s="23">
        <f>0+1718.18</f>
        <v>1718.18</v>
      </c>
      <c r="N48" s="51">
        <f t="shared" si="22"/>
        <v>12184.75640514</v>
      </c>
    </row>
    <row r="49" spans="1:27" s="7" customFormat="1">
      <c r="A49" s="34" t="s">
        <v>54</v>
      </c>
      <c r="B49" s="42">
        <f t="shared" ref="B49:M49" si="30">SUM(B45:B48)</f>
        <v>408071.37741267373</v>
      </c>
      <c r="C49" s="42">
        <f t="shared" si="30"/>
        <v>317193.05315341149</v>
      </c>
      <c r="D49" s="42">
        <f t="shared" si="30"/>
        <v>271989.03260501608</v>
      </c>
      <c r="E49" s="42">
        <f t="shared" si="30"/>
        <v>238360.4488518502</v>
      </c>
      <c r="F49" s="42">
        <f t="shared" si="30"/>
        <v>175025.00736359225</v>
      </c>
      <c r="G49" s="42">
        <f t="shared" si="30"/>
        <v>116702.0805184989</v>
      </c>
      <c r="H49" s="42">
        <f t="shared" si="30"/>
        <v>78080.4941527638</v>
      </c>
      <c r="I49" s="42">
        <f t="shared" si="30"/>
        <v>62455.901935240603</v>
      </c>
      <c r="J49" s="42">
        <f t="shared" si="30"/>
        <v>71890.9738339545</v>
      </c>
      <c r="K49" s="42">
        <f t="shared" si="30"/>
        <v>112140</v>
      </c>
      <c r="L49" s="42">
        <f t="shared" si="30"/>
        <v>298937.08</v>
      </c>
      <c r="M49" s="42">
        <f t="shared" si="30"/>
        <v>618183.26000000013</v>
      </c>
      <c r="N49" s="52">
        <f t="shared" si="22"/>
        <v>2769028.7098270021</v>
      </c>
      <c r="O49" s="28"/>
      <c r="P49" s="28"/>
      <c r="Q49" s="28"/>
      <c r="R49" s="28"/>
      <c r="S49" s="28"/>
      <c r="T49" s="28"/>
      <c r="U49" s="28"/>
      <c r="V49" s="28"/>
      <c r="W49" s="28"/>
      <c r="X49" s="28"/>
      <c r="Y49" s="28"/>
      <c r="Z49" s="28"/>
      <c r="AA49" s="28"/>
    </row>
    <row r="50" spans="1:27" s="7" customFormat="1">
      <c r="A50"/>
      <c r="B50"/>
      <c r="C50"/>
      <c r="D50" s="3"/>
      <c r="E50" s="3"/>
      <c r="F50" s="3"/>
      <c r="G50" s="3"/>
      <c r="H50" s="3"/>
      <c r="I50" s="3"/>
      <c r="J50" s="3"/>
      <c r="K50" s="3"/>
      <c r="L50" s="3"/>
      <c r="M50" s="3"/>
      <c r="N50" s="9"/>
    </row>
    <row r="51" spans="1:27" s="7" customFormat="1">
      <c r="A51" s="88" t="s">
        <v>33</v>
      </c>
      <c r="B51"/>
      <c r="C51"/>
      <c r="D51" s="3"/>
      <c r="E51" s="3"/>
      <c r="F51" s="3"/>
      <c r="G51" s="3"/>
      <c r="H51" s="3"/>
      <c r="I51" s="3"/>
      <c r="J51" s="3"/>
      <c r="K51" s="3"/>
      <c r="L51" s="3"/>
      <c r="M51" s="3"/>
      <c r="N51" s="9"/>
    </row>
    <row r="52" spans="1:27" s="7" customFormat="1">
      <c r="A52" s="68" t="s">
        <v>88</v>
      </c>
      <c r="B52" s="23">
        <f t="shared" ref="B52:G52" si="31">B45-B37</f>
        <v>-7071.3091457436094</v>
      </c>
      <c r="C52" s="23">
        <f t="shared" si="31"/>
        <v>-6908.7062472388789</v>
      </c>
      <c r="D52" s="23">
        <f t="shared" si="31"/>
        <v>-4078.58684665279</v>
      </c>
      <c r="E52" s="23">
        <f t="shared" si="31"/>
        <v>23236.269003918831</v>
      </c>
      <c r="F52" s="23">
        <f t="shared" si="31"/>
        <v>47479.537594995418</v>
      </c>
      <c r="G52" s="23">
        <f t="shared" si="31"/>
        <v>15456.000796441942</v>
      </c>
      <c r="H52" s="23">
        <f t="shared" ref="H52:I52" si="32">H45-H37</f>
        <v>13401.712616916098</v>
      </c>
      <c r="I52" s="23">
        <f t="shared" si="32"/>
        <v>-25835.718281114147</v>
      </c>
      <c r="J52" s="23">
        <f t="shared" ref="J52:K52" si="33">J45-J37</f>
        <v>-2039.0811328082636</v>
      </c>
      <c r="K52" s="23">
        <f t="shared" si="33"/>
        <v>-65368.296063361457</v>
      </c>
      <c r="L52" s="23">
        <f t="shared" ref="L52:M52" si="34">L45-L37</f>
        <v>-15533.312612771289</v>
      </c>
      <c r="M52" s="23">
        <f t="shared" si="34"/>
        <v>146414.59998738556</v>
      </c>
      <c r="N52" s="64">
        <f>SUM(B52:M52)</f>
        <v>119153.10966996741</v>
      </c>
    </row>
    <row r="53" spans="1:27" s="7" customFormat="1">
      <c r="A53" s="68" t="s">
        <v>91</v>
      </c>
      <c r="B53" s="23">
        <f t="shared" ref="B53:C55" si="35">B46-B38</f>
        <v>-3799.2439866826026</v>
      </c>
      <c r="C53" s="23">
        <f t="shared" si="35"/>
        <v>-4549.2642045357134</v>
      </c>
      <c r="D53" s="23">
        <f t="shared" ref="D53:F53" si="36">D46-D38</f>
        <v>-299.65189656850271</v>
      </c>
      <c r="E53" s="23">
        <f t="shared" si="36"/>
        <v>14062.290182911667</v>
      </c>
      <c r="F53" s="23">
        <f t="shared" si="36"/>
        <v>7980.9113333993082</v>
      </c>
      <c r="G53" s="23">
        <f t="shared" ref="G53:H53" si="37">G46-G38</f>
        <v>10571.805859899789</v>
      </c>
      <c r="H53" s="23">
        <f t="shared" si="37"/>
        <v>-2210.9310618896307</v>
      </c>
      <c r="I53" s="23">
        <f t="shared" ref="I53:J53" si="38">I46-I38</f>
        <v>17155.326060943222</v>
      </c>
      <c r="J53" s="23">
        <f t="shared" si="38"/>
        <v>-14518.543565575466</v>
      </c>
      <c r="K53" s="23">
        <f t="shared" ref="K53:L53" si="39">K46-K38</f>
        <v>-21381.836440780033</v>
      </c>
      <c r="L53" s="23">
        <f t="shared" si="39"/>
        <v>-10165.23137115073</v>
      </c>
      <c r="M53" s="23">
        <f t="shared" ref="M53" si="40">M46-M38</f>
        <v>22899.644789588783</v>
      </c>
      <c r="N53" s="64">
        <f t="shared" ref="N53:N55" si="41">SUM(B53:M53)</f>
        <v>15745.27569956009</v>
      </c>
    </row>
    <row r="54" spans="1:27" s="7" customFormat="1">
      <c r="A54" s="68" t="s">
        <v>90</v>
      </c>
      <c r="B54" s="23">
        <f t="shared" si="35"/>
        <v>0</v>
      </c>
      <c r="C54" s="23">
        <f t="shared" si="35"/>
        <v>0</v>
      </c>
      <c r="D54" s="23">
        <f t="shared" ref="D54:F54" si="42">D47-D39</f>
        <v>0</v>
      </c>
      <c r="E54" s="23">
        <f t="shared" si="42"/>
        <v>0</v>
      </c>
      <c r="F54" s="23">
        <f t="shared" si="42"/>
        <v>0</v>
      </c>
      <c r="G54" s="23">
        <f t="shared" ref="G54:H54" si="43">G47-G39</f>
        <v>0</v>
      </c>
      <c r="H54" s="23">
        <f t="shared" si="43"/>
        <v>0</v>
      </c>
      <c r="I54" s="23">
        <f t="shared" ref="I54:J54" si="44">I47-I39</f>
        <v>0</v>
      </c>
      <c r="J54" s="23">
        <f t="shared" si="44"/>
        <v>0</v>
      </c>
      <c r="K54" s="23">
        <f t="shared" ref="K54:L54" si="45">K47-K39</f>
        <v>0</v>
      </c>
      <c r="L54" s="23">
        <f t="shared" si="45"/>
        <v>0</v>
      </c>
      <c r="M54" s="23">
        <f t="shared" ref="M54" si="46">M47-M39</f>
        <v>0</v>
      </c>
      <c r="N54" s="64">
        <f t="shared" si="41"/>
        <v>0</v>
      </c>
    </row>
    <row r="55" spans="1:27" s="7" customFormat="1">
      <c r="A55" s="68" t="s">
        <v>89</v>
      </c>
      <c r="B55" s="23">
        <f t="shared" si="35"/>
        <v>-268.05326305692006</v>
      </c>
      <c r="C55" s="23">
        <f t="shared" si="35"/>
        <v>36.457846074231838</v>
      </c>
      <c r="D55" s="23">
        <f t="shared" ref="D55:F55" si="47">D48-D40</f>
        <v>57.514608609128118</v>
      </c>
      <c r="E55" s="23">
        <f t="shared" si="47"/>
        <v>47.898048336335933</v>
      </c>
      <c r="F55" s="23">
        <f t="shared" si="47"/>
        <v>-48.582676474464051</v>
      </c>
      <c r="G55" s="23">
        <f t="shared" ref="G55:H55" si="48">G48-G40</f>
        <v>146.867475209752</v>
      </c>
      <c r="H55" s="23">
        <f t="shared" si="48"/>
        <v>31.743563805590611</v>
      </c>
      <c r="I55" s="23">
        <f t="shared" ref="I55:J55" si="49">I48-I40</f>
        <v>54.425888687637098</v>
      </c>
      <c r="J55" s="23">
        <f t="shared" si="49"/>
        <v>-51.997100481682537</v>
      </c>
      <c r="K55" s="23">
        <f t="shared" ref="K55:L55" si="50">K48-K40</f>
        <v>-159.68916941959435</v>
      </c>
      <c r="L55" s="23">
        <f t="shared" si="50"/>
        <v>560.57173863218361</v>
      </c>
      <c r="M55" s="23">
        <f t="shared" ref="M55" si="51">M48-M40</f>
        <v>714.56314463062029</v>
      </c>
      <c r="N55" s="64">
        <f t="shared" si="41"/>
        <v>1121.7201045528186</v>
      </c>
    </row>
    <row r="56" spans="1:27" s="7" customFormat="1">
      <c r="A56" s="83" t="s">
        <v>48</v>
      </c>
      <c r="B56" s="65">
        <f>SUM(B52:B55)</f>
        <v>-11138.606395483132</v>
      </c>
      <c r="C56" s="65">
        <f t="shared" ref="C56:N56" si="52">SUM(C52:C55)</f>
        <v>-11421.51260570036</v>
      </c>
      <c r="D56" s="65">
        <f t="shared" si="52"/>
        <v>-4320.7241346121646</v>
      </c>
      <c r="E56" s="65">
        <f t="shared" si="52"/>
        <v>37346.457235166832</v>
      </c>
      <c r="F56" s="65">
        <f t="shared" si="52"/>
        <v>55411.866251920263</v>
      </c>
      <c r="G56" s="65">
        <f t="shared" si="52"/>
        <v>26174.674131551481</v>
      </c>
      <c r="H56" s="65">
        <f t="shared" si="52"/>
        <v>11222.525118832058</v>
      </c>
      <c r="I56" s="65">
        <f t="shared" si="52"/>
        <v>-8625.9663314832869</v>
      </c>
      <c r="J56" s="65">
        <f t="shared" si="52"/>
        <v>-16609.621798865413</v>
      </c>
      <c r="K56" s="65">
        <f t="shared" si="52"/>
        <v>-86909.821673561077</v>
      </c>
      <c r="L56" s="65">
        <f t="shared" si="52"/>
        <v>-25137.972245289835</v>
      </c>
      <c r="M56" s="65">
        <f t="shared" si="52"/>
        <v>170028.80792160495</v>
      </c>
      <c r="N56" s="65">
        <f t="shared" si="52"/>
        <v>136020.10547408031</v>
      </c>
      <c r="O56" s="28"/>
      <c r="P56" s="28"/>
      <c r="Q56" s="28"/>
      <c r="R56" s="28"/>
      <c r="S56" s="28"/>
      <c r="T56" s="28"/>
      <c r="U56" s="28"/>
      <c r="V56" s="28"/>
      <c r="W56" s="28"/>
      <c r="X56" s="28"/>
      <c r="Y56" s="28"/>
      <c r="Z56" s="28"/>
      <c r="AA56" s="28"/>
    </row>
    <row r="57" spans="1:27" s="7" customFormat="1">
      <c r="A57" s="5"/>
      <c r="B57"/>
      <c r="C57"/>
      <c r="D57" s="3"/>
      <c r="E57" s="3"/>
      <c r="F57" s="3"/>
      <c r="G57" s="3"/>
      <c r="H57" s="3"/>
      <c r="I57" s="3"/>
      <c r="J57" s="3"/>
      <c r="K57" s="3"/>
      <c r="L57" s="3"/>
      <c r="M57" s="3"/>
      <c r="N57" s="9"/>
    </row>
    <row r="58" spans="1:27" s="7" customFormat="1">
      <c r="A58" s="84" t="s">
        <v>26</v>
      </c>
      <c r="B58" s="63"/>
      <c r="C58" s="63"/>
      <c r="D58" s="63"/>
      <c r="E58" s="63"/>
      <c r="F58" s="63"/>
      <c r="G58" s="63"/>
      <c r="H58" s="63"/>
      <c r="I58" s="63"/>
      <c r="J58" s="63"/>
      <c r="K58" s="63"/>
      <c r="L58" s="63"/>
      <c r="M58" s="63"/>
      <c r="N58" s="63"/>
    </row>
    <row r="59" spans="1:27" s="7" customFormat="1" ht="29.25" customHeight="1">
      <c r="A59" s="144" t="s">
        <v>113</v>
      </c>
      <c r="B59" s="144"/>
      <c r="C59" s="144"/>
      <c r="D59" s="144"/>
      <c r="E59" s="144"/>
      <c r="F59" s="144"/>
      <c r="G59" s="144"/>
      <c r="H59" s="144"/>
      <c r="I59" s="144"/>
      <c r="J59" s="144"/>
      <c r="K59" s="144"/>
      <c r="L59" s="144"/>
      <c r="M59" s="144"/>
      <c r="N59" s="144"/>
    </row>
    <row r="60" spans="1:27" s="7" customFormat="1" ht="30.75" customHeight="1">
      <c r="A60" s="144" t="s">
        <v>114</v>
      </c>
      <c r="B60" s="144"/>
      <c r="C60" s="144"/>
      <c r="D60" s="144"/>
      <c r="E60" s="144"/>
      <c r="F60" s="144"/>
      <c r="G60" s="144"/>
      <c r="H60" s="144"/>
      <c r="I60" s="144"/>
      <c r="J60" s="144"/>
      <c r="K60" s="144"/>
      <c r="L60" s="144"/>
      <c r="M60" s="144"/>
      <c r="N60" s="144"/>
    </row>
    <row r="61" spans="1:27" s="7" customFormat="1" ht="30.75" customHeight="1">
      <c r="A61" s="144" t="s">
        <v>157</v>
      </c>
      <c r="B61" s="144"/>
      <c r="C61" s="144"/>
      <c r="D61" s="144"/>
      <c r="E61" s="144"/>
      <c r="F61" s="144"/>
      <c r="G61" s="144"/>
      <c r="H61" s="144"/>
      <c r="I61" s="144"/>
      <c r="J61" s="144"/>
      <c r="K61" s="144"/>
      <c r="L61" s="144"/>
      <c r="M61" s="144"/>
      <c r="N61" s="144"/>
    </row>
    <row r="62" spans="1:27" s="7" customFormat="1">
      <c r="A62" s="144" t="s">
        <v>172</v>
      </c>
      <c r="B62" s="144"/>
      <c r="C62" s="144"/>
      <c r="D62" s="144"/>
      <c r="E62" s="144"/>
      <c r="F62" s="144"/>
      <c r="G62" s="144"/>
      <c r="H62" s="144"/>
      <c r="I62" s="144"/>
      <c r="J62" s="144"/>
      <c r="K62" s="144"/>
      <c r="L62" s="144"/>
      <c r="M62" s="3"/>
      <c r="N62" s="9"/>
    </row>
    <row r="63" spans="1:27" s="7" customFormat="1">
      <c r="A63" s="144" t="s">
        <v>186</v>
      </c>
      <c r="B63" s="144"/>
      <c r="C63" s="144"/>
      <c r="D63" s="144"/>
      <c r="E63" s="144"/>
      <c r="F63" s="144"/>
      <c r="G63" s="144"/>
      <c r="H63" s="144"/>
      <c r="I63" s="144"/>
      <c r="J63" s="144"/>
      <c r="K63" s="144"/>
      <c r="L63" s="144"/>
      <c r="M63" s="3"/>
      <c r="N63" s="9"/>
    </row>
    <row r="64" spans="1:27" s="7" customFormat="1">
      <c r="A64" s="144" t="s">
        <v>197</v>
      </c>
      <c r="B64" s="144"/>
      <c r="C64" s="144"/>
      <c r="D64" s="144"/>
      <c r="E64" s="144"/>
      <c r="F64" s="144"/>
      <c r="G64" s="144"/>
      <c r="H64" s="144"/>
      <c r="I64" s="144"/>
      <c r="J64" s="144"/>
      <c r="K64" s="144"/>
      <c r="L64" s="144"/>
      <c r="M64" s="3"/>
      <c r="N64" s="9"/>
    </row>
    <row r="65" spans="1:14" s="7" customFormat="1">
      <c r="A65" s="144" t="s">
        <v>203</v>
      </c>
      <c r="B65" s="144"/>
      <c r="C65" s="144"/>
      <c r="D65" s="144"/>
      <c r="E65" s="144"/>
      <c r="F65" s="144"/>
      <c r="G65" s="144"/>
      <c r="H65" s="144"/>
      <c r="I65" s="144"/>
      <c r="J65" s="144"/>
      <c r="K65" s="144"/>
      <c r="L65" s="144"/>
      <c r="M65" s="3"/>
      <c r="N65" s="9"/>
    </row>
    <row r="66" spans="1:14" s="7" customFormat="1" ht="30.75" customHeight="1">
      <c r="A66" s="144" t="s">
        <v>222</v>
      </c>
      <c r="B66" s="144"/>
      <c r="C66" s="144"/>
      <c r="D66" s="144"/>
      <c r="E66" s="144"/>
      <c r="F66" s="144"/>
      <c r="G66" s="144"/>
      <c r="H66" s="144"/>
      <c r="I66" s="144"/>
      <c r="J66" s="144"/>
      <c r="K66" s="144"/>
      <c r="L66" s="144"/>
      <c r="M66"/>
      <c r="N66" s="9"/>
    </row>
    <row r="67" spans="1:14" s="7" customFormat="1" ht="29.25" customHeight="1">
      <c r="A67" s="144" t="s">
        <v>240</v>
      </c>
      <c r="B67" s="144"/>
      <c r="C67" s="144"/>
      <c r="D67" s="144"/>
      <c r="E67" s="144"/>
      <c r="F67" s="144"/>
      <c r="G67" s="144"/>
      <c r="H67" s="144"/>
      <c r="I67" s="144"/>
      <c r="J67" s="144"/>
      <c r="K67" s="144"/>
      <c r="L67" s="144"/>
      <c r="M67"/>
      <c r="N67" s="9"/>
    </row>
    <row r="68" spans="1:14" s="7" customFormat="1">
      <c r="A68" s="150" t="s">
        <v>257</v>
      </c>
      <c r="B68" s="150"/>
      <c r="C68" s="150"/>
      <c r="D68" s="150"/>
      <c r="E68" s="150"/>
      <c r="F68" s="150"/>
      <c r="G68" s="150"/>
      <c r="H68" s="150"/>
      <c r="I68" s="150"/>
      <c r="J68" s="150"/>
      <c r="K68" s="150"/>
      <c r="L68" s="150"/>
      <c r="M68" s="3"/>
      <c r="N68" s="9"/>
    </row>
    <row r="69" spans="1:14" s="7" customFormat="1">
      <c r="A69" s="144" t="s">
        <v>265</v>
      </c>
      <c r="B69" s="144"/>
      <c r="C69" s="144"/>
      <c r="D69" s="144"/>
      <c r="E69" s="144"/>
      <c r="F69" s="144"/>
      <c r="G69" s="144"/>
      <c r="H69" s="144"/>
      <c r="I69" s="144"/>
      <c r="J69" s="144"/>
      <c r="K69" s="144"/>
      <c r="L69" s="144"/>
      <c r="M69" s="3"/>
      <c r="N69" s="9"/>
    </row>
    <row r="70" spans="1:14" s="7" customFormat="1">
      <c r="A70" s="5"/>
      <c r="B70"/>
      <c r="C70"/>
      <c r="D70" s="3"/>
      <c r="E70" s="3"/>
      <c r="F70" s="3"/>
      <c r="G70" s="3"/>
      <c r="H70" s="3"/>
      <c r="I70" s="3"/>
      <c r="J70" s="3"/>
      <c r="K70" s="3"/>
      <c r="L70" s="3"/>
      <c r="M70" s="3"/>
      <c r="N70" s="9"/>
    </row>
    <row r="71" spans="1:14" s="7" customFormat="1">
      <c r="A71" s="5"/>
      <c r="B71"/>
      <c r="C71"/>
      <c r="D71" s="3"/>
      <c r="E71" s="3"/>
      <c r="F71" s="3"/>
      <c r="G71" s="3"/>
      <c r="H71" s="3"/>
      <c r="I71" s="3"/>
      <c r="J71" s="3"/>
      <c r="K71" s="3"/>
      <c r="L71" s="3"/>
      <c r="M71" s="3"/>
      <c r="N71" s="9"/>
    </row>
    <row r="72" spans="1:14" s="7" customFormat="1">
      <c r="A72" s="5"/>
      <c r="B72"/>
      <c r="C72"/>
      <c r="D72" s="3"/>
      <c r="E72" s="3"/>
      <c r="F72" s="3"/>
      <c r="G72" s="3"/>
      <c r="H72" s="3"/>
      <c r="I72" s="3"/>
      <c r="J72" s="3"/>
      <c r="K72" s="3"/>
      <c r="L72" s="3"/>
      <c r="M72" s="3"/>
      <c r="N72" s="9"/>
    </row>
    <row r="73" spans="1:14" s="7" customFormat="1">
      <c r="A73" s="5"/>
      <c r="B73"/>
      <c r="C73"/>
      <c r="D73" s="3"/>
      <c r="E73" s="3"/>
      <c r="F73" s="3"/>
      <c r="G73" s="3"/>
      <c r="H73" s="3"/>
      <c r="I73" s="3"/>
      <c r="J73" s="3"/>
      <c r="K73" s="3"/>
      <c r="L73" s="3"/>
      <c r="M73" s="3"/>
      <c r="N73" s="9"/>
    </row>
    <row r="74" spans="1:14" s="7" customFormat="1">
      <c r="A74" s="5"/>
      <c r="B74"/>
      <c r="C74"/>
      <c r="D74" s="3"/>
      <c r="E74" s="3"/>
      <c r="F74" s="3"/>
      <c r="G74" s="3"/>
      <c r="H74" s="3"/>
      <c r="I74" s="3"/>
      <c r="J74" s="3"/>
      <c r="K74" s="3"/>
      <c r="L74" s="3"/>
      <c r="M74" s="3"/>
      <c r="N74" s="9"/>
    </row>
    <row r="75" spans="1:14" s="7" customFormat="1">
      <c r="A75" s="5"/>
      <c r="B75"/>
      <c r="C75"/>
      <c r="D75" s="3"/>
      <c r="E75" s="3"/>
      <c r="F75" s="3"/>
      <c r="G75" s="3"/>
      <c r="H75" s="3"/>
      <c r="I75" s="3"/>
      <c r="J75" s="3"/>
      <c r="K75" s="3"/>
      <c r="L75" s="3"/>
      <c r="M75" s="3"/>
      <c r="N75" s="9"/>
    </row>
    <row r="76" spans="1:14" s="7" customFormat="1">
      <c r="A76" s="5"/>
      <c r="B76"/>
      <c r="C76"/>
      <c r="D76" s="3"/>
      <c r="E76" s="3"/>
      <c r="F76" s="3"/>
      <c r="G76" s="3"/>
      <c r="H76" s="3"/>
      <c r="I76" s="3"/>
      <c r="J76" s="3"/>
      <c r="K76" s="3"/>
      <c r="L76" s="3"/>
      <c r="M76" s="3"/>
      <c r="N76" s="9"/>
    </row>
    <row r="77" spans="1:14" s="7" customFormat="1">
      <c r="A77" s="5"/>
      <c r="B77"/>
      <c r="C77"/>
      <c r="D77" s="3"/>
      <c r="E77" s="3"/>
      <c r="F77" s="3"/>
      <c r="G77" s="3"/>
      <c r="H77" s="3"/>
      <c r="I77" s="3"/>
      <c r="J77" s="3"/>
      <c r="K77" s="3"/>
      <c r="L77" s="3"/>
      <c r="M77" s="3"/>
      <c r="N77" s="9"/>
    </row>
    <row r="78" spans="1:14" s="7" customFormat="1">
      <c r="A78" s="5"/>
      <c r="B78"/>
      <c r="C78"/>
      <c r="D78" s="3"/>
      <c r="E78" s="3"/>
      <c r="F78" s="3"/>
      <c r="G78" s="3"/>
      <c r="H78" s="3"/>
      <c r="I78" s="3"/>
      <c r="J78" s="3"/>
      <c r="K78" s="3"/>
      <c r="L78" s="3"/>
      <c r="M78" s="3"/>
      <c r="N78" s="9"/>
    </row>
    <row r="79" spans="1:14" s="7" customFormat="1">
      <c r="A79" s="5"/>
      <c r="B79"/>
      <c r="C79"/>
      <c r="D79" s="3"/>
      <c r="E79" s="3"/>
      <c r="F79" s="3"/>
      <c r="G79" s="3"/>
      <c r="H79" s="3"/>
      <c r="I79" s="3"/>
      <c r="J79" s="3"/>
      <c r="K79" s="3"/>
      <c r="L79" s="3"/>
      <c r="M79" s="3"/>
      <c r="N79" s="9"/>
    </row>
    <row r="80" spans="1:14" s="7" customFormat="1">
      <c r="A80" s="5"/>
      <c r="B80"/>
      <c r="C80"/>
      <c r="D80" s="3"/>
      <c r="E80" s="3"/>
      <c r="F80" s="3"/>
      <c r="G80" s="3"/>
      <c r="H80" s="3"/>
      <c r="I80" s="3"/>
      <c r="J80" s="3"/>
      <c r="K80" s="3"/>
      <c r="L80" s="3"/>
      <c r="M80" s="3"/>
      <c r="N80" s="9"/>
    </row>
    <row r="81" spans="1:14" s="7" customFormat="1">
      <c r="A81" s="5"/>
      <c r="B81"/>
      <c r="C81"/>
      <c r="D81" s="3"/>
      <c r="E81" s="3"/>
      <c r="F81" s="3"/>
      <c r="G81" s="3"/>
      <c r="H81" s="3"/>
      <c r="I81" s="3"/>
      <c r="J81" s="3"/>
      <c r="K81" s="3"/>
      <c r="L81" s="3"/>
      <c r="M81" s="3"/>
      <c r="N81" s="9"/>
    </row>
    <row r="82" spans="1:14" s="7" customFormat="1">
      <c r="A82" s="5"/>
      <c r="B82"/>
      <c r="C82"/>
      <c r="D82" s="3"/>
      <c r="E82" s="3"/>
      <c r="F82" s="3"/>
      <c r="G82" s="3"/>
      <c r="H82" s="3"/>
      <c r="I82" s="3"/>
      <c r="J82" s="3"/>
      <c r="K82" s="3"/>
      <c r="L82" s="3"/>
      <c r="M82" s="3"/>
      <c r="N82" s="9"/>
    </row>
    <row r="83" spans="1:14" s="7" customFormat="1">
      <c r="A83" s="5"/>
      <c r="B83"/>
      <c r="C83"/>
      <c r="D83" s="3"/>
      <c r="E83" s="3"/>
      <c r="F83" s="3"/>
      <c r="G83" s="3"/>
      <c r="H83" s="3"/>
      <c r="I83" s="3"/>
      <c r="J83" s="3"/>
      <c r="K83" s="3"/>
      <c r="L83" s="3"/>
      <c r="M83" s="3"/>
      <c r="N83" s="9"/>
    </row>
    <row r="84" spans="1:14" s="7" customFormat="1">
      <c r="A84" s="5"/>
      <c r="B84"/>
      <c r="C84"/>
      <c r="D84" s="3"/>
      <c r="E84" s="3"/>
      <c r="F84" s="3"/>
      <c r="G84" s="3"/>
      <c r="H84" s="3"/>
      <c r="I84" s="3"/>
      <c r="J84" s="3"/>
      <c r="K84" s="3"/>
      <c r="L84" s="3"/>
      <c r="M84" s="3"/>
      <c r="N84" s="9"/>
    </row>
    <row r="85" spans="1:14" s="7" customFormat="1">
      <c r="A85" s="5"/>
      <c r="B85"/>
      <c r="C85"/>
      <c r="D85" s="3"/>
      <c r="E85" s="3"/>
      <c r="F85" s="3"/>
      <c r="G85" s="3"/>
      <c r="H85" s="3"/>
      <c r="I85" s="3"/>
      <c r="J85" s="3"/>
      <c r="K85" s="3"/>
      <c r="L85" s="3"/>
      <c r="M85" s="3"/>
      <c r="N85" s="9"/>
    </row>
    <row r="86" spans="1:14" s="7" customFormat="1">
      <c r="A86" s="5"/>
      <c r="B86"/>
      <c r="C86"/>
      <c r="D86" s="3"/>
      <c r="E86" s="3"/>
      <c r="F86" s="3"/>
      <c r="G86" s="3"/>
      <c r="H86" s="3"/>
      <c r="I86" s="3"/>
      <c r="J86" s="3"/>
      <c r="K86" s="3"/>
      <c r="L86" s="3"/>
      <c r="M86" s="3"/>
      <c r="N86" s="9"/>
    </row>
    <row r="87" spans="1:14" s="7" customFormat="1">
      <c r="A87" s="5"/>
      <c r="B87"/>
      <c r="C87"/>
      <c r="D87" s="3"/>
      <c r="E87" s="3"/>
      <c r="F87" s="3"/>
      <c r="G87" s="3"/>
      <c r="H87" s="3"/>
      <c r="I87" s="3"/>
      <c r="J87" s="3"/>
      <c r="K87" s="3"/>
      <c r="L87" s="3"/>
      <c r="M87" s="3"/>
      <c r="N87" s="9"/>
    </row>
    <row r="88" spans="1:14" s="7" customFormat="1">
      <c r="A88" s="5"/>
      <c r="B88"/>
      <c r="C88"/>
      <c r="D88" s="3"/>
      <c r="E88" s="3"/>
      <c r="F88" s="3"/>
      <c r="G88" s="3"/>
      <c r="H88" s="3"/>
      <c r="I88" s="3"/>
      <c r="J88" s="3"/>
      <c r="K88" s="3"/>
      <c r="L88" s="3"/>
      <c r="M88" s="3"/>
      <c r="N88" s="9"/>
    </row>
    <row r="89" spans="1:14" s="7" customFormat="1">
      <c r="A89" s="5"/>
      <c r="B89"/>
      <c r="C89"/>
      <c r="D89" s="3"/>
      <c r="E89" s="3"/>
      <c r="F89" s="3"/>
      <c r="G89" s="3"/>
      <c r="H89" s="3"/>
      <c r="I89" s="3"/>
      <c r="J89" s="3"/>
      <c r="K89" s="3"/>
      <c r="L89" s="3"/>
      <c r="M89" s="3"/>
      <c r="N89" s="9"/>
    </row>
    <row r="90" spans="1:14" s="7" customFormat="1">
      <c r="A90" s="5"/>
      <c r="B90"/>
      <c r="C90"/>
      <c r="D90" s="3"/>
      <c r="E90" s="3"/>
      <c r="F90" s="3"/>
      <c r="G90" s="3"/>
      <c r="H90" s="3"/>
      <c r="I90" s="3"/>
      <c r="J90" s="3"/>
      <c r="K90" s="3"/>
      <c r="L90" s="3"/>
      <c r="M90" s="3"/>
      <c r="N90" s="9"/>
    </row>
    <row r="91" spans="1:14" s="7" customFormat="1">
      <c r="A91" s="5"/>
      <c r="B91"/>
      <c r="C91"/>
      <c r="D91" s="3"/>
      <c r="E91" s="3"/>
      <c r="F91" s="3"/>
      <c r="G91" s="3"/>
      <c r="H91" s="3"/>
      <c r="I91" s="3"/>
      <c r="J91" s="3"/>
      <c r="K91" s="3"/>
      <c r="L91" s="3"/>
      <c r="M91" s="3"/>
      <c r="N91" s="9"/>
    </row>
    <row r="92" spans="1:14" s="7" customFormat="1">
      <c r="A92" s="5"/>
      <c r="B92"/>
      <c r="C92"/>
      <c r="D92" s="3"/>
      <c r="E92" s="3"/>
      <c r="F92" s="3"/>
      <c r="G92" s="3"/>
      <c r="H92" s="3"/>
      <c r="I92" s="3"/>
      <c r="J92" s="3"/>
      <c r="K92" s="3"/>
      <c r="L92" s="3"/>
      <c r="M92" s="3"/>
      <c r="N92" s="9"/>
    </row>
    <row r="93" spans="1:14" s="7" customFormat="1">
      <c r="A93" s="5"/>
      <c r="B93"/>
      <c r="C93"/>
      <c r="D93" s="3"/>
      <c r="E93" s="3"/>
      <c r="F93" s="3"/>
      <c r="G93" s="3"/>
      <c r="H93" s="3"/>
      <c r="I93" s="3"/>
      <c r="J93" s="3"/>
      <c r="K93" s="3"/>
      <c r="L93" s="3"/>
      <c r="M93" s="3"/>
      <c r="N93" s="9"/>
    </row>
    <row r="94" spans="1:14" s="7" customFormat="1">
      <c r="A94" s="5"/>
      <c r="B94"/>
      <c r="C94"/>
      <c r="D94" s="3"/>
      <c r="E94" s="3"/>
      <c r="F94" s="3"/>
      <c r="G94" s="3"/>
      <c r="H94" s="3"/>
      <c r="I94" s="3"/>
      <c r="J94" s="3"/>
      <c r="K94" s="3"/>
      <c r="L94" s="3"/>
      <c r="M94" s="3"/>
      <c r="N94" s="9"/>
    </row>
    <row r="95" spans="1:14" s="7" customFormat="1">
      <c r="A95" s="5"/>
      <c r="B95"/>
      <c r="C95"/>
      <c r="D95" s="3"/>
      <c r="E95" s="3"/>
      <c r="F95" s="3"/>
      <c r="G95" s="3"/>
      <c r="H95" s="3"/>
      <c r="I95" s="3"/>
      <c r="J95" s="3"/>
      <c r="K95" s="3"/>
      <c r="L95" s="3"/>
      <c r="M95" s="3"/>
      <c r="N95" s="9"/>
    </row>
    <row r="96" spans="1:14" s="7" customFormat="1">
      <c r="A96" s="5"/>
      <c r="B96"/>
      <c r="C96"/>
      <c r="D96" s="3"/>
      <c r="E96" s="3"/>
      <c r="F96" s="3"/>
      <c r="G96" s="3"/>
      <c r="H96" s="3"/>
      <c r="I96" s="3"/>
      <c r="J96" s="3"/>
      <c r="K96" s="3"/>
      <c r="L96" s="3"/>
      <c r="M96" s="3"/>
      <c r="N96" s="9"/>
    </row>
    <row r="97" spans="1:14" s="7" customFormat="1">
      <c r="A97" s="5"/>
      <c r="B97"/>
      <c r="C97"/>
      <c r="D97" s="3"/>
      <c r="E97" s="3"/>
      <c r="F97" s="3"/>
      <c r="G97" s="3"/>
      <c r="H97" s="3"/>
      <c r="I97" s="3"/>
      <c r="J97" s="3"/>
      <c r="K97" s="3"/>
      <c r="L97" s="3"/>
      <c r="M97" s="3"/>
      <c r="N97" s="9"/>
    </row>
    <row r="98" spans="1:14" s="7" customFormat="1">
      <c r="A98" s="5"/>
      <c r="B98"/>
      <c r="C98"/>
      <c r="D98" s="3"/>
      <c r="E98" s="3"/>
      <c r="F98" s="3"/>
      <c r="G98" s="3"/>
      <c r="H98" s="3"/>
      <c r="I98" s="3"/>
      <c r="J98" s="3"/>
      <c r="K98" s="3"/>
      <c r="L98" s="3"/>
      <c r="M98" s="3"/>
      <c r="N98" s="9"/>
    </row>
    <row r="99" spans="1:14" s="7" customFormat="1">
      <c r="A99" s="5"/>
      <c r="B99"/>
      <c r="C99"/>
      <c r="D99" s="3"/>
      <c r="E99" s="3"/>
      <c r="F99" s="3"/>
      <c r="G99" s="3"/>
      <c r="H99" s="3"/>
      <c r="I99" s="3"/>
      <c r="J99" s="3"/>
      <c r="K99" s="3"/>
      <c r="L99" s="3"/>
      <c r="M99" s="3"/>
      <c r="N99" s="9"/>
    </row>
    <row r="100" spans="1:14" s="7" customFormat="1">
      <c r="A100" s="5"/>
      <c r="B100"/>
      <c r="C100"/>
      <c r="D100" s="3"/>
      <c r="E100" s="3"/>
      <c r="F100" s="3"/>
      <c r="G100" s="3"/>
      <c r="H100" s="3"/>
      <c r="I100" s="3"/>
      <c r="J100" s="3"/>
      <c r="K100" s="3"/>
      <c r="L100" s="3"/>
      <c r="M100" s="3"/>
      <c r="N100" s="9"/>
    </row>
    <row r="101" spans="1:14" s="7" customFormat="1">
      <c r="A101" s="5"/>
      <c r="B101"/>
      <c r="C101"/>
      <c r="D101" s="3"/>
      <c r="E101" s="3"/>
      <c r="F101" s="3"/>
      <c r="G101" s="3"/>
      <c r="H101" s="3"/>
      <c r="I101" s="3"/>
      <c r="J101" s="3"/>
      <c r="K101" s="3"/>
      <c r="L101" s="3"/>
      <c r="M101" s="3"/>
      <c r="N101" s="9"/>
    </row>
    <row r="102" spans="1:14" s="7" customFormat="1">
      <c r="A102" s="5"/>
      <c r="B102"/>
      <c r="C102"/>
      <c r="D102" s="3"/>
      <c r="E102" s="3"/>
      <c r="F102" s="3"/>
      <c r="G102" s="3"/>
      <c r="H102" s="3"/>
      <c r="I102" s="3"/>
      <c r="J102" s="3"/>
      <c r="K102" s="3"/>
      <c r="L102" s="3"/>
      <c r="M102" s="3"/>
      <c r="N102" s="9"/>
    </row>
    <row r="103" spans="1:14" s="7" customFormat="1">
      <c r="A103" s="5"/>
      <c r="B103"/>
      <c r="C103"/>
      <c r="D103" s="3"/>
      <c r="E103" s="3"/>
      <c r="F103" s="3"/>
      <c r="G103" s="3"/>
      <c r="H103" s="3"/>
      <c r="I103" s="3"/>
      <c r="J103" s="3"/>
      <c r="K103" s="3"/>
      <c r="L103" s="3"/>
      <c r="M103" s="3"/>
      <c r="N103" s="9"/>
    </row>
    <row r="104" spans="1:14" s="7" customFormat="1">
      <c r="A104" s="5"/>
      <c r="B104"/>
      <c r="C104"/>
      <c r="D104" s="3"/>
      <c r="E104" s="3"/>
      <c r="F104" s="3"/>
      <c r="G104" s="3"/>
      <c r="H104" s="3"/>
      <c r="I104" s="3"/>
      <c r="J104" s="3"/>
      <c r="K104" s="3"/>
      <c r="L104" s="3"/>
      <c r="M104" s="3"/>
      <c r="N104" s="9"/>
    </row>
    <row r="105" spans="1:14" s="7" customFormat="1">
      <c r="A105" s="5"/>
      <c r="B105"/>
      <c r="C105"/>
      <c r="D105" s="3"/>
      <c r="E105" s="3"/>
      <c r="F105" s="3"/>
      <c r="G105" s="3"/>
      <c r="H105" s="3"/>
      <c r="I105" s="3"/>
      <c r="J105" s="3"/>
      <c r="K105" s="3"/>
      <c r="L105" s="3"/>
      <c r="M105" s="3"/>
      <c r="N105" s="9"/>
    </row>
    <row r="106" spans="1:14" s="7" customFormat="1">
      <c r="A106" s="5"/>
      <c r="B106"/>
      <c r="C106"/>
      <c r="D106" s="3"/>
      <c r="E106" s="3"/>
      <c r="F106" s="3"/>
      <c r="G106" s="3"/>
      <c r="H106" s="3"/>
      <c r="I106" s="3"/>
      <c r="J106" s="3"/>
      <c r="K106" s="3"/>
      <c r="L106" s="3"/>
      <c r="M106" s="3"/>
      <c r="N106" s="9"/>
    </row>
    <row r="107" spans="1:14" s="7" customFormat="1">
      <c r="A107" s="5"/>
      <c r="B107"/>
      <c r="C107"/>
      <c r="D107" s="3"/>
      <c r="E107" s="3"/>
      <c r="F107" s="3"/>
      <c r="G107" s="3"/>
      <c r="H107" s="3"/>
      <c r="I107" s="3"/>
      <c r="J107" s="3"/>
      <c r="K107" s="3"/>
      <c r="L107" s="3"/>
      <c r="M107" s="3"/>
      <c r="N107" s="9"/>
    </row>
    <row r="108" spans="1:14" s="7" customFormat="1">
      <c r="A108" s="5"/>
      <c r="B108"/>
      <c r="C108"/>
      <c r="D108" s="3"/>
      <c r="E108" s="3"/>
      <c r="F108" s="3"/>
      <c r="G108" s="3"/>
      <c r="H108" s="3"/>
      <c r="I108" s="3"/>
      <c r="J108" s="3"/>
      <c r="K108" s="3"/>
      <c r="L108" s="3"/>
      <c r="M108" s="3"/>
      <c r="N108" s="9"/>
    </row>
    <row r="109" spans="1:14" s="7" customFormat="1">
      <c r="A109" s="5"/>
      <c r="B109"/>
      <c r="C109"/>
      <c r="D109" s="3"/>
      <c r="E109" s="3"/>
      <c r="F109" s="3"/>
      <c r="G109" s="3"/>
      <c r="H109" s="3"/>
      <c r="I109" s="3"/>
      <c r="J109" s="3"/>
      <c r="K109" s="3"/>
      <c r="L109" s="3"/>
      <c r="M109" s="3"/>
      <c r="N109" s="9"/>
    </row>
    <row r="110" spans="1:14" s="7" customFormat="1">
      <c r="A110" s="5"/>
      <c r="B110"/>
      <c r="C110"/>
      <c r="D110" s="3"/>
      <c r="E110" s="3"/>
      <c r="F110" s="3"/>
      <c r="G110" s="3"/>
      <c r="H110" s="3"/>
      <c r="I110" s="3"/>
      <c r="J110" s="3"/>
      <c r="K110" s="3"/>
      <c r="L110" s="3"/>
      <c r="M110" s="3"/>
      <c r="N110" s="9"/>
    </row>
    <row r="111" spans="1:14" s="7" customFormat="1">
      <c r="A111" s="5"/>
      <c r="B111"/>
      <c r="C111"/>
      <c r="D111" s="3"/>
      <c r="E111" s="3"/>
      <c r="F111" s="3"/>
      <c r="G111" s="3"/>
      <c r="H111" s="3"/>
      <c r="I111" s="3"/>
      <c r="J111" s="3"/>
      <c r="K111" s="3"/>
      <c r="L111" s="3"/>
      <c r="M111" s="3"/>
      <c r="N111" s="9"/>
    </row>
    <row r="112" spans="1:14" s="7" customFormat="1">
      <c r="A112" s="5"/>
      <c r="B112"/>
      <c r="C112"/>
      <c r="D112" s="3"/>
      <c r="E112" s="3"/>
      <c r="F112" s="3"/>
      <c r="G112" s="3"/>
      <c r="H112" s="3"/>
      <c r="I112" s="3"/>
      <c r="J112" s="3"/>
      <c r="K112" s="3"/>
      <c r="L112" s="3"/>
      <c r="M112" s="3"/>
      <c r="N112" s="9"/>
    </row>
    <row r="113" spans="1:14" s="7" customFormat="1">
      <c r="A113" s="5"/>
      <c r="B113"/>
      <c r="C113"/>
      <c r="D113" s="3"/>
      <c r="E113" s="3"/>
      <c r="F113" s="3"/>
      <c r="G113" s="3"/>
      <c r="H113" s="3"/>
      <c r="I113" s="3"/>
      <c r="J113" s="3"/>
      <c r="K113" s="3"/>
      <c r="L113" s="3"/>
      <c r="M113" s="3"/>
      <c r="N113" s="9"/>
    </row>
    <row r="114" spans="1:14" s="7" customFormat="1">
      <c r="A114" s="5"/>
      <c r="B114"/>
      <c r="C114"/>
      <c r="D114" s="3"/>
      <c r="E114" s="3"/>
      <c r="F114" s="3"/>
      <c r="G114" s="3"/>
      <c r="H114" s="3"/>
      <c r="I114" s="3"/>
      <c r="J114" s="3"/>
      <c r="K114" s="3"/>
      <c r="L114" s="3"/>
      <c r="M114" s="3"/>
      <c r="N114" s="9"/>
    </row>
    <row r="115" spans="1:14" s="7" customFormat="1">
      <c r="A115" s="5"/>
      <c r="B115"/>
      <c r="C115"/>
      <c r="D115" s="3"/>
      <c r="E115" s="3"/>
      <c r="F115" s="3"/>
      <c r="G115" s="3"/>
      <c r="H115" s="3"/>
      <c r="I115" s="3"/>
      <c r="J115" s="3"/>
      <c r="K115" s="3"/>
      <c r="L115" s="3"/>
      <c r="M115" s="3"/>
      <c r="N115" s="9"/>
    </row>
    <row r="116" spans="1:14" s="7" customFormat="1">
      <c r="A116" s="5"/>
      <c r="B116"/>
      <c r="C116"/>
      <c r="D116" s="3"/>
      <c r="E116" s="3"/>
      <c r="F116" s="3"/>
      <c r="G116" s="3"/>
      <c r="H116" s="3"/>
      <c r="I116" s="3"/>
      <c r="J116" s="3"/>
      <c r="K116" s="3"/>
      <c r="L116" s="3"/>
      <c r="M116" s="3"/>
      <c r="N116" s="9"/>
    </row>
    <row r="117" spans="1:14" s="7" customFormat="1">
      <c r="A117" s="5"/>
      <c r="B117"/>
      <c r="C117"/>
      <c r="D117" s="3"/>
      <c r="E117" s="3"/>
      <c r="F117" s="3"/>
      <c r="G117" s="3"/>
      <c r="H117" s="3"/>
      <c r="I117" s="3"/>
      <c r="J117" s="3"/>
      <c r="K117" s="3"/>
      <c r="L117" s="3"/>
      <c r="M117" s="3"/>
      <c r="N117" s="9"/>
    </row>
    <row r="118" spans="1:14" s="7" customFormat="1">
      <c r="A118" s="5"/>
      <c r="B118"/>
      <c r="C118"/>
      <c r="D118" s="3"/>
      <c r="E118" s="3"/>
      <c r="F118" s="3"/>
      <c r="G118" s="3"/>
      <c r="H118" s="3"/>
      <c r="I118" s="3"/>
      <c r="J118" s="3"/>
      <c r="K118" s="3"/>
      <c r="L118" s="3"/>
      <c r="M118" s="3"/>
      <c r="N118" s="9"/>
    </row>
    <row r="119" spans="1:14" s="7" customFormat="1">
      <c r="A119" s="5"/>
      <c r="B119"/>
      <c r="C119"/>
      <c r="D119" s="3"/>
      <c r="E119" s="3"/>
      <c r="F119" s="3"/>
      <c r="G119" s="3"/>
      <c r="H119" s="3"/>
      <c r="I119" s="3"/>
      <c r="J119" s="3"/>
      <c r="K119" s="3"/>
      <c r="L119" s="3"/>
      <c r="M119" s="3"/>
      <c r="N119" s="9"/>
    </row>
    <row r="120" spans="1:14" s="7" customFormat="1">
      <c r="A120" s="5"/>
      <c r="B120"/>
      <c r="C120"/>
      <c r="D120" s="3"/>
      <c r="E120" s="3"/>
      <c r="F120" s="3"/>
      <c r="G120" s="3"/>
      <c r="H120" s="3"/>
      <c r="I120" s="3"/>
      <c r="J120" s="3"/>
      <c r="K120" s="3"/>
      <c r="L120" s="3"/>
      <c r="M120" s="3"/>
      <c r="N120" s="9"/>
    </row>
    <row r="121" spans="1:14" s="7" customFormat="1">
      <c r="A121" s="5"/>
      <c r="B121"/>
      <c r="C121"/>
      <c r="D121" s="3"/>
      <c r="E121" s="3"/>
      <c r="F121" s="3"/>
      <c r="G121" s="3"/>
      <c r="H121" s="3"/>
      <c r="I121" s="3"/>
      <c r="J121" s="3"/>
      <c r="K121" s="3"/>
      <c r="L121" s="3"/>
      <c r="M121" s="3"/>
      <c r="N121" s="9"/>
    </row>
    <row r="122" spans="1:14" s="7" customFormat="1">
      <c r="A122" s="5"/>
      <c r="B122"/>
      <c r="C122"/>
      <c r="D122" s="3"/>
      <c r="E122" s="3"/>
      <c r="F122" s="3"/>
      <c r="G122" s="3"/>
      <c r="H122" s="3"/>
      <c r="I122" s="3"/>
      <c r="J122" s="3"/>
      <c r="K122" s="3"/>
      <c r="L122" s="3"/>
      <c r="M122" s="3"/>
      <c r="N122" s="9"/>
    </row>
    <row r="123" spans="1:14" s="7" customFormat="1">
      <c r="A123" s="5"/>
      <c r="B123"/>
      <c r="C123"/>
      <c r="D123" s="3"/>
      <c r="E123" s="3"/>
      <c r="F123" s="3"/>
      <c r="G123" s="3"/>
      <c r="H123" s="3"/>
      <c r="I123" s="3"/>
      <c r="J123" s="3"/>
      <c r="K123" s="3"/>
      <c r="L123" s="3"/>
      <c r="M123" s="3"/>
      <c r="N123" s="9"/>
    </row>
    <row r="124" spans="1:14" s="7" customFormat="1">
      <c r="A124" s="5"/>
      <c r="B124"/>
      <c r="C124"/>
      <c r="D124" s="3"/>
      <c r="E124" s="3"/>
      <c r="F124" s="3"/>
      <c r="G124" s="3"/>
      <c r="H124" s="3"/>
      <c r="I124" s="3"/>
      <c r="J124" s="3"/>
      <c r="K124" s="3"/>
      <c r="L124" s="3"/>
      <c r="M124" s="3"/>
      <c r="N124" s="9"/>
    </row>
    <row r="125" spans="1:14" s="7" customFormat="1">
      <c r="A125" s="5"/>
      <c r="B125"/>
      <c r="C125"/>
      <c r="D125" s="3"/>
      <c r="E125" s="3"/>
      <c r="F125" s="3"/>
      <c r="G125" s="3"/>
      <c r="H125" s="3"/>
      <c r="I125" s="3"/>
      <c r="J125" s="3"/>
      <c r="K125" s="3"/>
      <c r="L125" s="3"/>
      <c r="M125" s="3"/>
      <c r="N125" s="9"/>
    </row>
    <row r="126" spans="1:14" s="7" customFormat="1">
      <c r="A126" s="5"/>
      <c r="B126"/>
      <c r="C126"/>
      <c r="D126" s="3"/>
      <c r="E126" s="3"/>
      <c r="F126" s="3"/>
      <c r="G126" s="3"/>
      <c r="H126" s="3"/>
      <c r="I126" s="3"/>
      <c r="J126" s="3"/>
      <c r="K126" s="3"/>
      <c r="L126" s="3"/>
      <c r="M126" s="3"/>
      <c r="N126" s="9"/>
    </row>
    <row r="127" spans="1:14" s="7" customFormat="1">
      <c r="A127" s="5"/>
      <c r="B127"/>
      <c r="C127"/>
      <c r="D127" s="3"/>
      <c r="E127" s="3"/>
      <c r="F127" s="3"/>
      <c r="G127" s="3"/>
      <c r="H127" s="3"/>
      <c r="I127" s="3"/>
      <c r="J127" s="3"/>
      <c r="K127" s="3"/>
      <c r="L127" s="3"/>
      <c r="M127" s="3"/>
      <c r="N127" s="9"/>
    </row>
    <row r="128" spans="1:14" s="7" customFormat="1">
      <c r="A128" s="5"/>
      <c r="B128"/>
      <c r="C128"/>
      <c r="D128" s="3"/>
      <c r="E128" s="3"/>
      <c r="F128" s="3"/>
      <c r="G128" s="3"/>
      <c r="H128" s="3"/>
      <c r="I128" s="3"/>
      <c r="J128" s="3"/>
      <c r="K128" s="3"/>
      <c r="L128" s="3"/>
      <c r="M128" s="3"/>
      <c r="N128" s="9"/>
    </row>
    <row r="129" spans="1:14" s="7" customFormat="1">
      <c r="A129" s="5"/>
      <c r="B129"/>
      <c r="C129"/>
      <c r="D129" s="3"/>
      <c r="E129" s="3"/>
      <c r="F129" s="3"/>
      <c r="G129" s="3"/>
      <c r="H129" s="3"/>
      <c r="I129" s="3"/>
      <c r="J129" s="3"/>
      <c r="K129" s="3"/>
      <c r="L129" s="3"/>
      <c r="M129" s="3"/>
      <c r="N129" s="9"/>
    </row>
    <row r="130" spans="1:14" s="7" customFormat="1">
      <c r="A130" s="5"/>
      <c r="B130"/>
      <c r="C130"/>
      <c r="D130" s="3"/>
      <c r="E130" s="3"/>
      <c r="F130" s="3"/>
      <c r="G130" s="3"/>
      <c r="H130" s="3"/>
      <c r="I130" s="3"/>
      <c r="J130" s="3"/>
      <c r="K130" s="3"/>
      <c r="L130" s="3"/>
      <c r="M130" s="3"/>
      <c r="N130" s="9"/>
    </row>
    <row r="131" spans="1:14" s="7" customFormat="1">
      <c r="A131" s="5"/>
      <c r="B131"/>
      <c r="C131"/>
      <c r="D131" s="3"/>
      <c r="E131" s="3"/>
      <c r="F131" s="3"/>
      <c r="G131" s="3"/>
      <c r="H131" s="3"/>
      <c r="I131" s="3"/>
      <c r="J131" s="3"/>
      <c r="K131" s="3"/>
      <c r="L131" s="3"/>
      <c r="M131" s="3"/>
      <c r="N131" s="9"/>
    </row>
    <row r="132" spans="1:14" s="7" customFormat="1">
      <c r="A132" s="5"/>
      <c r="B132"/>
      <c r="C132"/>
      <c r="D132" s="3"/>
      <c r="E132" s="3"/>
      <c r="F132" s="3"/>
      <c r="G132" s="3"/>
      <c r="H132" s="3"/>
      <c r="I132" s="3"/>
      <c r="J132" s="3"/>
      <c r="K132" s="3"/>
      <c r="L132" s="3"/>
      <c r="M132" s="3"/>
      <c r="N132" s="9"/>
    </row>
    <row r="133" spans="1:14" s="7" customFormat="1">
      <c r="A133" s="5"/>
      <c r="B133"/>
      <c r="C133"/>
      <c r="D133" s="3"/>
      <c r="E133" s="3"/>
      <c r="F133" s="3"/>
      <c r="G133" s="3"/>
      <c r="H133" s="3"/>
      <c r="I133" s="3"/>
      <c r="J133" s="3"/>
      <c r="K133" s="3"/>
      <c r="L133" s="3"/>
      <c r="M133" s="3"/>
      <c r="N133" s="9"/>
    </row>
    <row r="134" spans="1:14" s="7" customFormat="1">
      <c r="A134" s="5"/>
      <c r="B134"/>
      <c r="C134"/>
      <c r="D134" s="3"/>
      <c r="E134" s="3"/>
      <c r="F134" s="3"/>
      <c r="G134" s="3"/>
      <c r="H134" s="3"/>
      <c r="I134" s="3"/>
      <c r="J134" s="3"/>
      <c r="K134" s="3"/>
      <c r="L134" s="3"/>
      <c r="M134" s="3"/>
      <c r="N134" s="9"/>
    </row>
    <row r="135" spans="1:14" s="7" customFormat="1">
      <c r="A135" s="5"/>
      <c r="B135"/>
      <c r="C135"/>
      <c r="D135" s="3"/>
      <c r="E135" s="3"/>
      <c r="F135" s="3"/>
      <c r="G135" s="3"/>
      <c r="H135" s="3"/>
      <c r="I135" s="3"/>
      <c r="J135" s="3"/>
      <c r="K135" s="3"/>
      <c r="L135" s="3"/>
      <c r="M135" s="3"/>
      <c r="N135" s="9"/>
    </row>
    <row r="136" spans="1:14" s="7" customFormat="1">
      <c r="A136" s="5"/>
      <c r="B136"/>
      <c r="C136"/>
      <c r="D136" s="3"/>
      <c r="E136" s="3"/>
      <c r="F136" s="3"/>
      <c r="G136" s="3"/>
      <c r="H136" s="3"/>
      <c r="I136" s="3"/>
      <c r="J136" s="3"/>
      <c r="K136" s="3"/>
      <c r="L136" s="3"/>
      <c r="M136" s="3"/>
      <c r="N136" s="9"/>
    </row>
    <row r="137" spans="1:14" s="7" customFormat="1">
      <c r="A137" s="5"/>
      <c r="B137"/>
      <c r="C137"/>
      <c r="D137" s="3"/>
      <c r="E137" s="3"/>
      <c r="F137" s="3"/>
      <c r="G137" s="3"/>
      <c r="H137" s="3"/>
      <c r="I137" s="3"/>
      <c r="J137" s="3"/>
      <c r="K137" s="3"/>
      <c r="L137" s="3"/>
      <c r="M137" s="3"/>
      <c r="N137" s="9"/>
    </row>
    <row r="138" spans="1:14" s="7" customFormat="1">
      <c r="A138" s="5"/>
      <c r="B138"/>
      <c r="C138"/>
      <c r="D138" s="3"/>
      <c r="E138" s="3"/>
      <c r="F138" s="3"/>
      <c r="G138" s="3"/>
      <c r="H138" s="3"/>
      <c r="I138" s="3"/>
      <c r="J138" s="3"/>
      <c r="K138" s="3"/>
      <c r="L138" s="3"/>
      <c r="M138" s="3"/>
      <c r="N138" s="9"/>
    </row>
    <row r="139" spans="1:14" s="7" customFormat="1">
      <c r="A139" s="5"/>
      <c r="B139"/>
      <c r="C139"/>
      <c r="D139" s="3"/>
      <c r="E139" s="3"/>
      <c r="F139" s="3"/>
      <c r="G139" s="3"/>
      <c r="H139" s="3"/>
      <c r="I139" s="3"/>
      <c r="J139" s="3"/>
      <c r="K139" s="3"/>
      <c r="L139" s="3"/>
      <c r="M139" s="3"/>
      <c r="N139" s="9"/>
    </row>
    <row r="140" spans="1:14" s="7" customFormat="1">
      <c r="A140" s="5"/>
      <c r="B140"/>
      <c r="C140"/>
      <c r="D140" s="3"/>
      <c r="E140" s="3"/>
      <c r="F140" s="3"/>
      <c r="G140" s="3"/>
      <c r="H140" s="3"/>
      <c r="I140" s="3"/>
      <c r="J140" s="3"/>
      <c r="K140" s="3"/>
      <c r="L140" s="3"/>
      <c r="M140" s="3"/>
      <c r="N140" s="9"/>
    </row>
    <row r="141" spans="1:14" s="7" customFormat="1">
      <c r="A141" s="5"/>
      <c r="B141"/>
      <c r="C141"/>
      <c r="D141" s="3"/>
      <c r="E141" s="3"/>
      <c r="F141" s="3"/>
      <c r="G141" s="3"/>
      <c r="H141" s="3"/>
      <c r="I141" s="3"/>
      <c r="J141" s="3"/>
      <c r="K141" s="3"/>
      <c r="L141" s="3"/>
      <c r="M141" s="3"/>
      <c r="N141" s="9"/>
    </row>
    <row r="142" spans="1:14" s="7" customFormat="1">
      <c r="A142" s="5"/>
      <c r="B142"/>
      <c r="C142"/>
      <c r="D142" s="3"/>
      <c r="E142" s="3"/>
      <c r="F142" s="3"/>
      <c r="G142" s="3"/>
      <c r="H142" s="3"/>
      <c r="I142" s="3"/>
      <c r="J142" s="3"/>
      <c r="K142" s="3"/>
      <c r="L142" s="3"/>
      <c r="M142" s="3"/>
      <c r="N142" s="9"/>
    </row>
    <row r="143" spans="1:14" s="7" customFormat="1">
      <c r="A143" s="5"/>
      <c r="B143"/>
      <c r="C143"/>
      <c r="D143" s="3"/>
      <c r="E143" s="3"/>
      <c r="F143" s="3"/>
      <c r="G143" s="3"/>
      <c r="H143" s="3"/>
      <c r="I143" s="3"/>
      <c r="J143" s="3"/>
      <c r="K143" s="3"/>
      <c r="L143" s="3"/>
      <c r="M143" s="3"/>
      <c r="N143" s="9"/>
    </row>
    <row r="144" spans="1:14" s="7" customFormat="1">
      <c r="A144" s="5"/>
      <c r="B144"/>
      <c r="C144"/>
      <c r="D144" s="3"/>
      <c r="E144" s="3"/>
      <c r="F144" s="3"/>
      <c r="G144" s="3"/>
      <c r="H144" s="3"/>
      <c r="I144" s="3"/>
      <c r="J144" s="3"/>
      <c r="K144" s="3"/>
      <c r="L144" s="3"/>
      <c r="M144" s="3"/>
      <c r="N144" s="9"/>
    </row>
    <row r="145" spans="1:14" s="7" customFormat="1">
      <c r="A145" s="5"/>
      <c r="B145"/>
      <c r="C145"/>
      <c r="D145" s="3"/>
      <c r="E145" s="3"/>
      <c r="F145" s="3"/>
      <c r="G145" s="3"/>
      <c r="H145" s="3"/>
      <c r="I145" s="3"/>
      <c r="J145" s="3"/>
      <c r="K145" s="3"/>
      <c r="L145" s="3"/>
      <c r="M145" s="3"/>
      <c r="N145" s="9"/>
    </row>
    <row r="146" spans="1:14" s="7" customFormat="1">
      <c r="A146" s="5"/>
      <c r="B146"/>
      <c r="C146"/>
      <c r="D146" s="3"/>
      <c r="E146" s="3"/>
      <c r="F146" s="3"/>
      <c r="G146" s="3"/>
      <c r="H146" s="3"/>
      <c r="I146" s="3"/>
      <c r="J146" s="3"/>
      <c r="K146" s="3"/>
      <c r="L146" s="3"/>
      <c r="M146" s="3"/>
      <c r="N146" s="9"/>
    </row>
    <row r="147" spans="1:14" s="7" customFormat="1">
      <c r="A147" s="5"/>
      <c r="B147"/>
      <c r="C147"/>
      <c r="D147" s="3"/>
      <c r="E147" s="3"/>
      <c r="F147" s="3"/>
      <c r="G147" s="3"/>
      <c r="H147" s="3"/>
      <c r="I147" s="3"/>
      <c r="J147" s="3"/>
      <c r="K147" s="3"/>
      <c r="L147" s="3"/>
      <c r="M147" s="3"/>
      <c r="N147" s="9"/>
    </row>
    <row r="148" spans="1:14" s="7" customFormat="1">
      <c r="A148" s="5"/>
      <c r="B148"/>
      <c r="C148"/>
      <c r="D148" s="3"/>
      <c r="E148" s="3"/>
      <c r="F148" s="3"/>
      <c r="G148" s="3"/>
      <c r="H148" s="3"/>
      <c r="I148" s="3"/>
      <c r="J148" s="3"/>
      <c r="K148" s="3"/>
      <c r="L148" s="3"/>
      <c r="M148" s="3"/>
      <c r="N148" s="9"/>
    </row>
    <row r="149" spans="1:14" s="7" customFormat="1">
      <c r="A149" s="5"/>
      <c r="B149"/>
      <c r="C149"/>
      <c r="D149" s="3"/>
      <c r="E149" s="3"/>
      <c r="F149" s="3"/>
      <c r="G149" s="3"/>
      <c r="H149" s="3"/>
      <c r="I149" s="3"/>
      <c r="J149" s="3"/>
      <c r="K149" s="3"/>
      <c r="L149" s="3"/>
      <c r="M149" s="3"/>
      <c r="N149" s="9"/>
    </row>
    <row r="150" spans="1:14" s="7" customFormat="1">
      <c r="A150" s="5"/>
      <c r="B150"/>
      <c r="C150"/>
      <c r="D150" s="3"/>
      <c r="E150" s="3"/>
      <c r="F150" s="3"/>
      <c r="G150" s="3"/>
      <c r="H150" s="3"/>
      <c r="I150" s="3"/>
      <c r="J150" s="3"/>
      <c r="K150" s="3"/>
      <c r="L150" s="3"/>
      <c r="M150" s="3"/>
      <c r="N150" s="9"/>
    </row>
    <row r="151" spans="1:14" s="7" customFormat="1">
      <c r="A151" s="5"/>
      <c r="B151"/>
      <c r="C151"/>
      <c r="D151" s="3"/>
      <c r="E151" s="3"/>
      <c r="F151" s="3"/>
      <c r="G151" s="3"/>
      <c r="H151" s="3"/>
      <c r="I151" s="3"/>
      <c r="J151" s="3"/>
      <c r="K151" s="3"/>
      <c r="L151" s="3"/>
      <c r="M151" s="3"/>
      <c r="N151" s="9"/>
    </row>
    <row r="152" spans="1:14" s="7" customFormat="1">
      <c r="A152" s="5"/>
      <c r="B152"/>
      <c r="C152"/>
      <c r="D152" s="3"/>
      <c r="E152" s="3"/>
      <c r="F152" s="3"/>
      <c r="G152" s="3"/>
      <c r="H152" s="3"/>
      <c r="I152" s="3"/>
      <c r="J152" s="3"/>
      <c r="K152" s="3"/>
      <c r="L152" s="3"/>
      <c r="M152" s="3"/>
      <c r="N152" s="9"/>
    </row>
    <row r="153" spans="1:14" s="7" customFormat="1">
      <c r="A153" s="5"/>
      <c r="B153"/>
      <c r="C153"/>
      <c r="D153" s="3"/>
      <c r="E153" s="3"/>
      <c r="F153" s="3"/>
      <c r="G153" s="3"/>
      <c r="H153" s="3"/>
      <c r="I153" s="3"/>
      <c r="J153" s="3"/>
      <c r="K153" s="3"/>
      <c r="L153" s="3"/>
      <c r="M153" s="3"/>
      <c r="N153" s="9"/>
    </row>
    <row r="154" spans="1:14" s="7" customFormat="1">
      <c r="A154" s="5"/>
      <c r="B154"/>
      <c r="C154"/>
      <c r="D154" s="3"/>
      <c r="E154" s="3"/>
      <c r="F154" s="3"/>
      <c r="G154" s="3"/>
      <c r="H154" s="3"/>
      <c r="I154" s="3"/>
      <c r="J154" s="3"/>
      <c r="K154" s="3"/>
      <c r="L154" s="3"/>
      <c r="M154" s="3"/>
      <c r="N154" s="9"/>
    </row>
    <row r="155" spans="1:14" s="7" customFormat="1">
      <c r="A155" s="5"/>
      <c r="B155"/>
      <c r="C155"/>
      <c r="D155" s="3"/>
      <c r="E155" s="3"/>
      <c r="F155" s="3"/>
      <c r="G155" s="3"/>
      <c r="H155" s="3"/>
      <c r="I155" s="3"/>
      <c r="J155" s="3"/>
      <c r="K155" s="3"/>
      <c r="L155" s="3"/>
      <c r="M155" s="3"/>
      <c r="N155" s="9"/>
    </row>
    <row r="156" spans="1:14" s="7" customFormat="1">
      <c r="A156" s="5"/>
      <c r="B156"/>
      <c r="C156"/>
      <c r="D156" s="3"/>
      <c r="E156" s="3"/>
      <c r="F156" s="3"/>
      <c r="G156" s="3"/>
      <c r="H156" s="3"/>
      <c r="I156" s="3"/>
      <c r="J156" s="3"/>
      <c r="K156" s="3"/>
      <c r="L156" s="3"/>
      <c r="M156" s="3"/>
      <c r="N156" s="9"/>
    </row>
    <row r="157" spans="1:14" s="7" customFormat="1">
      <c r="A157" s="5"/>
      <c r="B157"/>
      <c r="C157"/>
      <c r="D157" s="3"/>
      <c r="E157" s="3"/>
      <c r="F157" s="3"/>
      <c r="G157" s="3"/>
      <c r="H157" s="3"/>
      <c r="I157" s="3"/>
      <c r="J157" s="3"/>
      <c r="K157" s="3"/>
      <c r="L157" s="3"/>
      <c r="M157" s="3"/>
      <c r="N157" s="9"/>
    </row>
    <row r="158" spans="1:14" s="7" customFormat="1">
      <c r="A158" s="5"/>
      <c r="B158"/>
      <c r="C158"/>
      <c r="D158" s="3"/>
      <c r="E158" s="3"/>
      <c r="F158" s="3"/>
      <c r="G158" s="3"/>
      <c r="H158" s="3"/>
      <c r="I158" s="3"/>
      <c r="J158" s="3"/>
      <c r="K158" s="3"/>
      <c r="L158" s="3"/>
      <c r="M158" s="3"/>
      <c r="N158" s="9"/>
    </row>
    <row r="159" spans="1:14" s="7" customFormat="1">
      <c r="A159" s="5"/>
      <c r="B159"/>
      <c r="C159"/>
      <c r="D159" s="3"/>
      <c r="E159" s="3"/>
      <c r="F159" s="3"/>
      <c r="G159" s="3"/>
      <c r="H159" s="3"/>
      <c r="I159" s="3"/>
      <c r="J159" s="3"/>
      <c r="K159" s="3"/>
      <c r="L159" s="3"/>
      <c r="M159" s="3"/>
      <c r="N159" s="9"/>
    </row>
    <row r="160" spans="1:14" s="7" customFormat="1">
      <c r="A160" s="5"/>
      <c r="B160"/>
      <c r="C160"/>
      <c r="D160" s="3"/>
      <c r="E160" s="3"/>
      <c r="F160" s="3"/>
      <c r="G160" s="3"/>
      <c r="H160" s="3"/>
      <c r="I160" s="3"/>
      <c r="J160" s="3"/>
      <c r="K160" s="3"/>
      <c r="L160" s="3"/>
      <c r="M160" s="3"/>
      <c r="N160" s="9"/>
    </row>
    <row r="161" spans="1:14" s="7" customFormat="1">
      <c r="A161" s="5"/>
      <c r="B161"/>
      <c r="C161"/>
      <c r="D161" s="3"/>
      <c r="E161" s="3"/>
      <c r="F161" s="3"/>
      <c r="G161" s="3"/>
      <c r="H161" s="3"/>
      <c r="I161" s="3"/>
      <c r="J161" s="3"/>
      <c r="K161" s="3"/>
      <c r="L161" s="3"/>
      <c r="M161" s="3"/>
      <c r="N161" s="9"/>
    </row>
    <row r="162" spans="1:14" s="7" customFormat="1">
      <c r="A162" s="5"/>
      <c r="B162"/>
      <c r="C162"/>
      <c r="D162" s="3"/>
      <c r="E162" s="3"/>
      <c r="F162" s="3"/>
      <c r="G162" s="3"/>
      <c r="H162" s="3"/>
      <c r="I162" s="3"/>
      <c r="J162" s="3"/>
      <c r="K162" s="3"/>
      <c r="L162" s="3"/>
      <c r="M162" s="3"/>
      <c r="N162" s="9"/>
    </row>
    <row r="163" spans="1:14" s="7" customFormat="1">
      <c r="A163" s="5"/>
      <c r="B163"/>
      <c r="C163"/>
      <c r="D163" s="3"/>
      <c r="E163" s="3"/>
      <c r="F163" s="3"/>
      <c r="G163" s="3"/>
      <c r="H163" s="3"/>
      <c r="I163" s="3"/>
      <c r="J163" s="3"/>
      <c r="K163" s="3"/>
      <c r="L163" s="3"/>
      <c r="M163" s="3"/>
      <c r="N163" s="9"/>
    </row>
    <row r="164" spans="1:14" s="7" customFormat="1">
      <c r="A164" s="5"/>
      <c r="B164"/>
      <c r="C164"/>
      <c r="D164" s="3"/>
      <c r="E164" s="3"/>
      <c r="F164" s="3"/>
      <c r="G164" s="3"/>
      <c r="H164" s="3"/>
      <c r="I164" s="3"/>
      <c r="J164" s="3"/>
      <c r="K164" s="3"/>
      <c r="L164" s="3"/>
      <c r="M164" s="3"/>
      <c r="N164" s="9"/>
    </row>
    <row r="165" spans="1:14" s="7" customFormat="1">
      <c r="A165" s="5"/>
      <c r="B165"/>
      <c r="C165"/>
      <c r="D165" s="3"/>
      <c r="E165" s="3"/>
      <c r="F165" s="3"/>
      <c r="G165" s="3"/>
      <c r="H165" s="3"/>
      <c r="I165" s="3"/>
      <c r="J165" s="3"/>
      <c r="K165" s="3"/>
      <c r="L165" s="3"/>
      <c r="M165" s="3"/>
      <c r="N165" s="9"/>
    </row>
    <row r="166" spans="1:14" s="7" customFormat="1">
      <c r="A166" s="5"/>
      <c r="B166"/>
      <c r="C166"/>
      <c r="D166" s="3"/>
      <c r="E166" s="3"/>
      <c r="F166" s="3"/>
      <c r="G166" s="3"/>
      <c r="H166" s="3"/>
      <c r="I166" s="3"/>
      <c r="J166" s="3"/>
      <c r="K166" s="3"/>
      <c r="L166" s="3"/>
      <c r="M166" s="3"/>
      <c r="N166" s="9"/>
    </row>
    <row r="167" spans="1:14" s="7" customFormat="1">
      <c r="A167" s="5"/>
      <c r="B167"/>
      <c r="C167"/>
      <c r="D167" s="3"/>
      <c r="E167" s="3"/>
      <c r="F167" s="3"/>
      <c r="G167" s="3"/>
      <c r="H167" s="3"/>
      <c r="I167" s="3"/>
      <c r="J167" s="3"/>
      <c r="K167" s="3"/>
      <c r="L167" s="3"/>
      <c r="M167" s="3"/>
      <c r="N167" s="9"/>
    </row>
    <row r="168" spans="1:14" s="7" customFormat="1">
      <c r="A168" s="5"/>
      <c r="B168"/>
      <c r="C168"/>
      <c r="D168" s="3"/>
      <c r="E168" s="3"/>
      <c r="F168" s="3"/>
      <c r="G168" s="3"/>
      <c r="H168" s="3"/>
      <c r="I168" s="3"/>
      <c r="J168" s="3"/>
      <c r="K168" s="3"/>
      <c r="L168" s="3"/>
      <c r="M168" s="3"/>
      <c r="N168" s="9"/>
    </row>
    <row r="169" spans="1:14" s="7" customFormat="1">
      <c r="A169" s="5"/>
      <c r="B169"/>
      <c r="C169"/>
      <c r="D169" s="3"/>
      <c r="E169" s="3"/>
      <c r="F169" s="3"/>
      <c r="G169" s="3"/>
      <c r="H169" s="3"/>
      <c r="I169" s="3"/>
      <c r="J169" s="3"/>
      <c r="K169" s="3"/>
      <c r="L169" s="3"/>
      <c r="M169" s="3"/>
      <c r="N169" s="9"/>
    </row>
    <row r="170" spans="1:14" s="7" customFormat="1">
      <c r="A170" s="5"/>
      <c r="B170"/>
      <c r="C170"/>
      <c r="D170" s="3"/>
      <c r="E170" s="3"/>
      <c r="F170" s="3"/>
      <c r="G170" s="3"/>
      <c r="H170" s="3"/>
      <c r="I170" s="3"/>
      <c r="J170" s="3"/>
      <c r="K170" s="3"/>
      <c r="L170" s="3"/>
      <c r="M170" s="3"/>
      <c r="N170" s="9"/>
    </row>
    <row r="171" spans="1:14" s="7" customFormat="1">
      <c r="A171" s="5"/>
      <c r="B171"/>
      <c r="C171"/>
      <c r="D171" s="3"/>
      <c r="E171" s="3"/>
      <c r="F171" s="3"/>
      <c r="G171" s="3"/>
      <c r="H171" s="3"/>
      <c r="I171" s="3"/>
      <c r="J171" s="3"/>
      <c r="K171" s="3"/>
      <c r="L171" s="3"/>
      <c r="M171" s="3"/>
      <c r="N171" s="9"/>
    </row>
    <row r="172" spans="1:14" s="7" customFormat="1">
      <c r="A172" s="5"/>
      <c r="B172"/>
      <c r="C172"/>
      <c r="D172" s="3"/>
      <c r="E172" s="3"/>
      <c r="F172" s="3"/>
      <c r="G172" s="3"/>
      <c r="H172" s="3"/>
      <c r="I172" s="3"/>
      <c r="J172" s="3"/>
      <c r="K172" s="3"/>
      <c r="L172" s="3"/>
      <c r="M172" s="3"/>
      <c r="N172" s="9"/>
    </row>
    <row r="173" spans="1:14" s="7" customFormat="1">
      <c r="A173" s="5"/>
      <c r="B173"/>
      <c r="C173"/>
      <c r="D173" s="3"/>
      <c r="E173" s="3"/>
      <c r="F173" s="3"/>
      <c r="G173" s="3"/>
      <c r="H173" s="3"/>
      <c r="I173" s="3"/>
      <c r="J173" s="3"/>
      <c r="K173" s="3"/>
      <c r="L173" s="3"/>
      <c r="M173" s="3"/>
      <c r="N173" s="9"/>
    </row>
    <row r="174" spans="1:14" s="7" customFormat="1">
      <c r="A174" s="5"/>
      <c r="B174"/>
      <c r="C174"/>
      <c r="D174" s="3"/>
      <c r="E174" s="3"/>
      <c r="F174" s="3"/>
      <c r="G174" s="3"/>
      <c r="H174" s="3"/>
      <c r="I174" s="3"/>
      <c r="J174" s="3"/>
      <c r="K174" s="3"/>
      <c r="L174" s="3"/>
      <c r="M174" s="3"/>
      <c r="N174" s="9"/>
    </row>
    <row r="175" spans="1:14" s="7" customFormat="1">
      <c r="A175" s="5"/>
      <c r="B175"/>
      <c r="C175"/>
      <c r="D175" s="3"/>
      <c r="E175" s="3"/>
      <c r="F175" s="3"/>
      <c r="G175" s="3"/>
      <c r="H175" s="3"/>
      <c r="I175" s="3"/>
      <c r="J175" s="3"/>
      <c r="K175" s="3"/>
      <c r="L175" s="3"/>
      <c r="M175" s="3"/>
      <c r="N175" s="9"/>
    </row>
    <row r="176" spans="1:14" s="7" customFormat="1">
      <c r="A176" s="5"/>
      <c r="B176"/>
      <c r="C176"/>
      <c r="D176" s="3"/>
      <c r="E176" s="3"/>
      <c r="F176" s="3"/>
      <c r="G176" s="3"/>
      <c r="H176" s="3"/>
      <c r="I176" s="3"/>
      <c r="J176" s="3"/>
      <c r="K176" s="3"/>
      <c r="L176" s="3"/>
      <c r="M176" s="3"/>
      <c r="N176" s="9"/>
    </row>
    <row r="177" spans="1:14" s="7" customFormat="1">
      <c r="A177" s="5"/>
      <c r="B177"/>
      <c r="C177"/>
      <c r="D177" s="3"/>
      <c r="E177" s="3"/>
      <c r="F177" s="3"/>
      <c r="G177" s="3"/>
      <c r="H177" s="3"/>
      <c r="I177" s="3"/>
      <c r="J177" s="3"/>
      <c r="K177" s="3"/>
      <c r="L177" s="3"/>
      <c r="M177" s="3"/>
      <c r="N177" s="9"/>
    </row>
    <row r="178" spans="1:14" s="7" customFormat="1">
      <c r="A178" s="5"/>
      <c r="B178"/>
      <c r="C178"/>
      <c r="D178" s="3"/>
      <c r="E178" s="3"/>
      <c r="F178" s="3"/>
      <c r="G178" s="3"/>
      <c r="H178" s="3"/>
      <c r="I178" s="3"/>
      <c r="J178" s="3"/>
      <c r="K178" s="3"/>
      <c r="L178" s="3"/>
      <c r="M178" s="3"/>
      <c r="N178" s="9"/>
    </row>
    <row r="179" spans="1:14" s="7" customFormat="1">
      <c r="A179" s="5"/>
      <c r="B179"/>
      <c r="C179"/>
      <c r="D179" s="3"/>
      <c r="E179" s="3"/>
      <c r="F179" s="3"/>
      <c r="G179" s="3"/>
      <c r="H179" s="3"/>
      <c r="I179" s="3"/>
      <c r="J179" s="3"/>
      <c r="K179" s="3"/>
      <c r="L179" s="3"/>
      <c r="M179" s="3"/>
      <c r="N179" s="9"/>
    </row>
    <row r="180" spans="1:14" s="7" customFormat="1">
      <c r="A180" s="5"/>
      <c r="B180"/>
      <c r="C180"/>
      <c r="D180" s="3"/>
      <c r="E180" s="3"/>
      <c r="F180" s="3"/>
      <c r="G180" s="3"/>
      <c r="H180" s="3"/>
      <c r="I180" s="3"/>
      <c r="J180" s="3"/>
      <c r="K180" s="3"/>
      <c r="L180" s="3"/>
      <c r="M180" s="3"/>
      <c r="N180" s="9"/>
    </row>
    <row r="181" spans="1:14" s="7" customFormat="1">
      <c r="A181" s="5"/>
      <c r="B181"/>
      <c r="C181"/>
      <c r="D181" s="3"/>
      <c r="E181" s="3"/>
      <c r="F181" s="3"/>
      <c r="G181" s="3"/>
      <c r="H181" s="3"/>
      <c r="I181" s="3"/>
      <c r="J181" s="3"/>
      <c r="K181" s="3"/>
      <c r="L181" s="3"/>
      <c r="M181" s="3"/>
      <c r="N181" s="9"/>
    </row>
    <row r="182" spans="1:14" s="7" customFormat="1">
      <c r="A182" s="5"/>
      <c r="B182"/>
      <c r="C182"/>
      <c r="D182" s="3"/>
      <c r="E182" s="3"/>
      <c r="F182" s="3"/>
      <c r="G182" s="3"/>
      <c r="H182" s="3"/>
      <c r="I182" s="3"/>
      <c r="J182" s="3"/>
      <c r="K182" s="3"/>
      <c r="L182" s="3"/>
      <c r="M182" s="3"/>
      <c r="N182" s="9"/>
    </row>
    <row r="183" spans="1:14" s="7" customFormat="1">
      <c r="A183" s="5"/>
      <c r="B183"/>
      <c r="C183"/>
      <c r="D183" s="3"/>
      <c r="E183" s="3"/>
      <c r="F183" s="3"/>
      <c r="G183" s="3"/>
      <c r="H183" s="3"/>
      <c r="I183" s="3"/>
      <c r="J183" s="3"/>
      <c r="K183" s="3"/>
      <c r="L183" s="3"/>
      <c r="M183" s="3"/>
      <c r="N183" s="9"/>
    </row>
    <row r="184" spans="1:14" s="7" customFormat="1">
      <c r="A184" s="5"/>
      <c r="B184"/>
      <c r="C184"/>
      <c r="D184" s="3"/>
      <c r="E184" s="3"/>
      <c r="F184" s="3"/>
      <c r="G184" s="3"/>
      <c r="H184" s="3"/>
      <c r="I184" s="3"/>
      <c r="J184" s="3"/>
      <c r="K184" s="3"/>
      <c r="L184" s="3"/>
      <c r="M184" s="3"/>
      <c r="N184" s="9"/>
    </row>
    <row r="185" spans="1:14" s="7" customFormat="1">
      <c r="A185" s="5"/>
      <c r="B185"/>
      <c r="C185"/>
      <c r="D185" s="3"/>
      <c r="E185" s="3"/>
      <c r="F185" s="3"/>
      <c r="G185" s="3"/>
      <c r="H185" s="3"/>
      <c r="I185" s="3"/>
      <c r="J185" s="3"/>
      <c r="K185" s="3"/>
      <c r="L185" s="3"/>
      <c r="M185" s="3"/>
      <c r="N185" s="9"/>
    </row>
    <row r="186" spans="1:14" s="7" customFormat="1">
      <c r="A186" s="5"/>
      <c r="B186"/>
      <c r="C186"/>
      <c r="D186" s="3"/>
      <c r="E186" s="3"/>
      <c r="F186" s="3"/>
      <c r="G186" s="3"/>
      <c r="H186" s="3"/>
      <c r="I186" s="3"/>
      <c r="J186" s="3"/>
      <c r="K186" s="3"/>
      <c r="L186" s="3"/>
      <c r="M186" s="3"/>
      <c r="N186" s="9"/>
    </row>
    <row r="187" spans="1:14" s="7" customFormat="1">
      <c r="A187" s="5"/>
      <c r="B187"/>
      <c r="C187"/>
      <c r="D187" s="3"/>
      <c r="E187" s="3"/>
      <c r="F187" s="3"/>
      <c r="G187" s="3"/>
      <c r="H187" s="3"/>
      <c r="I187" s="3"/>
      <c r="J187" s="3"/>
      <c r="K187" s="3"/>
      <c r="L187" s="3"/>
      <c r="M187" s="3"/>
      <c r="N187" s="9"/>
    </row>
    <row r="188" spans="1:14" s="7" customFormat="1">
      <c r="A188" s="5"/>
      <c r="B188"/>
      <c r="C188"/>
      <c r="D188" s="3"/>
      <c r="E188" s="3"/>
      <c r="F188" s="3"/>
      <c r="G188" s="3"/>
      <c r="H188" s="3"/>
      <c r="I188" s="3"/>
      <c r="J188" s="3"/>
      <c r="K188" s="3"/>
      <c r="L188" s="3"/>
      <c r="M188" s="3"/>
      <c r="N188" s="9"/>
    </row>
    <row r="189" spans="1:14" s="7" customFormat="1">
      <c r="A189" s="5"/>
      <c r="B189"/>
      <c r="C189"/>
      <c r="D189" s="3"/>
      <c r="E189" s="3"/>
      <c r="F189" s="3"/>
      <c r="G189" s="3"/>
      <c r="H189" s="3"/>
      <c r="I189" s="3"/>
      <c r="J189" s="3"/>
      <c r="K189" s="3"/>
      <c r="L189" s="3"/>
      <c r="M189" s="3"/>
      <c r="N189" s="9"/>
    </row>
    <row r="190" spans="1:14" s="7" customFormat="1">
      <c r="A190" s="5"/>
      <c r="B190"/>
      <c r="C190"/>
      <c r="D190" s="3"/>
      <c r="E190" s="3"/>
      <c r="F190" s="3"/>
      <c r="G190" s="3"/>
      <c r="H190" s="3"/>
      <c r="I190" s="3"/>
      <c r="J190" s="3"/>
      <c r="K190" s="3"/>
      <c r="L190" s="3"/>
      <c r="M190" s="3"/>
      <c r="N190" s="9"/>
    </row>
    <row r="191" spans="1:14" s="7" customFormat="1">
      <c r="A191" s="5"/>
      <c r="B191"/>
      <c r="C191"/>
      <c r="D191" s="3"/>
      <c r="E191" s="3"/>
      <c r="F191" s="3"/>
      <c r="G191" s="3"/>
      <c r="H191" s="3"/>
      <c r="I191" s="3"/>
      <c r="J191" s="3"/>
      <c r="K191" s="3"/>
      <c r="L191" s="3"/>
      <c r="M191" s="3"/>
      <c r="N191" s="9"/>
    </row>
    <row r="192" spans="1:14" s="7" customFormat="1">
      <c r="A192" s="5"/>
      <c r="B192"/>
      <c r="C192"/>
      <c r="D192" s="3"/>
      <c r="E192" s="3"/>
      <c r="F192" s="3"/>
      <c r="G192" s="3"/>
      <c r="H192" s="3"/>
      <c r="I192" s="3"/>
      <c r="J192" s="3"/>
      <c r="K192" s="3"/>
      <c r="L192" s="3"/>
      <c r="M192" s="3"/>
      <c r="N192" s="9"/>
    </row>
    <row r="193" spans="1:14" s="7" customFormat="1">
      <c r="A193" s="5"/>
      <c r="B193"/>
      <c r="C193"/>
      <c r="D193" s="3"/>
      <c r="E193" s="3"/>
      <c r="F193" s="3"/>
      <c r="G193" s="3"/>
      <c r="H193" s="3"/>
      <c r="I193" s="3"/>
      <c r="J193" s="3"/>
      <c r="K193" s="3"/>
      <c r="L193" s="3"/>
      <c r="M193" s="3"/>
      <c r="N193" s="9"/>
    </row>
    <row r="194" spans="1:14" s="7" customFormat="1">
      <c r="A194" s="5"/>
      <c r="B194"/>
      <c r="C194"/>
      <c r="D194" s="3"/>
      <c r="E194" s="3"/>
      <c r="F194" s="3"/>
      <c r="G194" s="3"/>
      <c r="H194" s="3"/>
      <c r="I194" s="3"/>
      <c r="J194" s="3"/>
      <c r="K194" s="3"/>
      <c r="L194" s="3"/>
      <c r="M194" s="3"/>
      <c r="N194" s="9"/>
    </row>
    <row r="195" spans="1:14" s="7" customFormat="1">
      <c r="A195" s="5"/>
      <c r="B195"/>
      <c r="C195"/>
      <c r="D195" s="3"/>
      <c r="E195" s="3"/>
      <c r="F195" s="3"/>
      <c r="G195" s="3"/>
      <c r="H195" s="3"/>
      <c r="I195" s="3"/>
      <c r="J195" s="3"/>
      <c r="K195" s="3"/>
      <c r="L195" s="3"/>
      <c r="M195" s="3"/>
      <c r="N195" s="9"/>
    </row>
    <row r="196" spans="1:14" s="7" customFormat="1">
      <c r="A196" s="5"/>
      <c r="B196"/>
      <c r="C196"/>
      <c r="D196" s="3"/>
      <c r="E196" s="3"/>
      <c r="F196" s="3"/>
      <c r="G196" s="3"/>
      <c r="H196" s="3"/>
      <c r="I196" s="3"/>
      <c r="J196" s="3"/>
      <c r="K196" s="3"/>
      <c r="L196" s="3"/>
      <c r="M196" s="3"/>
      <c r="N196" s="9"/>
    </row>
    <row r="197" spans="1:14" s="7" customFormat="1">
      <c r="A197" s="5"/>
      <c r="B197"/>
      <c r="C197"/>
      <c r="D197" s="3"/>
      <c r="E197" s="3"/>
      <c r="F197" s="3"/>
      <c r="G197" s="3"/>
      <c r="H197" s="3"/>
      <c r="I197" s="3"/>
      <c r="J197" s="3"/>
      <c r="K197" s="3"/>
      <c r="L197" s="3"/>
      <c r="M197" s="3"/>
      <c r="N197" s="9"/>
    </row>
    <row r="198" spans="1:14" s="7" customFormat="1">
      <c r="A198" s="5"/>
      <c r="B198"/>
      <c r="C198"/>
      <c r="D198" s="3"/>
      <c r="E198" s="3"/>
      <c r="F198" s="3"/>
      <c r="G198" s="3"/>
      <c r="H198" s="3"/>
      <c r="I198" s="3"/>
      <c r="J198" s="3"/>
      <c r="K198" s="3"/>
      <c r="L198" s="3"/>
      <c r="M198" s="3"/>
      <c r="N198" s="9"/>
    </row>
    <row r="199" spans="1:14" s="7" customFormat="1">
      <c r="A199" s="5"/>
      <c r="B199"/>
      <c r="C199"/>
      <c r="D199" s="3"/>
      <c r="E199" s="3"/>
      <c r="F199" s="3"/>
      <c r="G199" s="3"/>
      <c r="H199" s="3"/>
      <c r="I199" s="3"/>
      <c r="J199" s="3"/>
      <c r="K199" s="3"/>
      <c r="L199" s="3"/>
      <c r="M199" s="3"/>
      <c r="N199" s="9"/>
    </row>
    <row r="200" spans="1:14" s="7" customFormat="1">
      <c r="A200" s="5"/>
      <c r="B200"/>
      <c r="C200"/>
      <c r="D200" s="3"/>
      <c r="E200" s="3"/>
      <c r="F200" s="3"/>
      <c r="G200" s="3"/>
      <c r="H200" s="3"/>
      <c r="I200" s="3"/>
      <c r="J200" s="3"/>
      <c r="K200" s="3"/>
      <c r="L200" s="3"/>
      <c r="M200" s="3"/>
      <c r="N200" s="9"/>
    </row>
    <row r="201" spans="1:14" s="7" customFormat="1">
      <c r="A201" s="5"/>
      <c r="B201"/>
      <c r="C201"/>
      <c r="D201" s="3"/>
      <c r="E201" s="3"/>
      <c r="F201" s="3"/>
      <c r="G201" s="3"/>
      <c r="H201" s="3"/>
      <c r="I201" s="3"/>
      <c r="J201" s="3"/>
      <c r="K201" s="3"/>
      <c r="L201" s="3"/>
      <c r="M201" s="3"/>
      <c r="N201" s="9"/>
    </row>
    <row r="202" spans="1:14" s="7" customFormat="1">
      <c r="A202" s="5"/>
      <c r="B202"/>
      <c r="C202"/>
      <c r="D202" s="3"/>
      <c r="E202" s="3"/>
      <c r="F202" s="3"/>
      <c r="G202" s="3"/>
      <c r="H202" s="3"/>
      <c r="I202" s="3"/>
      <c r="J202" s="3"/>
      <c r="K202" s="3"/>
      <c r="L202" s="3"/>
      <c r="M202" s="3"/>
      <c r="N202" s="9"/>
    </row>
    <row r="203" spans="1:14" s="7" customFormat="1">
      <c r="A203" s="5"/>
      <c r="B203"/>
      <c r="C203"/>
      <c r="D203" s="3"/>
      <c r="E203" s="3"/>
      <c r="F203" s="3"/>
      <c r="G203" s="3"/>
      <c r="H203" s="3"/>
      <c r="I203" s="3"/>
      <c r="J203" s="3"/>
      <c r="K203" s="3"/>
      <c r="L203" s="3"/>
      <c r="M203" s="3"/>
      <c r="N203" s="9"/>
    </row>
    <row r="204" spans="1:14" s="7" customFormat="1">
      <c r="A204" s="5"/>
      <c r="B204"/>
      <c r="C204"/>
      <c r="D204" s="3"/>
      <c r="E204" s="3"/>
      <c r="F204" s="3"/>
      <c r="G204" s="3"/>
      <c r="H204" s="3"/>
      <c r="I204" s="3"/>
      <c r="J204" s="3"/>
      <c r="K204" s="3"/>
      <c r="L204" s="3"/>
      <c r="M204" s="3"/>
      <c r="N204" s="9"/>
    </row>
    <row r="205" spans="1:14" s="7" customFormat="1">
      <c r="A205" s="5"/>
      <c r="B205"/>
      <c r="C205"/>
      <c r="D205" s="3"/>
      <c r="E205" s="3"/>
      <c r="F205" s="3"/>
      <c r="G205" s="3"/>
      <c r="H205" s="3"/>
      <c r="I205" s="3"/>
      <c r="J205" s="3"/>
      <c r="K205" s="3"/>
      <c r="L205" s="3"/>
      <c r="M205" s="3"/>
      <c r="N205" s="9"/>
    </row>
    <row r="206" spans="1:14" s="7" customFormat="1">
      <c r="A206" s="5"/>
      <c r="B206"/>
      <c r="C206"/>
      <c r="D206" s="3"/>
      <c r="E206" s="3"/>
      <c r="F206" s="3"/>
      <c r="G206" s="3"/>
      <c r="H206" s="3"/>
      <c r="I206" s="3"/>
      <c r="J206" s="3"/>
      <c r="K206" s="3"/>
      <c r="L206" s="3"/>
      <c r="M206" s="3"/>
      <c r="N206" s="9"/>
    </row>
    <row r="207" spans="1:14" s="7" customFormat="1">
      <c r="A207" s="5"/>
      <c r="B207"/>
      <c r="C207"/>
      <c r="D207" s="3"/>
      <c r="E207" s="3"/>
      <c r="F207" s="3"/>
      <c r="G207" s="3"/>
      <c r="H207" s="3"/>
      <c r="I207" s="3"/>
      <c r="J207" s="3"/>
      <c r="K207" s="3"/>
      <c r="L207" s="3"/>
      <c r="M207" s="3"/>
      <c r="N207" s="9"/>
    </row>
    <row r="208" spans="1:14" s="7" customFormat="1">
      <c r="A208" s="5"/>
      <c r="B208"/>
      <c r="C208"/>
      <c r="D208" s="3"/>
      <c r="E208" s="3"/>
      <c r="F208" s="3"/>
      <c r="G208" s="3"/>
      <c r="H208" s="3"/>
      <c r="I208" s="3"/>
      <c r="J208" s="3"/>
      <c r="K208" s="3"/>
      <c r="L208" s="3"/>
      <c r="M208" s="3"/>
      <c r="N208" s="9"/>
    </row>
    <row r="209" spans="1:14" s="7" customFormat="1">
      <c r="A209" s="5"/>
      <c r="B209"/>
      <c r="C209"/>
      <c r="D209" s="3"/>
      <c r="E209" s="3"/>
      <c r="F209" s="3"/>
      <c r="G209" s="3"/>
      <c r="H209" s="3"/>
      <c r="I209" s="3"/>
      <c r="J209" s="3"/>
      <c r="K209" s="3"/>
      <c r="L209" s="3"/>
      <c r="M209" s="3"/>
      <c r="N209" s="9"/>
    </row>
    <row r="210" spans="1:14" s="7" customFormat="1">
      <c r="A210" s="5"/>
      <c r="B210"/>
      <c r="C210"/>
      <c r="D210" s="3"/>
      <c r="E210" s="3"/>
      <c r="F210" s="3"/>
      <c r="G210" s="3"/>
      <c r="H210" s="3"/>
      <c r="I210" s="3"/>
      <c r="J210" s="3"/>
      <c r="K210" s="3"/>
      <c r="L210" s="3"/>
      <c r="M210" s="3"/>
      <c r="N210" s="9"/>
    </row>
    <row r="211" spans="1:14" s="7" customFormat="1">
      <c r="A211" s="5"/>
      <c r="B211"/>
      <c r="C211"/>
      <c r="D211" s="3"/>
      <c r="E211" s="3"/>
      <c r="F211" s="3"/>
      <c r="G211" s="3"/>
      <c r="H211" s="3"/>
      <c r="I211" s="3"/>
      <c r="J211" s="3"/>
      <c r="K211" s="3"/>
      <c r="L211" s="3"/>
      <c r="M211" s="3"/>
      <c r="N211" s="9"/>
    </row>
    <row r="212" spans="1:14" s="7" customFormat="1">
      <c r="A212" s="5"/>
      <c r="B212"/>
      <c r="C212"/>
      <c r="D212" s="3"/>
      <c r="E212" s="3"/>
      <c r="F212" s="3"/>
      <c r="G212" s="3"/>
      <c r="H212" s="3"/>
      <c r="I212" s="3"/>
      <c r="J212" s="3"/>
      <c r="K212" s="3"/>
      <c r="L212" s="3"/>
      <c r="M212" s="3"/>
      <c r="N212" s="9"/>
    </row>
    <row r="213" spans="1:14" s="7" customFormat="1">
      <c r="A213" s="5"/>
      <c r="B213"/>
      <c r="C213"/>
      <c r="D213" s="3"/>
      <c r="E213" s="3"/>
      <c r="F213" s="3"/>
      <c r="G213" s="3"/>
      <c r="H213" s="3"/>
      <c r="I213" s="3"/>
      <c r="J213" s="3"/>
      <c r="K213" s="3"/>
      <c r="L213" s="3"/>
      <c r="M213" s="3"/>
      <c r="N213" s="9"/>
    </row>
    <row r="214" spans="1:14" s="7" customFormat="1">
      <c r="A214" s="5"/>
      <c r="B214"/>
      <c r="C214"/>
      <c r="D214" s="3"/>
      <c r="E214" s="3"/>
      <c r="F214" s="3"/>
      <c r="G214" s="3"/>
      <c r="H214" s="3"/>
      <c r="I214" s="3"/>
      <c r="J214" s="3"/>
      <c r="K214" s="3"/>
      <c r="L214" s="3"/>
      <c r="M214" s="3"/>
      <c r="N214" s="9"/>
    </row>
    <row r="215" spans="1:14" s="7" customFormat="1">
      <c r="A215" s="5"/>
      <c r="B215"/>
      <c r="C215"/>
      <c r="D215" s="3"/>
      <c r="E215" s="3"/>
      <c r="F215" s="3"/>
      <c r="G215" s="3"/>
      <c r="H215" s="3"/>
      <c r="I215" s="3"/>
      <c r="J215" s="3"/>
      <c r="K215" s="3"/>
      <c r="L215" s="3"/>
      <c r="M215" s="3"/>
      <c r="N215" s="9"/>
    </row>
    <row r="216" spans="1:14" s="7" customFormat="1">
      <c r="A216" s="5"/>
      <c r="B216"/>
      <c r="C216"/>
      <c r="D216" s="3"/>
      <c r="E216" s="3"/>
      <c r="F216" s="3"/>
      <c r="G216" s="3"/>
      <c r="H216" s="3"/>
      <c r="I216" s="3"/>
      <c r="J216" s="3"/>
      <c r="K216" s="3"/>
      <c r="L216" s="3"/>
      <c r="M216" s="3"/>
      <c r="N216" s="9"/>
    </row>
    <row r="217" spans="1:14" s="7" customFormat="1">
      <c r="A217" s="5"/>
      <c r="B217"/>
      <c r="C217"/>
      <c r="D217" s="3"/>
      <c r="E217" s="3"/>
      <c r="F217" s="3"/>
      <c r="G217" s="3"/>
      <c r="H217" s="3"/>
      <c r="I217" s="3"/>
      <c r="J217" s="3"/>
      <c r="K217" s="3"/>
      <c r="L217" s="3"/>
      <c r="M217" s="3"/>
      <c r="N217" s="9"/>
    </row>
    <row r="218" spans="1:14" s="7" customFormat="1">
      <c r="A218" s="5"/>
      <c r="B218"/>
      <c r="C218"/>
      <c r="D218" s="3"/>
      <c r="E218" s="3"/>
      <c r="F218" s="3"/>
      <c r="G218" s="3"/>
      <c r="H218" s="3"/>
      <c r="I218" s="3"/>
      <c r="J218" s="3"/>
      <c r="K218" s="3"/>
      <c r="L218" s="3"/>
      <c r="M218" s="3"/>
      <c r="N218" s="9"/>
    </row>
    <row r="219" spans="1:14" s="7" customFormat="1">
      <c r="A219" s="5"/>
      <c r="B219"/>
      <c r="C219"/>
      <c r="D219" s="3"/>
      <c r="E219" s="3"/>
      <c r="F219" s="3"/>
      <c r="G219" s="3"/>
      <c r="H219" s="3"/>
      <c r="I219" s="3"/>
      <c r="J219" s="3"/>
      <c r="K219" s="3"/>
      <c r="L219" s="3"/>
      <c r="M219" s="3"/>
      <c r="N219" s="9"/>
    </row>
    <row r="220" spans="1:14" s="7" customFormat="1">
      <c r="A220" s="5"/>
      <c r="B220"/>
      <c r="C220"/>
      <c r="D220" s="3"/>
      <c r="E220" s="3"/>
      <c r="F220" s="3"/>
      <c r="G220" s="3"/>
      <c r="H220" s="3"/>
      <c r="I220" s="3"/>
      <c r="J220" s="3"/>
      <c r="K220" s="3"/>
      <c r="L220" s="3"/>
      <c r="M220" s="3"/>
      <c r="N220" s="9"/>
    </row>
    <row r="221" spans="1:14" s="7" customFormat="1">
      <c r="A221" s="5"/>
      <c r="B221"/>
      <c r="C221"/>
      <c r="D221" s="3"/>
      <c r="E221" s="3"/>
      <c r="F221" s="3"/>
      <c r="G221" s="3"/>
      <c r="H221" s="3"/>
      <c r="I221" s="3"/>
      <c r="J221" s="3"/>
      <c r="K221" s="3"/>
      <c r="L221" s="3"/>
      <c r="M221" s="3"/>
      <c r="N221" s="9"/>
    </row>
    <row r="222" spans="1:14" s="7" customFormat="1">
      <c r="A222" s="5"/>
      <c r="B222"/>
      <c r="C222"/>
      <c r="D222" s="3"/>
      <c r="E222" s="3"/>
      <c r="F222" s="3"/>
      <c r="G222" s="3"/>
      <c r="H222" s="3"/>
      <c r="I222" s="3"/>
      <c r="J222" s="3"/>
      <c r="K222" s="3"/>
      <c r="L222" s="3"/>
      <c r="M222" s="3"/>
      <c r="N222" s="9"/>
    </row>
    <row r="223" spans="1:14" s="7" customFormat="1">
      <c r="A223" s="5"/>
      <c r="B223"/>
      <c r="C223"/>
      <c r="D223" s="3"/>
      <c r="E223" s="3"/>
      <c r="F223" s="3"/>
      <c r="G223" s="3"/>
      <c r="H223" s="3"/>
      <c r="I223" s="3"/>
      <c r="J223" s="3"/>
      <c r="K223" s="3"/>
      <c r="L223" s="3"/>
      <c r="M223" s="3"/>
      <c r="N223" s="9"/>
    </row>
    <row r="224" spans="1:14" s="7" customFormat="1">
      <c r="A224" s="5"/>
      <c r="B224"/>
      <c r="C224"/>
      <c r="D224" s="3"/>
      <c r="E224" s="3"/>
      <c r="F224" s="3"/>
      <c r="G224" s="3"/>
      <c r="H224" s="3"/>
      <c r="I224" s="3"/>
      <c r="J224" s="3"/>
      <c r="K224" s="3"/>
      <c r="L224" s="3"/>
      <c r="M224" s="3"/>
      <c r="N224" s="9"/>
    </row>
    <row r="225" spans="1:14" s="7" customFormat="1">
      <c r="A225" s="5"/>
      <c r="B225"/>
      <c r="C225"/>
      <c r="D225" s="3"/>
      <c r="E225" s="3"/>
      <c r="F225" s="3"/>
      <c r="G225" s="3"/>
      <c r="H225" s="3"/>
      <c r="I225" s="3"/>
      <c r="J225" s="3"/>
      <c r="K225" s="3"/>
      <c r="L225" s="3"/>
      <c r="M225" s="3"/>
      <c r="N225" s="9"/>
    </row>
    <row r="226" spans="1:14" s="7" customFormat="1">
      <c r="A226" s="5"/>
      <c r="B226"/>
      <c r="C226"/>
      <c r="D226" s="3"/>
      <c r="E226" s="3"/>
      <c r="F226" s="3"/>
      <c r="G226" s="3"/>
      <c r="H226" s="3"/>
      <c r="I226" s="3"/>
      <c r="J226" s="3"/>
      <c r="K226" s="3"/>
      <c r="L226" s="3"/>
      <c r="M226" s="3"/>
      <c r="N226" s="9"/>
    </row>
    <row r="227" spans="1:14" s="7" customFormat="1">
      <c r="A227" s="5"/>
      <c r="B227"/>
      <c r="C227"/>
      <c r="D227" s="3"/>
      <c r="E227" s="3"/>
      <c r="F227" s="3"/>
      <c r="G227" s="3"/>
      <c r="H227" s="3"/>
      <c r="I227" s="3"/>
      <c r="J227" s="3"/>
      <c r="K227" s="3"/>
      <c r="L227" s="3"/>
      <c r="M227" s="3"/>
      <c r="N227" s="9"/>
    </row>
    <row r="228" spans="1:14" s="7" customFormat="1">
      <c r="A228" s="5"/>
      <c r="B228"/>
      <c r="C228"/>
      <c r="D228" s="3"/>
      <c r="E228" s="3"/>
      <c r="F228" s="3"/>
      <c r="G228" s="3"/>
      <c r="H228" s="3"/>
      <c r="I228" s="3"/>
      <c r="J228" s="3"/>
      <c r="K228" s="3"/>
      <c r="L228" s="3"/>
      <c r="M228" s="3"/>
      <c r="N228" s="9"/>
    </row>
    <row r="229" spans="1:14" s="7" customFormat="1">
      <c r="A229" s="5"/>
      <c r="B229"/>
      <c r="C229"/>
      <c r="D229" s="3"/>
      <c r="E229" s="3"/>
      <c r="F229" s="3"/>
      <c r="G229" s="3"/>
      <c r="H229" s="3"/>
      <c r="I229" s="3"/>
      <c r="J229" s="3"/>
      <c r="K229" s="3"/>
      <c r="L229" s="3"/>
      <c r="M229" s="3"/>
      <c r="N229" s="9"/>
    </row>
    <row r="230" spans="1:14" s="7" customFormat="1">
      <c r="A230" s="5"/>
      <c r="B230"/>
      <c r="C230"/>
      <c r="D230" s="3"/>
      <c r="E230" s="3"/>
      <c r="F230" s="3"/>
      <c r="G230" s="3"/>
      <c r="H230" s="3"/>
      <c r="I230" s="3"/>
      <c r="J230" s="3"/>
      <c r="K230" s="3"/>
      <c r="L230" s="3"/>
      <c r="M230" s="3"/>
      <c r="N230" s="9"/>
    </row>
    <row r="231" spans="1:14" s="7" customFormat="1">
      <c r="A231" s="5"/>
      <c r="B231"/>
      <c r="C231"/>
      <c r="D231" s="3"/>
      <c r="E231" s="3"/>
      <c r="F231" s="3"/>
      <c r="G231" s="3"/>
      <c r="H231" s="3"/>
      <c r="I231" s="3"/>
      <c r="J231" s="3"/>
      <c r="K231" s="3"/>
      <c r="L231" s="3"/>
      <c r="M231" s="3"/>
      <c r="N231" s="9"/>
    </row>
    <row r="232" spans="1:14" s="7" customFormat="1">
      <c r="A232" s="5"/>
      <c r="B232"/>
      <c r="C232"/>
      <c r="D232" s="3"/>
      <c r="E232" s="3"/>
      <c r="F232" s="3"/>
      <c r="G232" s="3"/>
      <c r="H232" s="3"/>
      <c r="I232" s="3"/>
      <c r="J232" s="3"/>
      <c r="K232" s="3"/>
      <c r="L232" s="3"/>
      <c r="M232" s="3"/>
      <c r="N232" s="9"/>
    </row>
    <row r="233" spans="1:14" s="7" customFormat="1">
      <c r="A233" s="5"/>
      <c r="B233"/>
      <c r="C233"/>
      <c r="D233" s="3"/>
      <c r="E233" s="3"/>
      <c r="F233" s="3"/>
      <c r="G233" s="3"/>
      <c r="H233" s="3"/>
      <c r="I233" s="3"/>
      <c r="J233" s="3"/>
      <c r="K233" s="3"/>
      <c r="L233" s="3"/>
      <c r="M233" s="3"/>
      <c r="N233" s="9"/>
    </row>
    <row r="234" spans="1:14" s="7" customFormat="1">
      <c r="A234" s="5"/>
      <c r="B234"/>
      <c r="C234"/>
      <c r="D234" s="3"/>
      <c r="E234" s="3"/>
      <c r="F234" s="3"/>
      <c r="G234" s="3"/>
      <c r="H234" s="3"/>
      <c r="I234" s="3"/>
      <c r="J234" s="3"/>
      <c r="K234" s="3"/>
      <c r="L234" s="3"/>
      <c r="M234" s="3"/>
      <c r="N234" s="9"/>
    </row>
    <row r="235" spans="1:14" s="7" customFormat="1">
      <c r="A235" s="5"/>
      <c r="B235"/>
      <c r="C235"/>
      <c r="D235" s="3"/>
      <c r="E235" s="3"/>
      <c r="F235" s="3"/>
      <c r="G235" s="3"/>
      <c r="H235" s="3"/>
      <c r="I235" s="3"/>
      <c r="J235" s="3"/>
      <c r="K235" s="3"/>
      <c r="L235" s="3"/>
      <c r="M235" s="3"/>
      <c r="N235" s="9"/>
    </row>
    <row r="236" spans="1:14" s="7" customFormat="1">
      <c r="A236" s="5"/>
      <c r="B236"/>
      <c r="C236"/>
      <c r="D236" s="3"/>
      <c r="E236" s="3"/>
      <c r="F236" s="3"/>
      <c r="G236" s="3"/>
      <c r="H236" s="3"/>
      <c r="I236" s="3"/>
      <c r="J236" s="3"/>
      <c r="K236" s="3"/>
      <c r="L236" s="3"/>
      <c r="M236" s="3"/>
      <c r="N236" s="9"/>
    </row>
    <row r="237" spans="1:14" s="7" customFormat="1">
      <c r="A237" s="5"/>
      <c r="B237"/>
      <c r="C237"/>
      <c r="D237" s="3"/>
      <c r="E237" s="3"/>
      <c r="F237" s="3"/>
      <c r="G237" s="3"/>
      <c r="H237" s="3"/>
      <c r="I237" s="3"/>
      <c r="J237" s="3"/>
      <c r="K237" s="3"/>
      <c r="L237" s="3"/>
      <c r="M237" s="3"/>
      <c r="N237" s="9"/>
    </row>
    <row r="238" spans="1:14" s="7" customFormat="1">
      <c r="A238" s="5"/>
      <c r="B238"/>
      <c r="C238"/>
      <c r="D238" s="3"/>
      <c r="E238" s="3"/>
      <c r="F238" s="3"/>
      <c r="G238" s="3"/>
      <c r="H238" s="3"/>
      <c r="I238" s="3"/>
      <c r="J238" s="3"/>
      <c r="K238" s="3"/>
      <c r="L238" s="3"/>
      <c r="M238" s="3"/>
      <c r="N238" s="9"/>
    </row>
    <row r="239" spans="1:14" s="7" customFormat="1">
      <c r="A239" s="5"/>
      <c r="B239"/>
      <c r="C239"/>
      <c r="D239" s="3"/>
      <c r="E239" s="3"/>
      <c r="F239" s="3"/>
      <c r="G239" s="3"/>
      <c r="H239" s="3"/>
      <c r="I239" s="3"/>
      <c r="J239" s="3"/>
      <c r="K239" s="3"/>
      <c r="L239" s="3"/>
      <c r="M239" s="3"/>
      <c r="N239" s="9"/>
    </row>
    <row r="240" spans="1:14" s="7" customFormat="1">
      <c r="A240" s="5"/>
      <c r="B240"/>
      <c r="C240"/>
      <c r="D240" s="3"/>
      <c r="E240" s="3"/>
      <c r="F240" s="3"/>
      <c r="G240" s="3"/>
      <c r="H240" s="3"/>
      <c r="I240" s="3"/>
      <c r="J240" s="3"/>
      <c r="K240" s="3"/>
      <c r="L240" s="3"/>
      <c r="M240" s="3"/>
      <c r="N240" s="9"/>
    </row>
    <row r="241" spans="1:14" s="7" customFormat="1">
      <c r="A241" s="5"/>
      <c r="B241"/>
      <c r="C241"/>
      <c r="D241" s="3"/>
      <c r="E241" s="3"/>
      <c r="F241" s="3"/>
      <c r="G241" s="3"/>
      <c r="H241" s="3"/>
      <c r="I241" s="3"/>
      <c r="J241" s="3"/>
      <c r="K241" s="3"/>
      <c r="L241" s="3"/>
      <c r="M241" s="3"/>
      <c r="N241" s="9"/>
    </row>
    <row r="242" spans="1:14" s="7" customFormat="1">
      <c r="A242" s="5"/>
      <c r="B242"/>
      <c r="C242"/>
      <c r="D242" s="3"/>
      <c r="E242" s="3"/>
      <c r="F242" s="3"/>
      <c r="G242" s="3"/>
      <c r="H242" s="3"/>
      <c r="I242" s="3"/>
      <c r="J242" s="3"/>
      <c r="K242" s="3"/>
      <c r="L242" s="3"/>
      <c r="M242" s="3"/>
      <c r="N242" s="9"/>
    </row>
    <row r="243" spans="1:14" s="7" customFormat="1">
      <c r="A243" s="5"/>
      <c r="B243"/>
      <c r="C243"/>
      <c r="D243" s="3"/>
      <c r="E243" s="3"/>
      <c r="F243" s="3"/>
      <c r="G243" s="3"/>
      <c r="H243" s="3"/>
      <c r="I243" s="3"/>
      <c r="J243" s="3"/>
      <c r="K243" s="3"/>
      <c r="L243" s="3"/>
      <c r="M243" s="3"/>
      <c r="N243" s="9"/>
    </row>
    <row r="244" spans="1:14" s="7" customFormat="1">
      <c r="A244" s="5"/>
      <c r="B244"/>
      <c r="C244"/>
      <c r="D244" s="3"/>
      <c r="E244" s="3"/>
      <c r="F244" s="3"/>
      <c r="G244" s="3"/>
      <c r="H244" s="3"/>
      <c r="I244" s="3"/>
      <c r="J244" s="3"/>
      <c r="K244" s="3"/>
      <c r="L244" s="3"/>
      <c r="M244" s="3"/>
      <c r="N244" s="9"/>
    </row>
    <row r="245" spans="1:14" s="7" customFormat="1">
      <c r="A245"/>
      <c r="B245"/>
      <c r="C245"/>
      <c r="D245"/>
      <c r="E245"/>
      <c r="F245"/>
      <c r="G245"/>
      <c r="H245"/>
      <c r="I245"/>
      <c r="J245"/>
      <c r="K245"/>
      <c r="L245"/>
      <c r="M245"/>
    </row>
    <row r="246" spans="1:14" s="7" customFormat="1">
      <c r="A246"/>
      <c r="B246"/>
      <c r="C246"/>
      <c r="D246"/>
      <c r="E246"/>
      <c r="F246"/>
      <c r="G246"/>
      <c r="H246"/>
      <c r="I246"/>
      <c r="J246"/>
      <c r="K246"/>
      <c r="L246"/>
      <c r="M246"/>
    </row>
    <row r="247" spans="1:14" s="7" customFormat="1">
      <c r="A247"/>
      <c r="B247"/>
      <c r="C247"/>
      <c r="D247"/>
      <c r="E247"/>
      <c r="F247"/>
      <c r="G247"/>
      <c r="H247"/>
      <c r="I247"/>
      <c r="J247"/>
      <c r="K247"/>
      <c r="L247"/>
      <c r="M247"/>
    </row>
    <row r="248" spans="1:14" s="7" customFormat="1">
      <c r="A248" s="5"/>
      <c r="B248"/>
      <c r="C248"/>
      <c r="D248" s="3"/>
      <c r="E248" s="3"/>
      <c r="F248" s="3"/>
      <c r="G248" s="3"/>
      <c r="H248" s="3"/>
      <c r="I248" s="3"/>
      <c r="J248" s="3"/>
      <c r="K248" s="3"/>
      <c r="L248" s="3"/>
      <c r="M248" s="3"/>
      <c r="N248" s="9"/>
    </row>
    <row r="249" spans="1:14" s="7" customFormat="1">
      <c r="A249" s="5"/>
      <c r="B249"/>
      <c r="C249"/>
      <c r="D249" s="3"/>
      <c r="E249" s="3"/>
      <c r="F249" s="3"/>
      <c r="G249" s="3"/>
      <c r="H249" s="3"/>
      <c r="I249" s="3"/>
      <c r="J249" s="3"/>
      <c r="K249" s="3"/>
      <c r="L249" s="3"/>
      <c r="M249" s="3"/>
      <c r="N249" s="9"/>
    </row>
    <row r="250" spans="1:14" s="7" customFormat="1">
      <c r="A250" s="5"/>
      <c r="B250"/>
      <c r="C250"/>
      <c r="D250" s="3"/>
      <c r="E250" s="3"/>
      <c r="F250" s="3"/>
      <c r="G250" s="3"/>
      <c r="H250" s="3"/>
      <c r="I250" s="3"/>
      <c r="J250" s="3"/>
      <c r="K250" s="3"/>
      <c r="L250" s="3"/>
      <c r="M250" s="3"/>
      <c r="N250" s="9"/>
    </row>
    <row r="251" spans="1:14" s="7" customFormat="1">
      <c r="A251" s="5"/>
      <c r="B251"/>
      <c r="C251"/>
      <c r="D251" s="3"/>
      <c r="E251" s="3"/>
      <c r="F251" s="3"/>
      <c r="G251" s="3"/>
      <c r="H251" s="3"/>
      <c r="I251" s="3"/>
      <c r="J251" s="3"/>
      <c r="K251" s="3"/>
      <c r="L251" s="3"/>
      <c r="M251" s="3"/>
      <c r="N251" s="9"/>
    </row>
    <row r="252" spans="1:14" s="7" customFormat="1">
      <c r="A252" s="5"/>
      <c r="B252"/>
      <c r="C252"/>
      <c r="D252" s="3"/>
      <c r="E252" s="3"/>
      <c r="F252" s="3"/>
      <c r="G252" s="3"/>
      <c r="H252" s="3"/>
      <c r="I252" s="3"/>
      <c r="J252" s="3"/>
      <c r="K252" s="3"/>
      <c r="L252" s="3"/>
      <c r="M252" s="3"/>
      <c r="N252" s="9"/>
    </row>
    <row r="253" spans="1:14" s="7" customFormat="1">
      <c r="A253" s="5"/>
      <c r="B253"/>
      <c r="C253"/>
      <c r="D253" s="3"/>
      <c r="E253" s="3"/>
      <c r="F253" s="3"/>
      <c r="G253" s="3"/>
      <c r="H253" s="3"/>
      <c r="I253" s="3"/>
      <c r="J253" s="3"/>
      <c r="K253" s="3"/>
      <c r="L253" s="3"/>
      <c r="M253" s="3"/>
      <c r="N253" s="9"/>
    </row>
    <row r="254" spans="1:14" s="7" customFormat="1">
      <c r="A254" s="5"/>
      <c r="B254"/>
      <c r="C254"/>
      <c r="D254" s="3"/>
      <c r="E254" s="3"/>
      <c r="F254" s="3"/>
      <c r="G254" s="3"/>
      <c r="H254" s="3"/>
      <c r="I254" s="3"/>
      <c r="J254" s="3"/>
      <c r="K254" s="3"/>
      <c r="L254" s="3"/>
      <c r="M254" s="3"/>
      <c r="N254" s="9"/>
    </row>
    <row r="255" spans="1:14" s="7" customFormat="1">
      <c r="A255" s="5"/>
      <c r="B255"/>
      <c r="C255"/>
      <c r="D255" s="3"/>
      <c r="E255" s="3"/>
      <c r="F255" s="3"/>
      <c r="G255" s="3"/>
      <c r="H255" s="3"/>
      <c r="I255" s="3"/>
      <c r="J255" s="3"/>
      <c r="K255" s="3"/>
      <c r="L255" s="3"/>
      <c r="M255" s="3"/>
      <c r="N255" s="9"/>
    </row>
    <row r="256" spans="1:14" s="7" customFormat="1">
      <c r="A256" s="5"/>
      <c r="B256"/>
      <c r="C256"/>
      <c r="D256" s="3"/>
      <c r="E256" s="3"/>
      <c r="F256" s="3"/>
      <c r="G256" s="3"/>
      <c r="H256" s="3"/>
      <c r="I256" s="3"/>
      <c r="J256" s="3"/>
      <c r="K256" s="3"/>
      <c r="L256" s="3"/>
      <c r="M256" s="3"/>
      <c r="N256" s="9"/>
    </row>
    <row r="257" spans="1:14" s="7" customFormat="1">
      <c r="A257" s="5"/>
      <c r="B257"/>
      <c r="C257"/>
      <c r="D257" s="3"/>
      <c r="E257" s="3"/>
      <c r="F257" s="3"/>
      <c r="G257" s="3"/>
      <c r="H257" s="3"/>
      <c r="I257" s="3"/>
      <c r="J257" s="3"/>
      <c r="K257" s="3"/>
      <c r="L257" s="3"/>
      <c r="M257" s="3"/>
      <c r="N257" s="9"/>
    </row>
    <row r="258" spans="1:14" s="7" customFormat="1">
      <c r="A258"/>
      <c r="B258"/>
      <c r="C258"/>
      <c r="D258" s="3"/>
      <c r="E258" s="3"/>
      <c r="F258" s="3"/>
      <c r="G258" s="3"/>
      <c r="H258" s="3"/>
      <c r="I258" s="3"/>
      <c r="J258" s="3"/>
      <c r="K258" s="3"/>
      <c r="L258" s="3"/>
      <c r="M258" s="3"/>
      <c r="N258" s="9">
        <f t="shared" si="0"/>
        <v>0</v>
      </c>
    </row>
  </sheetData>
  <mergeCells count="11">
    <mergeCell ref="A69:L69"/>
    <mergeCell ref="A59:N59"/>
    <mergeCell ref="A60:N60"/>
    <mergeCell ref="A61:N61"/>
    <mergeCell ref="A62:L62"/>
    <mergeCell ref="A63:L63"/>
    <mergeCell ref="A68:L68"/>
    <mergeCell ref="A67:L67"/>
    <mergeCell ref="A66:L66"/>
    <mergeCell ref="A65:L65"/>
    <mergeCell ref="A64:L64"/>
  </mergeCells>
  <pageMargins left="0" right="0" top="0.75" bottom="0.75" header="0.3" footer="0.3"/>
  <pageSetup scale="65" orientation="landscape" r:id="rId1"/>
  <legacyDrawing r:id="rId2"/>
</worksheet>
</file>

<file path=xl/worksheets/sheet17.xml><?xml version="1.0" encoding="utf-8"?>
<worksheet xmlns="http://schemas.openxmlformats.org/spreadsheetml/2006/main" xmlns:r="http://schemas.openxmlformats.org/officeDocument/2006/relationships">
  <sheetPr>
    <tabColor theme="5" tint="0.39997558519241921"/>
  </sheetPr>
  <dimension ref="A2:BD119"/>
  <sheetViews>
    <sheetView workbookViewId="0">
      <pane xSplit="2" ySplit="4" topLeftCell="K93" activePane="bottomRight" state="frozen"/>
      <selection pane="topRight" activeCell="C1" sqref="C1"/>
      <selection pane="bottomLeft" activeCell="A5" sqref="A5"/>
      <selection pane="bottomRight" activeCell="B102" sqref="B102"/>
    </sheetView>
  </sheetViews>
  <sheetFormatPr defaultRowHeight="15"/>
  <cols>
    <col min="1" max="1" width="10.28515625" bestFit="1" customWidth="1"/>
    <col min="2" max="2" width="43.28515625" customWidth="1"/>
    <col min="3" max="3" width="9.85546875" style="14" bestFit="1" customWidth="1"/>
    <col min="4" max="4" width="12.140625" style="14" bestFit="1" customWidth="1"/>
    <col min="5" max="14" width="9.85546875" style="14" bestFit="1" customWidth="1"/>
    <col min="15" max="15" width="10.7109375" style="14" bestFit="1" customWidth="1"/>
    <col min="16" max="28" width="11.7109375" style="14" hidden="1" customWidth="1"/>
    <col min="29" max="34" width="11.7109375" style="14" customWidth="1"/>
    <col min="35" max="56" width="11.7109375" style="7" customWidth="1"/>
  </cols>
  <sheetData>
    <row r="2" spans="1:28">
      <c r="B2" s="63" t="s">
        <v>78</v>
      </c>
    </row>
    <row r="3" spans="1:28">
      <c r="B3" s="5" t="s">
        <v>50</v>
      </c>
      <c r="C3" s="15">
        <v>2010</v>
      </c>
      <c r="D3" s="15">
        <v>2010</v>
      </c>
      <c r="E3" s="15">
        <v>2010</v>
      </c>
      <c r="F3" s="15">
        <v>2010</v>
      </c>
      <c r="G3" s="15">
        <v>2010</v>
      </c>
      <c r="H3" s="15">
        <v>2010</v>
      </c>
      <c r="I3" s="15">
        <v>2010</v>
      </c>
      <c r="J3" s="15">
        <v>2010</v>
      </c>
      <c r="K3" s="15">
        <v>2010</v>
      </c>
      <c r="L3" s="15">
        <v>2010</v>
      </c>
      <c r="M3" s="15">
        <v>2010</v>
      </c>
      <c r="N3" s="15">
        <v>2010</v>
      </c>
      <c r="O3" s="15" t="s">
        <v>34</v>
      </c>
      <c r="P3" s="15">
        <v>2011</v>
      </c>
      <c r="Q3" s="15">
        <v>2011</v>
      </c>
      <c r="R3" s="15">
        <v>2011</v>
      </c>
      <c r="S3" s="15">
        <v>2011</v>
      </c>
      <c r="T3" s="15">
        <v>2011</v>
      </c>
      <c r="U3" s="15">
        <v>2011</v>
      </c>
      <c r="V3" s="15">
        <v>2011</v>
      </c>
      <c r="W3" s="15">
        <v>2011</v>
      </c>
      <c r="X3" s="15">
        <v>2011</v>
      </c>
      <c r="Y3" s="15">
        <v>2011</v>
      </c>
      <c r="Z3" s="15">
        <v>2011</v>
      </c>
      <c r="AA3" s="15">
        <v>2011</v>
      </c>
      <c r="AB3" s="15" t="s">
        <v>35</v>
      </c>
    </row>
    <row r="4" spans="1:28">
      <c r="C4" s="18" t="s">
        <v>0</v>
      </c>
      <c r="D4" s="18" t="s">
        <v>1</v>
      </c>
      <c r="E4" s="18" t="s">
        <v>2</v>
      </c>
      <c r="F4" s="18" t="s">
        <v>3</v>
      </c>
      <c r="G4" s="18" t="s">
        <v>4</v>
      </c>
      <c r="H4" s="18" t="s">
        <v>5</v>
      </c>
      <c r="I4" s="18" t="s">
        <v>6</v>
      </c>
      <c r="J4" s="18" t="s">
        <v>7</v>
      </c>
      <c r="K4" s="18" t="s">
        <v>8</v>
      </c>
      <c r="L4" s="18" t="s">
        <v>9</v>
      </c>
      <c r="M4" s="18" t="s">
        <v>10</v>
      </c>
      <c r="N4" s="18" t="s">
        <v>11</v>
      </c>
      <c r="O4" s="18"/>
      <c r="P4" s="15" t="s">
        <v>0</v>
      </c>
      <c r="Q4" s="15" t="s">
        <v>1</v>
      </c>
      <c r="R4" s="15" t="s">
        <v>2</v>
      </c>
      <c r="S4" s="15" t="s">
        <v>3</v>
      </c>
      <c r="T4" s="15" t="s">
        <v>4</v>
      </c>
      <c r="U4" s="15" t="s">
        <v>5</v>
      </c>
      <c r="V4" s="15" t="s">
        <v>6</v>
      </c>
      <c r="W4" s="15" t="s">
        <v>7</v>
      </c>
      <c r="X4" s="15" t="s">
        <v>8</v>
      </c>
      <c r="Y4" s="15" t="s">
        <v>9</v>
      </c>
      <c r="Z4" s="15" t="s">
        <v>10</v>
      </c>
      <c r="AA4" s="15" t="s">
        <v>11</v>
      </c>
      <c r="AB4" s="15"/>
    </row>
    <row r="5" spans="1:28">
      <c r="E5" s="16"/>
      <c r="F5" s="16"/>
      <c r="G5" s="16"/>
      <c r="H5" s="16"/>
      <c r="I5" s="16"/>
      <c r="J5" s="16"/>
      <c r="K5" s="16"/>
      <c r="L5" s="16"/>
      <c r="M5" s="16"/>
      <c r="N5" s="16"/>
    </row>
    <row r="6" spans="1:28">
      <c r="B6" s="10" t="s">
        <v>116</v>
      </c>
      <c r="E6" s="16"/>
      <c r="F6" s="16"/>
      <c r="G6" s="16"/>
      <c r="H6" s="16"/>
      <c r="I6" s="16"/>
      <c r="J6" s="16"/>
      <c r="K6" s="16"/>
      <c r="L6" s="16"/>
      <c r="M6" s="16"/>
      <c r="N6" s="16"/>
      <c r="O6" s="17"/>
    </row>
    <row r="7" spans="1:28">
      <c r="B7" s="5" t="s">
        <v>37</v>
      </c>
      <c r="C7" s="21">
        <f>715327/12</f>
        <v>59610.583333333336</v>
      </c>
      <c r="D7" s="21">
        <f t="shared" ref="D7:N7" si="0">715327/12</f>
        <v>59610.583333333336</v>
      </c>
      <c r="E7" s="21">
        <f t="shared" si="0"/>
        <v>59610.583333333336</v>
      </c>
      <c r="F7" s="21">
        <f t="shared" si="0"/>
        <v>59610.583333333336</v>
      </c>
      <c r="G7" s="21">
        <f t="shared" si="0"/>
        <v>59610.583333333336</v>
      </c>
      <c r="H7" s="21">
        <f t="shared" si="0"/>
        <v>59610.583333333336</v>
      </c>
      <c r="I7" s="21">
        <f t="shared" si="0"/>
        <v>59610.583333333336</v>
      </c>
      <c r="J7" s="21">
        <f t="shared" si="0"/>
        <v>59610.583333333336</v>
      </c>
      <c r="K7" s="21">
        <f t="shared" si="0"/>
        <v>59610.583333333336</v>
      </c>
      <c r="L7" s="21">
        <f t="shared" si="0"/>
        <v>59610.583333333336</v>
      </c>
      <c r="M7" s="21">
        <f t="shared" si="0"/>
        <v>59610.583333333336</v>
      </c>
      <c r="N7" s="21">
        <f t="shared" si="0"/>
        <v>59610.583333333336</v>
      </c>
      <c r="O7" s="109">
        <f t="shared" ref="O7:O13" si="1">SUM(C7:N7)</f>
        <v>715327.00000000012</v>
      </c>
    </row>
    <row r="8" spans="1:28">
      <c r="B8" s="5" t="s">
        <v>38</v>
      </c>
      <c r="C8" s="19">
        <f>781308/12</f>
        <v>65109</v>
      </c>
      <c r="D8" s="19">
        <f t="shared" ref="D8:N8" si="2">781308/12</f>
        <v>65109</v>
      </c>
      <c r="E8" s="19">
        <f t="shared" si="2"/>
        <v>65109</v>
      </c>
      <c r="F8" s="19">
        <f t="shared" si="2"/>
        <v>65109</v>
      </c>
      <c r="G8" s="19">
        <f t="shared" si="2"/>
        <v>65109</v>
      </c>
      <c r="H8" s="19">
        <f t="shared" si="2"/>
        <v>65109</v>
      </c>
      <c r="I8" s="19">
        <f t="shared" si="2"/>
        <v>65109</v>
      </c>
      <c r="J8" s="19">
        <f t="shared" si="2"/>
        <v>65109</v>
      </c>
      <c r="K8" s="19">
        <f t="shared" si="2"/>
        <v>65109</v>
      </c>
      <c r="L8" s="19">
        <f t="shared" si="2"/>
        <v>65109</v>
      </c>
      <c r="M8" s="19">
        <f t="shared" si="2"/>
        <v>65109</v>
      </c>
      <c r="N8" s="19">
        <f t="shared" si="2"/>
        <v>65109</v>
      </c>
      <c r="O8" s="103">
        <f t="shared" si="1"/>
        <v>781308</v>
      </c>
    </row>
    <row r="9" spans="1:28">
      <c r="B9" s="5" t="s">
        <v>242</v>
      </c>
      <c r="C9" s="19">
        <f>262855/12</f>
        <v>21904.583333333332</v>
      </c>
      <c r="D9" s="19">
        <f t="shared" ref="D9:N9" si="3">262855/12</f>
        <v>21904.583333333332</v>
      </c>
      <c r="E9" s="19">
        <f t="shared" si="3"/>
        <v>21904.583333333332</v>
      </c>
      <c r="F9" s="19">
        <f t="shared" si="3"/>
        <v>21904.583333333332</v>
      </c>
      <c r="G9" s="19">
        <f t="shared" si="3"/>
        <v>21904.583333333332</v>
      </c>
      <c r="H9" s="19">
        <f t="shared" si="3"/>
        <v>21904.583333333332</v>
      </c>
      <c r="I9" s="19">
        <f t="shared" si="3"/>
        <v>21904.583333333332</v>
      </c>
      <c r="J9" s="19">
        <f t="shared" si="3"/>
        <v>21904.583333333332</v>
      </c>
      <c r="K9" s="19">
        <f t="shared" si="3"/>
        <v>21904.583333333332</v>
      </c>
      <c r="L9" s="19">
        <f t="shared" si="3"/>
        <v>21904.583333333332</v>
      </c>
      <c r="M9" s="19">
        <f t="shared" si="3"/>
        <v>21904.583333333332</v>
      </c>
      <c r="N9" s="19">
        <f t="shared" si="3"/>
        <v>21904.583333333332</v>
      </c>
      <c r="O9" s="103">
        <f t="shared" si="1"/>
        <v>262855.00000000006</v>
      </c>
    </row>
    <row r="10" spans="1:28" hidden="1">
      <c r="B10" s="5" t="s">
        <v>40</v>
      </c>
      <c r="E10" s="16"/>
      <c r="F10" s="16"/>
      <c r="G10" s="16"/>
      <c r="H10" s="16"/>
      <c r="I10" s="16"/>
      <c r="J10" s="16"/>
      <c r="K10" s="16"/>
      <c r="L10" s="16"/>
      <c r="M10" s="16"/>
      <c r="N10" s="16"/>
      <c r="O10" s="103">
        <f t="shared" si="1"/>
        <v>0</v>
      </c>
    </row>
    <row r="11" spans="1:28" hidden="1">
      <c r="B11" s="5" t="s">
        <v>41</v>
      </c>
      <c r="E11" s="16"/>
      <c r="F11" s="16"/>
      <c r="G11" s="16"/>
      <c r="H11" s="16"/>
      <c r="I11" s="16"/>
      <c r="J11" s="16"/>
      <c r="K11" s="16"/>
      <c r="L11" s="16"/>
      <c r="M11" s="16"/>
      <c r="N11" s="16"/>
      <c r="O11" s="103">
        <f t="shared" si="1"/>
        <v>0</v>
      </c>
    </row>
    <row r="12" spans="1:28" hidden="1">
      <c r="B12" s="5" t="s">
        <v>42</v>
      </c>
      <c r="E12" s="16"/>
      <c r="F12" s="16"/>
      <c r="G12" s="16"/>
      <c r="H12" s="16"/>
      <c r="I12" s="16"/>
      <c r="J12" s="16"/>
      <c r="K12" s="16"/>
      <c r="L12" s="16"/>
      <c r="M12" s="16"/>
      <c r="N12" s="16"/>
      <c r="O12" s="103">
        <f t="shared" si="1"/>
        <v>0</v>
      </c>
    </row>
    <row r="13" spans="1:28" hidden="1">
      <c r="B13" s="5" t="s">
        <v>43</v>
      </c>
      <c r="E13" s="16"/>
      <c r="F13" s="16"/>
      <c r="G13" s="16"/>
      <c r="H13" s="16"/>
      <c r="I13" s="16"/>
      <c r="J13" s="16"/>
      <c r="K13" s="16"/>
      <c r="L13" s="16"/>
      <c r="M13" s="16"/>
      <c r="N13" s="16"/>
      <c r="O13" s="103">
        <f t="shared" si="1"/>
        <v>0</v>
      </c>
    </row>
    <row r="14" spans="1:28">
      <c r="A14" t="s">
        <v>22</v>
      </c>
      <c r="B14" s="10" t="s">
        <v>44</v>
      </c>
      <c r="C14" s="20">
        <f>SUM(C7:C13)</f>
        <v>146624.16666666669</v>
      </c>
      <c r="D14" s="20">
        <f t="shared" ref="D14:N14" si="4">SUM(D7:D13)</f>
        <v>146624.16666666669</v>
      </c>
      <c r="E14" s="20">
        <f t="shared" si="4"/>
        <v>146624.16666666669</v>
      </c>
      <c r="F14" s="20">
        <f t="shared" si="4"/>
        <v>146624.16666666669</v>
      </c>
      <c r="G14" s="20">
        <f t="shared" si="4"/>
        <v>146624.16666666669</v>
      </c>
      <c r="H14" s="20">
        <f t="shared" si="4"/>
        <v>146624.16666666669</v>
      </c>
      <c r="I14" s="20">
        <f t="shared" si="4"/>
        <v>146624.16666666669</v>
      </c>
      <c r="J14" s="20">
        <f t="shared" si="4"/>
        <v>146624.16666666669</v>
      </c>
      <c r="K14" s="20">
        <f t="shared" si="4"/>
        <v>146624.16666666669</v>
      </c>
      <c r="L14" s="20">
        <f t="shared" si="4"/>
        <v>146624.16666666669</v>
      </c>
      <c r="M14" s="20">
        <f t="shared" si="4"/>
        <v>146624.16666666669</v>
      </c>
      <c r="N14" s="20">
        <f t="shared" si="4"/>
        <v>146624.16666666669</v>
      </c>
      <c r="O14" s="104">
        <f>SUM(O7:O13)</f>
        <v>1759490</v>
      </c>
    </row>
    <row r="15" spans="1:28">
      <c r="B15" s="10"/>
      <c r="E15" s="16"/>
      <c r="F15" s="16"/>
      <c r="G15" s="16"/>
      <c r="H15" s="16"/>
      <c r="I15" s="16"/>
      <c r="J15" s="16"/>
      <c r="K15" s="16"/>
      <c r="L15" s="16"/>
      <c r="M15" s="16"/>
      <c r="N15" s="16"/>
      <c r="O15" s="103"/>
    </row>
    <row r="16" spans="1:28">
      <c r="B16" s="10" t="s">
        <v>117</v>
      </c>
      <c r="E16" s="16"/>
      <c r="F16" s="16"/>
      <c r="G16" s="16"/>
      <c r="H16" s="16"/>
      <c r="I16" s="16"/>
      <c r="J16" s="16"/>
      <c r="K16" s="16"/>
      <c r="L16" s="16"/>
      <c r="M16" s="16"/>
      <c r="N16" s="16"/>
      <c r="O16" s="103"/>
    </row>
    <row r="17" spans="1:15">
      <c r="B17" s="5" t="s">
        <v>37</v>
      </c>
      <c r="C17" s="21">
        <f>593/12</f>
        <v>49.416666666666664</v>
      </c>
      <c r="D17" s="21">
        <f t="shared" ref="D17:N17" si="5">593/12</f>
        <v>49.416666666666664</v>
      </c>
      <c r="E17" s="21">
        <f t="shared" si="5"/>
        <v>49.416666666666664</v>
      </c>
      <c r="F17" s="21">
        <f t="shared" si="5"/>
        <v>49.416666666666664</v>
      </c>
      <c r="G17" s="21">
        <f t="shared" si="5"/>
        <v>49.416666666666664</v>
      </c>
      <c r="H17" s="21">
        <f t="shared" si="5"/>
        <v>49.416666666666664</v>
      </c>
      <c r="I17" s="21">
        <f t="shared" si="5"/>
        <v>49.416666666666664</v>
      </c>
      <c r="J17" s="21">
        <f t="shared" si="5"/>
        <v>49.416666666666664</v>
      </c>
      <c r="K17" s="21">
        <f t="shared" si="5"/>
        <v>49.416666666666664</v>
      </c>
      <c r="L17" s="21">
        <f t="shared" si="5"/>
        <v>49.416666666666664</v>
      </c>
      <c r="M17" s="21">
        <f t="shared" si="5"/>
        <v>49.416666666666664</v>
      </c>
      <c r="N17" s="21">
        <f t="shared" si="5"/>
        <v>49.416666666666664</v>
      </c>
      <c r="O17" s="109">
        <f t="shared" ref="O17:O23" si="6">SUM(C17:N17)</f>
        <v>593</v>
      </c>
    </row>
    <row r="18" spans="1:15">
      <c r="B18" s="5" t="s">
        <v>38</v>
      </c>
      <c r="C18" s="19">
        <f>3929/12</f>
        <v>327.41666666666669</v>
      </c>
      <c r="D18" s="19">
        <f t="shared" ref="D18:N18" si="7">3929/12</f>
        <v>327.41666666666669</v>
      </c>
      <c r="E18" s="19">
        <f t="shared" si="7"/>
        <v>327.41666666666669</v>
      </c>
      <c r="F18" s="19">
        <f t="shared" si="7"/>
        <v>327.41666666666669</v>
      </c>
      <c r="G18" s="19">
        <f t="shared" si="7"/>
        <v>327.41666666666669</v>
      </c>
      <c r="H18" s="19">
        <f t="shared" si="7"/>
        <v>327.41666666666669</v>
      </c>
      <c r="I18" s="19">
        <f t="shared" si="7"/>
        <v>327.41666666666669</v>
      </c>
      <c r="J18" s="19">
        <f t="shared" si="7"/>
        <v>327.41666666666669</v>
      </c>
      <c r="K18" s="19">
        <f t="shared" si="7"/>
        <v>327.41666666666669</v>
      </c>
      <c r="L18" s="19">
        <f t="shared" si="7"/>
        <v>327.41666666666669</v>
      </c>
      <c r="M18" s="19">
        <f t="shared" si="7"/>
        <v>327.41666666666669</v>
      </c>
      <c r="N18" s="19">
        <f t="shared" si="7"/>
        <v>327.41666666666669</v>
      </c>
      <c r="O18" s="103">
        <f t="shared" si="6"/>
        <v>3928.9999999999995</v>
      </c>
    </row>
    <row r="19" spans="1:15">
      <c r="B19" s="5" t="s">
        <v>242</v>
      </c>
      <c r="O19" s="103">
        <f t="shared" si="6"/>
        <v>0</v>
      </c>
    </row>
    <row r="20" spans="1:15">
      <c r="B20" s="5" t="s">
        <v>40</v>
      </c>
      <c r="C20" s="19"/>
      <c r="D20" s="19"/>
      <c r="E20" s="19"/>
      <c r="F20" s="19"/>
      <c r="G20" s="19"/>
      <c r="H20" s="19"/>
      <c r="I20" s="19"/>
      <c r="J20" s="19"/>
      <c r="K20" s="19"/>
      <c r="L20" s="19"/>
      <c r="M20" s="19"/>
      <c r="N20" s="19"/>
      <c r="O20" s="103">
        <f t="shared" si="6"/>
        <v>0</v>
      </c>
    </row>
    <row r="21" spans="1:15" hidden="1">
      <c r="B21" s="5" t="s">
        <v>41</v>
      </c>
      <c r="O21" s="103">
        <f t="shared" si="6"/>
        <v>0</v>
      </c>
    </row>
    <row r="22" spans="1:15">
      <c r="B22" s="5" t="s">
        <v>42</v>
      </c>
      <c r="C22" s="19"/>
      <c r="D22" s="19"/>
      <c r="E22" s="19"/>
      <c r="F22" s="19"/>
      <c r="G22" s="19"/>
      <c r="H22" s="19"/>
      <c r="I22" s="19"/>
      <c r="J22" s="19"/>
      <c r="K22" s="19"/>
      <c r="L22" s="19"/>
      <c r="M22" s="19"/>
      <c r="N22" s="19"/>
      <c r="O22" s="103">
        <f t="shared" si="6"/>
        <v>0</v>
      </c>
    </row>
    <row r="23" spans="1:15">
      <c r="B23" s="5" t="s">
        <v>43</v>
      </c>
      <c r="C23" s="19">
        <f>171020/12</f>
        <v>14251.666666666666</v>
      </c>
      <c r="D23" s="19">
        <f t="shared" ref="D23:N23" si="8">171020/12</f>
        <v>14251.666666666666</v>
      </c>
      <c r="E23" s="19">
        <f t="shared" si="8"/>
        <v>14251.666666666666</v>
      </c>
      <c r="F23" s="19">
        <f t="shared" si="8"/>
        <v>14251.666666666666</v>
      </c>
      <c r="G23" s="19">
        <f t="shared" si="8"/>
        <v>14251.666666666666</v>
      </c>
      <c r="H23" s="19">
        <f t="shared" si="8"/>
        <v>14251.666666666666</v>
      </c>
      <c r="I23" s="19">
        <f t="shared" si="8"/>
        <v>14251.666666666666</v>
      </c>
      <c r="J23" s="19">
        <f t="shared" si="8"/>
        <v>14251.666666666666</v>
      </c>
      <c r="K23" s="19">
        <f t="shared" si="8"/>
        <v>14251.666666666666</v>
      </c>
      <c r="L23" s="19">
        <f t="shared" si="8"/>
        <v>14251.666666666666</v>
      </c>
      <c r="M23" s="19">
        <f t="shared" si="8"/>
        <v>14251.666666666666</v>
      </c>
      <c r="N23" s="19">
        <f t="shared" si="8"/>
        <v>14251.666666666666</v>
      </c>
      <c r="O23" s="103">
        <f t="shared" si="6"/>
        <v>171020</v>
      </c>
    </row>
    <row r="24" spans="1:15">
      <c r="A24" t="s">
        <v>21</v>
      </c>
      <c r="B24" s="10" t="s">
        <v>52</v>
      </c>
      <c r="C24" s="20">
        <f t="shared" ref="C24:N24" si="9">SUM(C17:C23)</f>
        <v>14628.5</v>
      </c>
      <c r="D24" s="20">
        <f t="shared" si="9"/>
        <v>14628.5</v>
      </c>
      <c r="E24" s="20">
        <f t="shared" si="9"/>
        <v>14628.5</v>
      </c>
      <c r="F24" s="20">
        <f t="shared" si="9"/>
        <v>14628.5</v>
      </c>
      <c r="G24" s="20">
        <f t="shared" si="9"/>
        <v>14628.5</v>
      </c>
      <c r="H24" s="20">
        <f t="shared" si="9"/>
        <v>14628.5</v>
      </c>
      <c r="I24" s="20">
        <f t="shared" si="9"/>
        <v>14628.5</v>
      </c>
      <c r="J24" s="20">
        <f t="shared" si="9"/>
        <v>14628.5</v>
      </c>
      <c r="K24" s="20">
        <f t="shared" si="9"/>
        <v>14628.5</v>
      </c>
      <c r="L24" s="20">
        <f t="shared" si="9"/>
        <v>14628.5</v>
      </c>
      <c r="M24" s="20">
        <f t="shared" si="9"/>
        <v>14628.5</v>
      </c>
      <c r="N24" s="20">
        <f t="shared" si="9"/>
        <v>14628.5</v>
      </c>
      <c r="O24" s="104">
        <f>SUM(O17:O23)</f>
        <v>175542</v>
      </c>
    </row>
    <row r="25" spans="1:15" ht="16.149999999999999" customHeight="1">
      <c r="B25" s="10"/>
      <c r="E25" s="16"/>
      <c r="F25" s="16"/>
      <c r="G25" s="16"/>
      <c r="H25" s="16"/>
      <c r="I25" s="16"/>
      <c r="J25" s="16"/>
      <c r="K25" s="16"/>
      <c r="L25" s="16"/>
      <c r="M25" s="16"/>
      <c r="N25" s="16"/>
      <c r="O25" s="103"/>
    </row>
    <row r="26" spans="1:15">
      <c r="B26" s="10" t="s">
        <v>118</v>
      </c>
      <c r="E26" s="16"/>
      <c r="F26" s="16"/>
      <c r="G26" s="16"/>
      <c r="H26" s="16"/>
      <c r="I26" s="16"/>
      <c r="J26" s="16"/>
      <c r="K26" s="16"/>
      <c r="L26" s="16"/>
      <c r="M26" s="16"/>
      <c r="N26" s="16"/>
      <c r="O26" s="103"/>
    </row>
    <row r="27" spans="1:15">
      <c r="B27" s="5" t="s">
        <v>37</v>
      </c>
      <c r="C27" s="21">
        <f>9599/12</f>
        <v>799.91666666666663</v>
      </c>
      <c r="D27" s="21">
        <f t="shared" ref="D27:N27" si="10">9599/12</f>
        <v>799.91666666666663</v>
      </c>
      <c r="E27" s="21">
        <f t="shared" si="10"/>
        <v>799.91666666666663</v>
      </c>
      <c r="F27" s="21">
        <f t="shared" si="10"/>
        <v>799.91666666666663</v>
      </c>
      <c r="G27" s="21">
        <f t="shared" si="10"/>
        <v>799.91666666666663</v>
      </c>
      <c r="H27" s="21">
        <f t="shared" si="10"/>
        <v>799.91666666666663</v>
      </c>
      <c r="I27" s="21">
        <f t="shared" si="10"/>
        <v>799.91666666666663</v>
      </c>
      <c r="J27" s="21">
        <f t="shared" si="10"/>
        <v>799.91666666666663</v>
      </c>
      <c r="K27" s="21">
        <f t="shared" si="10"/>
        <v>799.91666666666663</v>
      </c>
      <c r="L27" s="21">
        <f t="shared" si="10"/>
        <v>799.91666666666663</v>
      </c>
      <c r="M27" s="21">
        <f t="shared" si="10"/>
        <v>799.91666666666663</v>
      </c>
      <c r="N27" s="21">
        <f t="shared" si="10"/>
        <v>799.91666666666663</v>
      </c>
      <c r="O27" s="109">
        <f t="shared" ref="O27:O33" si="11">SUM(C27:N27)</f>
        <v>9599</v>
      </c>
    </row>
    <row r="28" spans="1:15">
      <c r="B28" s="5" t="s">
        <v>38</v>
      </c>
      <c r="C28" s="19">
        <f>2155/12</f>
        <v>179.58333333333334</v>
      </c>
      <c r="D28" s="19">
        <f t="shared" ref="D28:N28" si="12">2155/12</f>
        <v>179.58333333333334</v>
      </c>
      <c r="E28" s="19">
        <f t="shared" si="12"/>
        <v>179.58333333333334</v>
      </c>
      <c r="F28" s="19">
        <f t="shared" si="12"/>
        <v>179.58333333333334</v>
      </c>
      <c r="G28" s="19">
        <f t="shared" si="12"/>
        <v>179.58333333333334</v>
      </c>
      <c r="H28" s="19">
        <f t="shared" si="12"/>
        <v>179.58333333333334</v>
      </c>
      <c r="I28" s="19">
        <f t="shared" si="12"/>
        <v>179.58333333333334</v>
      </c>
      <c r="J28" s="19">
        <f t="shared" si="12"/>
        <v>179.58333333333334</v>
      </c>
      <c r="K28" s="19">
        <f t="shared" si="12"/>
        <v>179.58333333333334</v>
      </c>
      <c r="L28" s="19">
        <f t="shared" si="12"/>
        <v>179.58333333333334</v>
      </c>
      <c r="M28" s="19">
        <f t="shared" si="12"/>
        <v>179.58333333333334</v>
      </c>
      <c r="N28" s="19">
        <f t="shared" si="12"/>
        <v>179.58333333333334</v>
      </c>
      <c r="O28" s="103">
        <f t="shared" si="11"/>
        <v>2154.9999999999995</v>
      </c>
    </row>
    <row r="29" spans="1:15">
      <c r="B29" s="5" t="s">
        <v>242</v>
      </c>
      <c r="C29" s="19">
        <f>910/12</f>
        <v>75.833333333333329</v>
      </c>
      <c r="D29" s="19">
        <f t="shared" ref="D29:N29" si="13">910/12</f>
        <v>75.833333333333329</v>
      </c>
      <c r="E29" s="19">
        <f t="shared" si="13"/>
        <v>75.833333333333329</v>
      </c>
      <c r="F29" s="19">
        <f t="shared" si="13"/>
        <v>75.833333333333329</v>
      </c>
      <c r="G29" s="19">
        <f t="shared" si="13"/>
        <v>75.833333333333329</v>
      </c>
      <c r="H29" s="19">
        <f t="shared" si="13"/>
        <v>75.833333333333329</v>
      </c>
      <c r="I29" s="19">
        <f t="shared" si="13"/>
        <v>75.833333333333329</v>
      </c>
      <c r="J29" s="19">
        <f t="shared" si="13"/>
        <v>75.833333333333329</v>
      </c>
      <c r="K29" s="19">
        <f t="shared" si="13"/>
        <v>75.833333333333329</v>
      </c>
      <c r="L29" s="19">
        <f t="shared" si="13"/>
        <v>75.833333333333329</v>
      </c>
      <c r="M29" s="19">
        <f t="shared" si="13"/>
        <v>75.833333333333329</v>
      </c>
      <c r="N29" s="19">
        <f t="shared" si="13"/>
        <v>75.833333333333329</v>
      </c>
      <c r="O29" s="103">
        <f t="shared" si="11"/>
        <v>910.00000000000011</v>
      </c>
    </row>
    <row r="30" spans="1:15" hidden="1">
      <c r="B30" s="5" t="s">
        <v>40</v>
      </c>
      <c r="O30" s="103">
        <f t="shared" si="11"/>
        <v>0</v>
      </c>
    </row>
    <row r="31" spans="1:15" hidden="1">
      <c r="B31" s="5" t="s">
        <v>41</v>
      </c>
      <c r="O31" s="103">
        <f t="shared" si="11"/>
        <v>0</v>
      </c>
    </row>
    <row r="32" spans="1:15" hidden="1">
      <c r="B32" s="5" t="s">
        <v>42</v>
      </c>
      <c r="O32" s="103">
        <f t="shared" si="11"/>
        <v>0</v>
      </c>
    </row>
    <row r="33" spans="1:16">
      <c r="B33" s="5" t="s">
        <v>43</v>
      </c>
      <c r="C33" s="19">
        <f>129929/12</f>
        <v>10827.416666666666</v>
      </c>
      <c r="D33" s="19">
        <f t="shared" ref="D33:N33" si="14">129929/12</f>
        <v>10827.416666666666</v>
      </c>
      <c r="E33" s="19">
        <f t="shared" si="14"/>
        <v>10827.416666666666</v>
      </c>
      <c r="F33" s="19">
        <f t="shared" si="14"/>
        <v>10827.416666666666</v>
      </c>
      <c r="G33" s="19">
        <f t="shared" si="14"/>
        <v>10827.416666666666</v>
      </c>
      <c r="H33" s="19">
        <f t="shared" si="14"/>
        <v>10827.416666666666</v>
      </c>
      <c r="I33" s="19">
        <f t="shared" si="14"/>
        <v>10827.416666666666</v>
      </c>
      <c r="J33" s="19">
        <f t="shared" si="14"/>
        <v>10827.416666666666</v>
      </c>
      <c r="K33" s="19">
        <f t="shared" si="14"/>
        <v>10827.416666666666</v>
      </c>
      <c r="L33" s="19">
        <f t="shared" si="14"/>
        <v>10827.416666666666</v>
      </c>
      <c r="M33" s="19">
        <f t="shared" si="14"/>
        <v>10827.416666666666</v>
      </c>
      <c r="N33" s="19">
        <f t="shared" si="14"/>
        <v>10827.416666666666</v>
      </c>
      <c r="O33" s="103">
        <f t="shared" si="11"/>
        <v>129929.00000000001</v>
      </c>
    </row>
    <row r="34" spans="1:16">
      <c r="A34" t="s">
        <v>20</v>
      </c>
      <c r="B34" s="10" t="s">
        <v>51</v>
      </c>
      <c r="C34" s="20">
        <f t="shared" ref="C34:O34" si="15">SUM(C27:C33)</f>
        <v>11882.75</v>
      </c>
      <c r="D34" s="20">
        <f t="shared" si="15"/>
        <v>11882.75</v>
      </c>
      <c r="E34" s="20">
        <f t="shared" si="15"/>
        <v>11882.75</v>
      </c>
      <c r="F34" s="20">
        <f t="shared" si="15"/>
        <v>11882.75</v>
      </c>
      <c r="G34" s="20">
        <f t="shared" si="15"/>
        <v>11882.75</v>
      </c>
      <c r="H34" s="20">
        <f t="shared" si="15"/>
        <v>11882.75</v>
      </c>
      <c r="I34" s="20">
        <f t="shared" si="15"/>
        <v>11882.75</v>
      </c>
      <c r="J34" s="20">
        <f t="shared" si="15"/>
        <v>11882.75</v>
      </c>
      <c r="K34" s="20">
        <f t="shared" si="15"/>
        <v>11882.75</v>
      </c>
      <c r="L34" s="20">
        <f t="shared" si="15"/>
        <v>11882.75</v>
      </c>
      <c r="M34" s="20">
        <f t="shared" si="15"/>
        <v>11882.75</v>
      </c>
      <c r="N34" s="20">
        <f t="shared" si="15"/>
        <v>11882.75</v>
      </c>
      <c r="O34" s="104">
        <f t="shared" si="15"/>
        <v>142593</v>
      </c>
    </row>
    <row r="35" spans="1:16">
      <c r="B35" s="10"/>
      <c r="O35" s="105"/>
    </row>
    <row r="36" spans="1:16" ht="15.75" thickBot="1">
      <c r="A36" t="s">
        <v>128</v>
      </c>
      <c r="B36" s="10" t="s">
        <v>119</v>
      </c>
      <c r="C36" s="22">
        <f>C34+C24+C14</f>
        <v>173135.41666666669</v>
      </c>
      <c r="D36" s="22">
        <f t="shared" ref="D36:O36" si="16">D34+D24+D14</f>
        <v>173135.41666666669</v>
      </c>
      <c r="E36" s="22">
        <f t="shared" si="16"/>
        <v>173135.41666666669</v>
      </c>
      <c r="F36" s="22">
        <f t="shared" si="16"/>
        <v>173135.41666666669</v>
      </c>
      <c r="G36" s="22">
        <f t="shared" si="16"/>
        <v>173135.41666666669</v>
      </c>
      <c r="H36" s="22">
        <f t="shared" si="16"/>
        <v>173135.41666666669</v>
      </c>
      <c r="I36" s="22">
        <f t="shared" si="16"/>
        <v>173135.41666666669</v>
      </c>
      <c r="J36" s="22">
        <f t="shared" si="16"/>
        <v>173135.41666666669</v>
      </c>
      <c r="K36" s="22">
        <f t="shared" si="16"/>
        <v>173135.41666666669</v>
      </c>
      <c r="L36" s="22">
        <f t="shared" si="16"/>
        <v>173135.41666666669</v>
      </c>
      <c r="M36" s="22">
        <f t="shared" si="16"/>
        <v>173135.41666666669</v>
      </c>
      <c r="N36" s="22">
        <f t="shared" si="16"/>
        <v>173135.41666666669</v>
      </c>
      <c r="O36" s="106">
        <f t="shared" si="16"/>
        <v>2077625</v>
      </c>
    </row>
    <row r="37" spans="1:16" ht="15.75" thickTop="1">
      <c r="B37" s="10"/>
      <c r="O37" s="105"/>
    </row>
    <row r="38" spans="1:16">
      <c r="B38" s="11" t="s">
        <v>120</v>
      </c>
      <c r="O38" s="105"/>
    </row>
    <row r="39" spans="1:16">
      <c r="B39" s="6" t="s">
        <v>37</v>
      </c>
      <c r="C39" s="19">
        <v>29814</v>
      </c>
      <c r="D39" s="19">
        <v>13672</v>
      </c>
      <c r="E39" s="19">
        <v>15793</v>
      </c>
      <c r="F39" s="19">
        <v>5836</v>
      </c>
      <c r="G39" s="19">
        <v>5687</v>
      </c>
      <c r="H39" s="19">
        <v>35466</v>
      </c>
      <c r="I39" s="19">
        <v>83822</v>
      </c>
      <c r="J39" s="19">
        <v>5298</v>
      </c>
      <c r="K39" s="19">
        <v>21105</v>
      </c>
      <c r="L39" s="19">
        <v>23726</v>
      </c>
      <c r="M39" s="19">
        <v>21286</v>
      </c>
      <c r="N39" s="19">
        <v>31034</v>
      </c>
      <c r="O39" s="103">
        <f t="shared" ref="O39:O41" si="17">SUM(C39:N39)</f>
        <v>292539</v>
      </c>
      <c r="P39" s="17">
        <f t="shared" ref="P39:P45" si="18">SUM(D39:O39)</f>
        <v>555264</v>
      </c>
    </row>
    <row r="40" spans="1:16">
      <c r="B40" s="6" t="s">
        <v>38</v>
      </c>
      <c r="C40" s="19">
        <v>87336.59</v>
      </c>
      <c r="D40" s="19">
        <v>124672.27</v>
      </c>
      <c r="E40" s="19">
        <v>69787.14</v>
      </c>
      <c r="F40" s="19">
        <v>75359</v>
      </c>
      <c r="G40" s="19">
        <v>59961</v>
      </c>
      <c r="H40" s="19">
        <v>79975</v>
      </c>
      <c r="I40" s="19">
        <v>88952</v>
      </c>
      <c r="J40" s="19">
        <v>46033</v>
      </c>
      <c r="K40" s="19">
        <v>41904</v>
      </c>
      <c r="L40" s="19">
        <v>56628</v>
      </c>
      <c r="M40" s="19">
        <v>99789.57</v>
      </c>
      <c r="N40" s="19">
        <v>111650.11</v>
      </c>
      <c r="O40" s="103">
        <f t="shared" si="17"/>
        <v>942047.68</v>
      </c>
      <c r="P40" s="17">
        <f t="shared" si="18"/>
        <v>1796758.77</v>
      </c>
    </row>
    <row r="41" spans="1:16">
      <c r="B41" s="6" t="s">
        <v>242</v>
      </c>
      <c r="C41" s="19"/>
      <c r="D41" s="19"/>
      <c r="E41" s="19"/>
      <c r="F41" s="19"/>
      <c r="G41" s="19">
        <v>39399</v>
      </c>
      <c r="H41" s="19"/>
      <c r="I41" s="19">
        <v>51442</v>
      </c>
      <c r="J41" s="19">
        <v>39453</v>
      </c>
      <c r="K41" s="19">
        <v>21315</v>
      </c>
      <c r="L41" s="19">
        <v>11981</v>
      </c>
      <c r="M41" s="19"/>
      <c r="N41" s="19">
        <v>18396.79</v>
      </c>
      <c r="O41" s="103">
        <f t="shared" si="17"/>
        <v>181986.79</v>
      </c>
      <c r="P41" s="17">
        <f t="shared" si="18"/>
        <v>363973.58</v>
      </c>
    </row>
    <row r="42" spans="1:16" hidden="1">
      <c r="B42" s="6" t="s">
        <v>40</v>
      </c>
      <c r="C42" s="19"/>
      <c r="D42" s="19"/>
      <c r="E42" s="19"/>
      <c r="F42" s="19"/>
      <c r="G42" s="19"/>
      <c r="H42" s="19"/>
      <c r="I42" s="19"/>
      <c r="J42" s="19"/>
      <c r="K42" s="19"/>
      <c r="L42" s="19"/>
      <c r="M42" s="19"/>
      <c r="N42" s="19"/>
      <c r="O42" s="107"/>
      <c r="P42" s="17">
        <f t="shared" si="18"/>
        <v>0</v>
      </c>
    </row>
    <row r="43" spans="1:16" hidden="1">
      <c r="B43" s="6" t="s">
        <v>41</v>
      </c>
      <c r="C43" s="19"/>
      <c r="D43" s="19"/>
      <c r="E43" s="19"/>
      <c r="F43" s="19"/>
      <c r="G43" s="19"/>
      <c r="H43" s="19"/>
      <c r="I43" s="19"/>
      <c r="J43" s="19"/>
      <c r="K43" s="19"/>
      <c r="L43" s="19"/>
      <c r="M43" s="19"/>
      <c r="N43" s="19"/>
      <c r="O43" s="107"/>
      <c r="P43" s="17">
        <f t="shared" si="18"/>
        <v>0</v>
      </c>
    </row>
    <row r="44" spans="1:16" hidden="1">
      <c r="B44" s="6" t="s">
        <v>42</v>
      </c>
      <c r="C44" s="19"/>
      <c r="D44" s="19"/>
      <c r="E44" s="19"/>
      <c r="F44" s="19"/>
      <c r="G44" s="19"/>
      <c r="H44" s="19"/>
      <c r="I44" s="19"/>
      <c r="J44" s="19"/>
      <c r="K44" s="19"/>
      <c r="L44" s="19"/>
      <c r="M44" s="19"/>
      <c r="N44" s="19"/>
      <c r="O44" s="107"/>
      <c r="P44" s="17">
        <f t="shared" si="18"/>
        <v>0</v>
      </c>
    </row>
    <row r="45" spans="1:16" hidden="1">
      <c r="B45" s="6" t="s">
        <v>43</v>
      </c>
      <c r="C45" s="19"/>
      <c r="D45" s="19"/>
      <c r="E45" s="19"/>
      <c r="F45" s="19"/>
      <c r="G45" s="19"/>
      <c r="H45" s="19"/>
      <c r="I45" s="19"/>
      <c r="J45" s="19"/>
      <c r="K45" s="19"/>
      <c r="L45" s="19"/>
      <c r="M45" s="19"/>
      <c r="N45" s="19"/>
      <c r="O45" s="107"/>
      <c r="P45" s="17">
        <f t="shared" si="18"/>
        <v>0</v>
      </c>
    </row>
    <row r="46" spans="1:16">
      <c r="A46" t="s">
        <v>24</v>
      </c>
      <c r="B46" s="11" t="s">
        <v>45</v>
      </c>
      <c r="C46" s="20">
        <f>SUM(C39:C45)</f>
        <v>117150.59</v>
      </c>
      <c r="D46" s="20">
        <f t="shared" ref="D46:O46" si="19">SUM(D39:D45)</f>
        <v>138344.27000000002</v>
      </c>
      <c r="E46" s="20">
        <f t="shared" si="19"/>
        <v>85580.14</v>
      </c>
      <c r="F46" s="20">
        <f t="shared" si="19"/>
        <v>81195</v>
      </c>
      <c r="G46" s="20">
        <f t="shared" si="19"/>
        <v>105047</v>
      </c>
      <c r="H46" s="20">
        <f t="shared" si="19"/>
        <v>115441</v>
      </c>
      <c r="I46" s="20">
        <f t="shared" si="19"/>
        <v>224216</v>
      </c>
      <c r="J46" s="20">
        <f t="shared" si="19"/>
        <v>90784</v>
      </c>
      <c r="K46" s="20">
        <f>SUM(K39:K45)</f>
        <v>84324</v>
      </c>
      <c r="L46" s="20">
        <f t="shared" si="19"/>
        <v>92335</v>
      </c>
      <c r="M46" s="20">
        <f t="shared" si="19"/>
        <v>121075.57</v>
      </c>
      <c r="N46" s="20">
        <f t="shared" si="19"/>
        <v>161080.9</v>
      </c>
      <c r="O46" s="104">
        <f t="shared" si="19"/>
        <v>1416573.4700000002</v>
      </c>
      <c r="P46" s="20">
        <f>SUM(P39:P45)</f>
        <v>2715996.35</v>
      </c>
    </row>
    <row r="47" spans="1:16">
      <c r="B47" s="11"/>
      <c r="C47" s="19"/>
      <c r="D47" s="19"/>
      <c r="E47" s="19"/>
      <c r="F47" s="19"/>
      <c r="G47" s="19"/>
      <c r="H47" s="19"/>
      <c r="I47" s="19"/>
      <c r="J47" s="19"/>
      <c r="K47" s="19"/>
      <c r="L47" s="19"/>
      <c r="M47" s="19"/>
      <c r="N47" s="19"/>
      <c r="O47" s="107"/>
      <c r="P47" s="19"/>
    </row>
    <row r="48" spans="1:16">
      <c r="B48" s="11" t="s">
        <v>121</v>
      </c>
      <c r="C48" s="19"/>
      <c r="D48" s="19"/>
      <c r="E48" s="19"/>
      <c r="F48" s="19"/>
      <c r="G48" s="19"/>
      <c r="H48" s="19"/>
      <c r="I48" s="19"/>
      <c r="J48" s="19"/>
      <c r="K48" s="19"/>
      <c r="L48" s="19"/>
      <c r="M48" s="19"/>
      <c r="N48" s="19"/>
      <c r="O48" s="107"/>
      <c r="P48" s="19"/>
    </row>
    <row r="49" spans="1:16">
      <c r="B49" s="6" t="s">
        <v>37</v>
      </c>
      <c r="C49" s="19">
        <v>1899.64</v>
      </c>
      <c r="D49" s="19">
        <v>2137.91</v>
      </c>
      <c r="E49" s="19">
        <v>2315.1</v>
      </c>
      <c r="F49" s="19">
        <v>2905</v>
      </c>
      <c r="G49" s="19">
        <v>1628</v>
      </c>
      <c r="H49" s="19">
        <v>2266</v>
      </c>
      <c r="I49" s="19">
        <v>2615</v>
      </c>
      <c r="J49" s="19">
        <v>2027</v>
      </c>
      <c r="K49" s="19">
        <v>4109</v>
      </c>
      <c r="L49" s="19">
        <v>2611</v>
      </c>
      <c r="M49" s="19">
        <v>2081.35</v>
      </c>
      <c r="N49" s="19">
        <v>3488.36</v>
      </c>
      <c r="O49" s="103">
        <f t="shared" ref="O49:O55" si="20">SUM(C49:N49)</f>
        <v>30083.360000000001</v>
      </c>
      <c r="P49" s="17">
        <f t="shared" ref="P49:P55" si="21">SUM(D49:O49)</f>
        <v>58267.08</v>
      </c>
    </row>
    <row r="50" spans="1:16">
      <c r="B50" s="6" t="s">
        <v>38</v>
      </c>
      <c r="C50" s="19">
        <v>7351.74</v>
      </c>
      <c r="D50" s="19">
        <v>8531.83</v>
      </c>
      <c r="E50" s="19">
        <v>5112.6099999999997</v>
      </c>
      <c r="F50" s="19">
        <v>3353</v>
      </c>
      <c r="G50" s="19">
        <v>2349</v>
      </c>
      <c r="H50" s="19">
        <v>1574</v>
      </c>
      <c r="I50" s="19">
        <v>6333</v>
      </c>
      <c r="J50" s="19">
        <v>2266</v>
      </c>
      <c r="K50" s="19">
        <v>10242</v>
      </c>
      <c r="L50" s="19">
        <v>14441</v>
      </c>
      <c r="M50" s="19">
        <v>35615.72</v>
      </c>
      <c r="N50" s="19">
        <v>11875.56</v>
      </c>
      <c r="O50" s="103">
        <f t="shared" si="20"/>
        <v>109045.45999999999</v>
      </c>
      <c r="P50" s="17">
        <f t="shared" si="21"/>
        <v>210739.18</v>
      </c>
    </row>
    <row r="51" spans="1:16">
      <c r="B51" s="6" t="s">
        <v>242</v>
      </c>
      <c r="C51" s="19">
        <v>2496.35</v>
      </c>
      <c r="D51" s="19">
        <v>853.8</v>
      </c>
      <c r="E51" s="19">
        <v>978.04</v>
      </c>
      <c r="F51" s="19">
        <v>770</v>
      </c>
      <c r="G51" s="19">
        <v>4691</v>
      </c>
      <c r="H51" s="19">
        <v>832</v>
      </c>
      <c r="I51" s="19">
        <v>5867</v>
      </c>
      <c r="J51" s="19">
        <v>1013</v>
      </c>
      <c r="K51" s="19">
        <v>6330</v>
      </c>
      <c r="L51" s="19">
        <v>815</v>
      </c>
      <c r="M51" s="19">
        <v>847.91</v>
      </c>
      <c r="N51" s="19">
        <v>6778.2300000000005</v>
      </c>
      <c r="O51" s="103">
        <f t="shared" si="20"/>
        <v>32272.329999999998</v>
      </c>
      <c r="P51" s="17">
        <f t="shared" si="21"/>
        <v>62048.31</v>
      </c>
    </row>
    <row r="52" spans="1:16" hidden="1">
      <c r="B52" s="6" t="s">
        <v>40</v>
      </c>
      <c r="C52" s="19"/>
      <c r="D52" s="19"/>
      <c r="E52" s="19"/>
      <c r="F52" s="19"/>
      <c r="G52" s="19"/>
      <c r="H52" s="19"/>
      <c r="I52" s="19"/>
      <c r="J52" s="19"/>
      <c r="K52" s="19"/>
      <c r="L52" s="19"/>
      <c r="M52" s="19"/>
      <c r="N52" s="19"/>
      <c r="O52" s="103">
        <f t="shared" si="20"/>
        <v>0</v>
      </c>
      <c r="P52" s="17">
        <f t="shared" si="21"/>
        <v>0</v>
      </c>
    </row>
    <row r="53" spans="1:16" hidden="1">
      <c r="B53" s="6" t="s">
        <v>41</v>
      </c>
      <c r="C53" s="19"/>
      <c r="D53" s="19"/>
      <c r="E53" s="19"/>
      <c r="F53" s="19"/>
      <c r="G53" s="19"/>
      <c r="H53" s="19"/>
      <c r="I53" s="19"/>
      <c r="J53" s="19"/>
      <c r="K53" s="19"/>
      <c r="L53" s="19"/>
      <c r="M53" s="19"/>
      <c r="N53" s="19"/>
      <c r="O53" s="103">
        <f t="shared" si="20"/>
        <v>0</v>
      </c>
      <c r="P53" s="17">
        <f t="shared" si="21"/>
        <v>0</v>
      </c>
    </row>
    <row r="54" spans="1:16">
      <c r="B54" s="6" t="s">
        <v>42</v>
      </c>
      <c r="C54" s="19"/>
      <c r="D54" s="19"/>
      <c r="E54" s="19"/>
      <c r="F54" s="19"/>
      <c r="G54" s="19"/>
      <c r="H54" s="19"/>
      <c r="I54" s="19"/>
      <c r="J54" s="19"/>
      <c r="K54" s="19"/>
      <c r="L54" s="19"/>
      <c r="M54" s="19"/>
      <c r="N54" s="19">
        <v>40.03</v>
      </c>
      <c r="O54" s="103">
        <f t="shared" si="20"/>
        <v>40.03</v>
      </c>
      <c r="P54" s="17">
        <f t="shared" si="21"/>
        <v>80.06</v>
      </c>
    </row>
    <row r="55" spans="1:16">
      <c r="B55" s="6" t="s">
        <v>43</v>
      </c>
      <c r="C55" s="19">
        <v>23178.37</v>
      </c>
      <c r="D55" s="19">
        <v>24559.19</v>
      </c>
      <c r="E55" s="19">
        <v>31880.42</v>
      </c>
      <c r="F55" s="19">
        <v>26820</v>
      </c>
      <c r="G55" s="19">
        <v>28332</v>
      </c>
      <c r="H55" s="19">
        <v>29287</v>
      </c>
      <c r="I55" s="19">
        <v>34994</v>
      </c>
      <c r="J55" s="19">
        <v>27426</v>
      </c>
      <c r="K55" s="19">
        <v>25454</v>
      </c>
      <c r="L55" s="19">
        <v>27783</v>
      </c>
      <c r="M55" s="19">
        <v>28237.87</v>
      </c>
      <c r="N55" s="19">
        <v>26568.37</v>
      </c>
      <c r="O55" s="103">
        <f t="shared" si="20"/>
        <v>334520.21999999997</v>
      </c>
      <c r="P55" s="17">
        <f t="shared" si="21"/>
        <v>645862.06999999995</v>
      </c>
    </row>
    <row r="56" spans="1:16">
      <c r="A56" t="s">
        <v>129</v>
      </c>
      <c r="B56" s="11" t="s">
        <v>122</v>
      </c>
      <c r="C56" s="20">
        <f t="shared" ref="C56:O56" si="22">SUM(C49:C55)</f>
        <v>34926.1</v>
      </c>
      <c r="D56" s="20">
        <f t="shared" si="22"/>
        <v>36082.729999999996</v>
      </c>
      <c r="E56" s="20">
        <f t="shared" si="22"/>
        <v>40286.17</v>
      </c>
      <c r="F56" s="20">
        <f t="shared" si="22"/>
        <v>33848</v>
      </c>
      <c r="G56" s="20">
        <f t="shared" si="22"/>
        <v>37000</v>
      </c>
      <c r="H56" s="20">
        <f t="shared" si="22"/>
        <v>33959</v>
      </c>
      <c r="I56" s="20">
        <f t="shared" si="22"/>
        <v>49809</v>
      </c>
      <c r="J56" s="20">
        <f t="shared" si="22"/>
        <v>32732</v>
      </c>
      <c r="K56" s="20">
        <f t="shared" si="22"/>
        <v>46135</v>
      </c>
      <c r="L56" s="20">
        <f t="shared" si="22"/>
        <v>45650</v>
      </c>
      <c r="M56" s="20">
        <f t="shared" si="22"/>
        <v>66782.850000000006</v>
      </c>
      <c r="N56" s="20">
        <f t="shared" si="22"/>
        <v>48750.55</v>
      </c>
      <c r="O56" s="104">
        <f t="shared" si="22"/>
        <v>505961.39999999997</v>
      </c>
      <c r="P56" s="20">
        <f>SUM(P49:P55)</f>
        <v>976996.7</v>
      </c>
    </row>
    <row r="57" spans="1:16">
      <c r="B57" s="11"/>
      <c r="C57" s="19"/>
      <c r="D57" s="19"/>
      <c r="E57" s="19"/>
      <c r="F57" s="19"/>
      <c r="G57" s="19"/>
      <c r="H57" s="19"/>
      <c r="I57" s="19"/>
      <c r="J57" s="19"/>
      <c r="K57" s="19"/>
      <c r="L57" s="19"/>
      <c r="M57" s="19"/>
      <c r="N57" s="19"/>
      <c r="O57" s="107"/>
      <c r="P57" s="19"/>
    </row>
    <row r="58" spans="1:16">
      <c r="B58" s="11" t="s">
        <v>123</v>
      </c>
      <c r="C58" s="19"/>
      <c r="D58" s="19"/>
      <c r="E58" s="19"/>
      <c r="F58" s="19"/>
      <c r="G58" s="19"/>
      <c r="H58" s="19"/>
      <c r="I58" s="19"/>
      <c r="J58" s="19"/>
      <c r="L58" s="19"/>
      <c r="M58" s="19"/>
      <c r="N58" s="19"/>
      <c r="O58" s="107"/>
      <c r="P58" s="19"/>
    </row>
    <row r="59" spans="1:16">
      <c r="B59" s="6" t="s">
        <v>37</v>
      </c>
      <c r="C59" s="19">
        <v>4798.97</v>
      </c>
      <c r="D59" s="19">
        <v>5611.58</v>
      </c>
      <c r="E59" s="19">
        <v>3745.99</v>
      </c>
      <c r="F59" s="19">
        <v>1756</v>
      </c>
      <c r="G59" s="19">
        <v>2540</v>
      </c>
      <c r="H59" s="19">
        <v>2393</v>
      </c>
      <c r="I59" s="19">
        <v>1765</v>
      </c>
      <c r="J59" s="19">
        <v>1448</v>
      </c>
      <c r="K59" s="14">
        <v>2578</v>
      </c>
      <c r="L59" s="19">
        <v>2386</v>
      </c>
      <c r="M59" s="19">
        <v>2254.08</v>
      </c>
      <c r="N59" s="19">
        <v>2141.1799999999998</v>
      </c>
      <c r="O59" s="103">
        <f t="shared" ref="O59:O65" si="23">SUM(C59:N59)</f>
        <v>33417.800000000003</v>
      </c>
      <c r="P59" s="17">
        <f t="shared" ref="P59:P65" si="24">SUM(D59:O59)</f>
        <v>62036.630000000005</v>
      </c>
    </row>
    <row r="60" spans="1:16">
      <c r="B60" s="6" t="s">
        <v>38</v>
      </c>
      <c r="C60" s="19"/>
      <c r="D60" s="19"/>
      <c r="E60" s="19"/>
      <c r="F60" s="19"/>
      <c r="G60" s="19"/>
      <c r="H60" s="19"/>
      <c r="I60" s="19"/>
      <c r="J60" s="19"/>
      <c r="L60" s="19"/>
      <c r="M60" s="19"/>
      <c r="N60" s="19"/>
      <c r="O60" s="103">
        <f t="shared" si="23"/>
        <v>0</v>
      </c>
      <c r="P60" s="17">
        <f t="shared" si="24"/>
        <v>0</v>
      </c>
    </row>
    <row r="61" spans="1:16">
      <c r="B61" s="6" t="s">
        <v>242</v>
      </c>
      <c r="D61" s="19"/>
      <c r="E61" s="19"/>
      <c r="F61" s="19"/>
      <c r="G61" s="19"/>
      <c r="H61" s="19"/>
      <c r="I61" s="19"/>
      <c r="J61" s="19"/>
      <c r="L61" s="19">
        <v>257</v>
      </c>
      <c r="M61" s="19"/>
      <c r="N61" s="19"/>
      <c r="O61" s="103">
        <f t="shared" si="23"/>
        <v>257</v>
      </c>
      <c r="P61" s="17">
        <f t="shared" si="24"/>
        <v>514</v>
      </c>
    </row>
    <row r="62" spans="1:16" hidden="1">
      <c r="B62" s="6" t="s">
        <v>40</v>
      </c>
      <c r="D62" s="19"/>
      <c r="E62" s="19"/>
      <c r="F62" s="19"/>
      <c r="G62" s="19"/>
      <c r="H62" s="19"/>
      <c r="I62" s="19"/>
      <c r="J62" s="19"/>
      <c r="K62" s="19"/>
      <c r="L62" s="19"/>
      <c r="M62" s="19"/>
      <c r="N62" s="19"/>
      <c r="O62" s="103">
        <f t="shared" si="23"/>
        <v>0</v>
      </c>
      <c r="P62" s="17">
        <f t="shared" si="24"/>
        <v>0</v>
      </c>
    </row>
    <row r="63" spans="1:16" hidden="1">
      <c r="B63" s="6" t="s">
        <v>41</v>
      </c>
      <c r="D63" s="19"/>
      <c r="E63" s="19"/>
      <c r="F63" s="19"/>
      <c r="G63" s="19"/>
      <c r="H63" s="19"/>
      <c r="I63" s="19"/>
      <c r="J63" s="19"/>
      <c r="K63" s="19"/>
      <c r="L63" s="19"/>
      <c r="M63" s="19"/>
      <c r="N63" s="19"/>
      <c r="O63" s="103">
        <f t="shared" si="23"/>
        <v>0</v>
      </c>
      <c r="P63" s="17">
        <f t="shared" si="24"/>
        <v>0</v>
      </c>
    </row>
    <row r="64" spans="1:16">
      <c r="B64" s="6" t="s">
        <v>42</v>
      </c>
      <c r="D64" s="19"/>
      <c r="E64" s="19"/>
      <c r="F64" s="19"/>
      <c r="G64" s="19"/>
      <c r="H64" s="19"/>
      <c r="I64" s="19"/>
      <c r="J64" s="19"/>
      <c r="K64" s="19"/>
      <c r="L64" s="19"/>
      <c r="M64" s="19"/>
      <c r="N64" s="19"/>
      <c r="O64" s="103">
        <f t="shared" si="23"/>
        <v>0</v>
      </c>
      <c r="P64" s="17">
        <f t="shared" si="24"/>
        <v>0</v>
      </c>
    </row>
    <row r="65" spans="1:16">
      <c r="B65" s="6" t="s">
        <v>43</v>
      </c>
      <c r="D65" s="19"/>
      <c r="E65" s="19"/>
      <c r="F65" s="19"/>
      <c r="G65" s="19">
        <v>460</v>
      </c>
      <c r="H65" s="19">
        <v>632</v>
      </c>
      <c r="I65" s="19">
        <v>-158</v>
      </c>
      <c r="J65" s="19"/>
      <c r="K65" s="19"/>
      <c r="L65" s="19"/>
      <c r="M65" s="19"/>
      <c r="N65" s="19"/>
      <c r="O65" s="103">
        <f t="shared" si="23"/>
        <v>934</v>
      </c>
      <c r="P65" s="17">
        <f t="shared" si="24"/>
        <v>1868</v>
      </c>
    </row>
    <row r="66" spans="1:16">
      <c r="A66" t="s">
        <v>130</v>
      </c>
      <c r="B66" s="11" t="s">
        <v>46</v>
      </c>
      <c r="C66" s="20">
        <f t="shared" ref="C66:P66" si="25">SUM(C59:C65)</f>
        <v>4798.97</v>
      </c>
      <c r="D66" s="20">
        <f t="shared" si="25"/>
        <v>5611.58</v>
      </c>
      <c r="E66" s="20">
        <f t="shared" si="25"/>
        <v>3745.99</v>
      </c>
      <c r="F66" s="20">
        <f t="shared" si="25"/>
        <v>1756</v>
      </c>
      <c r="G66" s="20">
        <f t="shared" si="25"/>
        <v>3000</v>
      </c>
      <c r="H66" s="20">
        <f t="shared" si="25"/>
        <v>3025</v>
      </c>
      <c r="I66" s="20">
        <f t="shared" si="25"/>
        <v>1607</v>
      </c>
      <c r="J66" s="20">
        <f t="shared" si="25"/>
        <v>1448</v>
      </c>
      <c r="K66" s="20">
        <f>SUM(K59:K65)</f>
        <v>2578</v>
      </c>
      <c r="L66" s="20">
        <f t="shared" si="25"/>
        <v>2643</v>
      </c>
      <c r="M66" s="20">
        <f t="shared" si="25"/>
        <v>2254.08</v>
      </c>
      <c r="N66" s="20">
        <f t="shared" si="25"/>
        <v>2141.1799999999998</v>
      </c>
      <c r="O66" s="104">
        <f t="shared" si="25"/>
        <v>34608.800000000003</v>
      </c>
      <c r="P66" s="20">
        <f t="shared" si="25"/>
        <v>64418.630000000005</v>
      </c>
    </row>
    <row r="67" spans="1:16">
      <c r="B67" s="11"/>
      <c r="C67" s="19"/>
      <c r="D67" s="19"/>
      <c r="E67" s="19"/>
      <c r="F67" s="19"/>
      <c r="G67" s="19"/>
      <c r="H67" s="19"/>
      <c r="I67" s="19"/>
      <c r="J67" s="19"/>
      <c r="K67" s="19"/>
      <c r="L67" s="19"/>
      <c r="M67" s="19"/>
      <c r="N67" s="19"/>
      <c r="O67" s="107"/>
      <c r="P67" s="19"/>
    </row>
    <row r="68" spans="1:16" ht="15.75" thickBot="1">
      <c r="A68" t="s">
        <v>131</v>
      </c>
      <c r="B68" s="11" t="s">
        <v>124</v>
      </c>
      <c r="C68" s="22">
        <f>C66+C56+C46</f>
        <v>156875.66</v>
      </c>
      <c r="D68" s="22">
        <f>D66+D56+D46</f>
        <v>180038.58000000002</v>
      </c>
      <c r="E68" s="22">
        <f t="shared" ref="E68:P68" si="26">E66+E56+E46</f>
        <v>129612.29999999999</v>
      </c>
      <c r="F68" s="22">
        <f t="shared" si="26"/>
        <v>116799</v>
      </c>
      <c r="G68" s="22">
        <f t="shared" si="26"/>
        <v>145047</v>
      </c>
      <c r="H68" s="22">
        <f t="shared" si="26"/>
        <v>152425</v>
      </c>
      <c r="I68" s="22">
        <f t="shared" si="26"/>
        <v>275632</v>
      </c>
      <c r="J68" s="22">
        <f t="shared" si="26"/>
        <v>124964</v>
      </c>
      <c r="K68" s="22">
        <f t="shared" si="26"/>
        <v>133037</v>
      </c>
      <c r="L68" s="22">
        <f t="shared" si="26"/>
        <v>140628</v>
      </c>
      <c r="M68" s="22">
        <f t="shared" si="26"/>
        <v>190112.5</v>
      </c>
      <c r="N68" s="22">
        <f t="shared" si="26"/>
        <v>211972.63</v>
      </c>
      <c r="O68" s="106">
        <f t="shared" si="26"/>
        <v>1957143.6700000002</v>
      </c>
      <c r="P68" s="22">
        <f t="shared" si="26"/>
        <v>3757411.68</v>
      </c>
    </row>
    <row r="69" spans="1:16" ht="15.75" thickTop="1">
      <c r="B69" s="10"/>
      <c r="O69" s="105"/>
    </row>
    <row r="70" spans="1:16">
      <c r="B70" s="12" t="s">
        <v>47</v>
      </c>
      <c r="O70" s="105"/>
    </row>
    <row r="71" spans="1:16">
      <c r="B71" s="12" t="s">
        <v>125</v>
      </c>
      <c r="O71" s="105"/>
    </row>
    <row r="72" spans="1:16">
      <c r="B72" s="13" t="s">
        <v>37</v>
      </c>
      <c r="C72" s="21">
        <f>C7-C39</f>
        <v>29796.583333333336</v>
      </c>
      <c r="D72" s="21">
        <f t="shared" ref="D72:E72" si="27">D7-D39</f>
        <v>45938.583333333336</v>
      </c>
      <c r="E72" s="21">
        <f t="shared" si="27"/>
        <v>43817.583333333336</v>
      </c>
      <c r="F72" s="21">
        <f t="shared" ref="F72:G72" si="28">F7-F39</f>
        <v>53774.583333333336</v>
      </c>
      <c r="G72" s="21">
        <f t="shared" si="28"/>
        <v>53923.583333333336</v>
      </c>
      <c r="H72" s="21">
        <f t="shared" ref="H72:I72" si="29">H7-H39</f>
        <v>24144.583333333336</v>
      </c>
      <c r="I72" s="21">
        <f t="shared" si="29"/>
        <v>-24211.416666666664</v>
      </c>
      <c r="J72" s="21">
        <f t="shared" ref="J72:N72" si="30">J7-J39</f>
        <v>54312.583333333336</v>
      </c>
      <c r="K72" s="21">
        <f t="shared" ref="K72" si="31">K7-K39</f>
        <v>38505.583333333336</v>
      </c>
      <c r="L72" s="21">
        <f t="shared" si="30"/>
        <v>35884.583333333336</v>
      </c>
      <c r="M72" s="21">
        <f t="shared" si="30"/>
        <v>38324.583333333336</v>
      </c>
      <c r="N72" s="21">
        <f t="shared" si="30"/>
        <v>28576.583333333336</v>
      </c>
      <c r="O72" s="103">
        <f t="shared" ref="O72:O78" si="32">SUM(C72:N72)</f>
        <v>422787.99999999994</v>
      </c>
    </row>
    <row r="73" spans="1:16">
      <c r="B73" s="13" t="s">
        <v>38</v>
      </c>
      <c r="C73" s="21">
        <f t="shared" ref="C73:E79" si="33">C8-C40</f>
        <v>-22227.589999999997</v>
      </c>
      <c r="D73" s="21">
        <f t="shared" si="33"/>
        <v>-59563.270000000004</v>
      </c>
      <c r="E73" s="21">
        <f t="shared" si="33"/>
        <v>-4678.1399999999994</v>
      </c>
      <c r="F73" s="21">
        <f t="shared" ref="F73:G73" si="34">F8-F40</f>
        <v>-10250</v>
      </c>
      <c r="G73" s="21">
        <f t="shared" si="34"/>
        <v>5148</v>
      </c>
      <c r="H73" s="21">
        <f t="shared" ref="H73:I73" si="35">H8-H40</f>
        <v>-14866</v>
      </c>
      <c r="I73" s="21">
        <f t="shared" si="35"/>
        <v>-23843</v>
      </c>
      <c r="J73" s="21">
        <f t="shared" ref="J73:N73" si="36">J8-J40</f>
        <v>19076</v>
      </c>
      <c r="K73" s="21">
        <f t="shared" ref="K73" si="37">K8-K40</f>
        <v>23205</v>
      </c>
      <c r="L73" s="21">
        <f t="shared" si="36"/>
        <v>8481</v>
      </c>
      <c r="M73" s="21">
        <f t="shared" si="36"/>
        <v>-34680.570000000007</v>
      </c>
      <c r="N73" s="21">
        <f t="shared" si="36"/>
        <v>-46541.11</v>
      </c>
      <c r="O73" s="103">
        <f t="shared" si="32"/>
        <v>-160739.68</v>
      </c>
    </row>
    <row r="74" spans="1:16">
      <c r="B74" s="13" t="s">
        <v>242</v>
      </c>
      <c r="C74" s="21">
        <f t="shared" si="33"/>
        <v>21904.583333333332</v>
      </c>
      <c r="D74" s="21">
        <f t="shared" si="33"/>
        <v>21904.583333333332</v>
      </c>
      <c r="E74" s="21">
        <f t="shared" si="33"/>
        <v>21904.583333333332</v>
      </c>
      <c r="F74" s="21">
        <f t="shared" ref="F74:G74" si="38">F9-F41</f>
        <v>21904.583333333332</v>
      </c>
      <c r="G74" s="21">
        <f t="shared" si="38"/>
        <v>-17494.416666666668</v>
      </c>
      <c r="H74" s="21">
        <f t="shared" ref="H74:I74" si="39">H9-H41</f>
        <v>21904.583333333332</v>
      </c>
      <c r="I74" s="21">
        <f t="shared" si="39"/>
        <v>-29537.416666666668</v>
      </c>
      <c r="J74" s="21">
        <f t="shared" ref="J74:N74" si="40">J9-J41</f>
        <v>-17548.416666666668</v>
      </c>
      <c r="K74" s="21">
        <f t="shared" ref="K74" si="41">K9-K41</f>
        <v>589.58333333333212</v>
      </c>
      <c r="L74" s="21">
        <f t="shared" si="40"/>
        <v>9923.5833333333321</v>
      </c>
      <c r="M74" s="21">
        <f t="shared" si="40"/>
        <v>21904.583333333332</v>
      </c>
      <c r="N74" s="21">
        <f t="shared" si="40"/>
        <v>3507.7933333333312</v>
      </c>
      <c r="O74" s="103">
        <f t="shared" si="32"/>
        <v>80868.209999999963</v>
      </c>
    </row>
    <row r="75" spans="1:16" hidden="1">
      <c r="B75" s="13" t="s">
        <v>40</v>
      </c>
      <c r="C75" s="21">
        <f t="shared" si="33"/>
        <v>0</v>
      </c>
      <c r="D75" s="21">
        <f t="shared" si="33"/>
        <v>0</v>
      </c>
      <c r="E75" s="21">
        <f t="shared" si="33"/>
        <v>0</v>
      </c>
      <c r="F75" s="21">
        <f t="shared" ref="F75:G75" si="42">F10-F42</f>
        <v>0</v>
      </c>
      <c r="G75" s="21">
        <f t="shared" si="42"/>
        <v>0</v>
      </c>
      <c r="H75" s="21">
        <f t="shared" ref="H75:I75" si="43">H10-H42</f>
        <v>0</v>
      </c>
      <c r="I75" s="21">
        <f t="shared" si="43"/>
        <v>0</v>
      </c>
      <c r="J75" s="21">
        <f t="shared" ref="J75:N75" si="44">J10-J42</f>
        <v>0</v>
      </c>
      <c r="K75" s="21">
        <f t="shared" si="44"/>
        <v>0</v>
      </c>
      <c r="L75" s="21">
        <f t="shared" si="44"/>
        <v>0</v>
      </c>
      <c r="M75" s="21">
        <f t="shared" si="44"/>
        <v>0</v>
      </c>
      <c r="N75" s="21">
        <f t="shared" si="44"/>
        <v>0</v>
      </c>
      <c r="O75" s="103">
        <f t="shared" si="32"/>
        <v>0</v>
      </c>
    </row>
    <row r="76" spans="1:16" hidden="1">
      <c r="B76" s="13" t="s">
        <v>41</v>
      </c>
      <c r="C76" s="21">
        <f t="shared" si="33"/>
        <v>0</v>
      </c>
      <c r="D76" s="21">
        <f t="shared" si="33"/>
        <v>0</v>
      </c>
      <c r="E76" s="21">
        <f t="shared" si="33"/>
        <v>0</v>
      </c>
      <c r="F76" s="21">
        <f t="shared" ref="F76:G76" si="45">F11-F43</f>
        <v>0</v>
      </c>
      <c r="G76" s="21">
        <f t="shared" si="45"/>
        <v>0</v>
      </c>
      <c r="H76" s="21">
        <f t="shared" ref="H76:I76" si="46">H11-H43</f>
        <v>0</v>
      </c>
      <c r="I76" s="21">
        <f t="shared" si="46"/>
        <v>0</v>
      </c>
      <c r="J76" s="21">
        <f t="shared" ref="J76:N76" si="47">J11-J43</f>
        <v>0</v>
      </c>
      <c r="K76" s="21">
        <f t="shared" si="47"/>
        <v>0</v>
      </c>
      <c r="L76" s="21">
        <f t="shared" si="47"/>
        <v>0</v>
      </c>
      <c r="M76" s="21">
        <f t="shared" si="47"/>
        <v>0</v>
      </c>
      <c r="N76" s="21">
        <f t="shared" si="47"/>
        <v>0</v>
      </c>
      <c r="O76" s="103">
        <f t="shared" si="32"/>
        <v>0</v>
      </c>
    </row>
    <row r="77" spans="1:16" hidden="1">
      <c r="B77" s="13" t="s">
        <v>42</v>
      </c>
      <c r="C77" s="21">
        <f t="shared" si="33"/>
        <v>0</v>
      </c>
      <c r="D77" s="21">
        <f t="shared" si="33"/>
        <v>0</v>
      </c>
      <c r="E77" s="21">
        <f t="shared" si="33"/>
        <v>0</v>
      </c>
      <c r="F77" s="21">
        <f t="shared" ref="F77:G77" si="48">F12-F44</f>
        <v>0</v>
      </c>
      <c r="G77" s="21">
        <f t="shared" si="48"/>
        <v>0</v>
      </c>
      <c r="H77" s="21">
        <f t="shared" ref="H77:I77" si="49">H12-H44</f>
        <v>0</v>
      </c>
      <c r="I77" s="21">
        <f t="shared" si="49"/>
        <v>0</v>
      </c>
      <c r="J77" s="21">
        <f t="shared" ref="J77:N77" si="50">J12-J44</f>
        <v>0</v>
      </c>
      <c r="K77" s="21">
        <f t="shared" si="50"/>
        <v>0</v>
      </c>
      <c r="L77" s="21">
        <f t="shared" si="50"/>
        <v>0</v>
      </c>
      <c r="M77" s="21">
        <f t="shared" si="50"/>
        <v>0</v>
      </c>
      <c r="N77" s="21">
        <f t="shared" si="50"/>
        <v>0</v>
      </c>
      <c r="O77" s="103">
        <f t="shared" si="32"/>
        <v>0</v>
      </c>
    </row>
    <row r="78" spans="1:16" hidden="1">
      <c r="B78" s="13" t="s">
        <v>43</v>
      </c>
      <c r="C78" s="21">
        <f t="shared" si="33"/>
        <v>0</v>
      </c>
      <c r="D78" s="21">
        <f t="shared" si="33"/>
        <v>0</v>
      </c>
      <c r="E78" s="21">
        <f t="shared" si="33"/>
        <v>0</v>
      </c>
      <c r="F78" s="21">
        <f t="shared" ref="F78:G78" si="51">F13-F45</f>
        <v>0</v>
      </c>
      <c r="G78" s="21">
        <f t="shared" si="51"/>
        <v>0</v>
      </c>
      <c r="H78" s="21">
        <f t="shared" ref="H78:I78" si="52">H13-H45</f>
        <v>0</v>
      </c>
      <c r="I78" s="21">
        <f t="shared" si="52"/>
        <v>0</v>
      </c>
      <c r="J78" s="21">
        <f t="shared" ref="J78:N78" si="53">J13-J45</f>
        <v>0</v>
      </c>
      <c r="K78" s="21">
        <f t="shared" si="53"/>
        <v>0</v>
      </c>
      <c r="L78" s="21">
        <f t="shared" si="53"/>
        <v>0</v>
      </c>
      <c r="M78" s="21">
        <f t="shared" si="53"/>
        <v>0</v>
      </c>
      <c r="N78" s="21">
        <f t="shared" si="53"/>
        <v>0</v>
      </c>
      <c r="O78" s="103">
        <f t="shared" si="32"/>
        <v>0</v>
      </c>
    </row>
    <row r="79" spans="1:16">
      <c r="A79" t="s">
        <v>132</v>
      </c>
      <c r="B79" s="12" t="s">
        <v>48</v>
      </c>
      <c r="C79" s="20">
        <f t="shared" si="33"/>
        <v>29473.57666666669</v>
      </c>
      <c r="D79" s="20">
        <f t="shared" si="33"/>
        <v>8279.8966666666674</v>
      </c>
      <c r="E79" s="20">
        <f t="shared" si="33"/>
        <v>61044.026666666687</v>
      </c>
      <c r="F79" s="20">
        <f t="shared" ref="F79:G79" si="54">F14-F46</f>
        <v>65429.166666666686</v>
      </c>
      <c r="G79" s="20">
        <f t="shared" si="54"/>
        <v>41577.166666666686</v>
      </c>
      <c r="H79" s="20">
        <f t="shared" ref="H79:I79" si="55">H14-H46</f>
        <v>31183.166666666686</v>
      </c>
      <c r="I79" s="20">
        <f t="shared" si="55"/>
        <v>-77591.833333333314</v>
      </c>
      <c r="J79" s="20">
        <f t="shared" ref="J79:N79" si="56">J14-J46</f>
        <v>55840.166666666686</v>
      </c>
      <c r="K79" s="20">
        <f t="shared" si="56"/>
        <v>62300.166666666686</v>
      </c>
      <c r="L79" s="20">
        <f t="shared" si="56"/>
        <v>54289.166666666686</v>
      </c>
      <c r="M79" s="20">
        <f t="shared" si="56"/>
        <v>25548.596666666679</v>
      </c>
      <c r="N79" s="20">
        <f t="shared" si="56"/>
        <v>-14456.733333333308</v>
      </c>
      <c r="O79" s="104">
        <f t="shared" ref="O79" si="57">SUM(O72:O78)</f>
        <v>342916.52999999991</v>
      </c>
    </row>
    <row r="80" spans="1:16">
      <c r="B80" s="12"/>
      <c r="C80" s="21"/>
      <c r="D80" s="21"/>
      <c r="E80" s="21"/>
      <c r="F80" s="21"/>
      <c r="G80" s="21"/>
      <c r="H80" s="21"/>
      <c r="I80" s="21"/>
      <c r="J80" s="21"/>
      <c r="K80" s="21"/>
      <c r="L80" s="21"/>
      <c r="M80" s="21"/>
      <c r="N80" s="21"/>
      <c r="O80" s="107"/>
    </row>
    <row r="81" spans="1:15">
      <c r="B81" s="12" t="s">
        <v>126</v>
      </c>
      <c r="C81" s="21"/>
      <c r="D81" s="21"/>
      <c r="E81" s="21"/>
      <c r="F81" s="21"/>
      <c r="G81" s="21"/>
      <c r="H81" s="21"/>
      <c r="I81" s="21"/>
      <c r="J81" s="21"/>
      <c r="K81" s="21"/>
      <c r="L81" s="21"/>
      <c r="M81" s="21"/>
      <c r="N81" s="21"/>
      <c r="O81" s="103"/>
    </row>
    <row r="82" spans="1:15">
      <c r="B82" s="13" t="s">
        <v>37</v>
      </c>
      <c r="C82" s="21">
        <f t="shared" ref="C82:E89" si="58">C17-C49</f>
        <v>-1850.2233333333334</v>
      </c>
      <c r="D82" s="21">
        <f t="shared" si="58"/>
        <v>-2088.4933333333333</v>
      </c>
      <c r="E82" s="21">
        <f t="shared" si="58"/>
        <v>-2265.6833333333334</v>
      </c>
      <c r="F82" s="21">
        <f t="shared" ref="F82:G82" si="59">F17-F49</f>
        <v>-2855.5833333333335</v>
      </c>
      <c r="G82" s="21">
        <f t="shared" si="59"/>
        <v>-1578.5833333333333</v>
      </c>
      <c r="H82" s="21">
        <f t="shared" ref="H82:I82" si="60">H17-H49</f>
        <v>-2216.5833333333335</v>
      </c>
      <c r="I82" s="21">
        <f t="shared" si="60"/>
        <v>-2565.5833333333335</v>
      </c>
      <c r="J82" s="21">
        <f t="shared" ref="J82:N82" si="61">J17-J49</f>
        <v>-1977.5833333333333</v>
      </c>
      <c r="K82" s="21">
        <f t="shared" si="61"/>
        <v>-4059.5833333333335</v>
      </c>
      <c r="L82" s="21">
        <f t="shared" si="61"/>
        <v>-2561.5833333333335</v>
      </c>
      <c r="M82" s="21">
        <f t="shared" si="61"/>
        <v>-2031.9333333333332</v>
      </c>
      <c r="N82" s="21">
        <f t="shared" si="61"/>
        <v>-3438.9433333333336</v>
      </c>
      <c r="O82" s="103">
        <f t="shared" ref="O82:O88" si="62">SUM(C82:N82)</f>
        <v>-29490.36</v>
      </c>
    </row>
    <row r="83" spans="1:15">
      <c r="B83" s="13" t="s">
        <v>38</v>
      </c>
      <c r="C83" s="21">
        <f t="shared" si="58"/>
        <v>-7024.3233333333328</v>
      </c>
      <c r="D83" s="21">
        <f t="shared" si="58"/>
        <v>-8204.4133333333339</v>
      </c>
      <c r="E83" s="21">
        <f t="shared" si="58"/>
        <v>-4785.1933333333327</v>
      </c>
      <c r="F83" s="21">
        <f t="shared" ref="F83:G83" si="63">F18-F50</f>
        <v>-3025.5833333333335</v>
      </c>
      <c r="G83" s="21">
        <f t="shared" si="63"/>
        <v>-2021.5833333333333</v>
      </c>
      <c r="H83" s="21">
        <f t="shared" ref="H83:I83" si="64">H18-H50</f>
        <v>-1246.5833333333333</v>
      </c>
      <c r="I83" s="21">
        <f t="shared" si="64"/>
        <v>-6005.583333333333</v>
      </c>
      <c r="J83" s="21">
        <f t="shared" ref="J83:N83" si="65">J18-J50</f>
        <v>-1938.5833333333333</v>
      </c>
      <c r="K83" s="21">
        <f t="shared" si="65"/>
        <v>-9914.5833333333339</v>
      </c>
      <c r="L83" s="21">
        <f t="shared" si="65"/>
        <v>-14113.583333333334</v>
      </c>
      <c r="M83" s="21">
        <f t="shared" si="65"/>
        <v>-35288.303333333337</v>
      </c>
      <c r="N83" s="21">
        <f t="shared" si="65"/>
        <v>-11548.143333333333</v>
      </c>
      <c r="O83" s="103">
        <f t="shared" si="62"/>
        <v>-105116.46000000002</v>
      </c>
    </row>
    <row r="84" spans="1:15" hidden="1">
      <c r="B84" s="13" t="s">
        <v>39</v>
      </c>
      <c r="C84" s="21">
        <f t="shared" si="58"/>
        <v>-2496.35</v>
      </c>
      <c r="D84" s="21">
        <f t="shared" si="58"/>
        <v>-853.8</v>
      </c>
      <c r="E84" s="21">
        <f t="shared" si="58"/>
        <v>-978.04</v>
      </c>
      <c r="F84" s="21">
        <f t="shared" ref="F84:G84" si="66">F19-F51</f>
        <v>-770</v>
      </c>
      <c r="G84" s="21">
        <f t="shared" si="66"/>
        <v>-4691</v>
      </c>
      <c r="H84" s="21">
        <f t="shared" ref="H84:I84" si="67">H19-H51</f>
        <v>-832</v>
      </c>
      <c r="I84" s="21">
        <f t="shared" si="67"/>
        <v>-5867</v>
      </c>
      <c r="J84" s="21">
        <f t="shared" ref="J84:N84" si="68">J19-J51</f>
        <v>-1013</v>
      </c>
      <c r="K84" s="21">
        <f t="shared" si="68"/>
        <v>-6330</v>
      </c>
      <c r="L84" s="21">
        <f t="shared" si="68"/>
        <v>-815</v>
      </c>
      <c r="M84" s="21">
        <f t="shared" si="68"/>
        <v>-847.91</v>
      </c>
      <c r="N84" s="21">
        <f t="shared" si="68"/>
        <v>-6778.2300000000005</v>
      </c>
      <c r="O84" s="103">
        <f t="shared" si="62"/>
        <v>-32272.329999999998</v>
      </c>
    </row>
    <row r="85" spans="1:15" hidden="1">
      <c r="B85" s="13" t="s">
        <v>40</v>
      </c>
      <c r="C85" s="21">
        <f t="shared" si="58"/>
        <v>0</v>
      </c>
      <c r="D85" s="21">
        <f t="shared" si="58"/>
        <v>0</v>
      </c>
      <c r="E85" s="21">
        <f t="shared" si="58"/>
        <v>0</v>
      </c>
      <c r="F85" s="21">
        <f t="shared" ref="F85:G85" si="69">F20-F52</f>
        <v>0</v>
      </c>
      <c r="G85" s="21">
        <f t="shared" si="69"/>
        <v>0</v>
      </c>
      <c r="H85" s="21">
        <f t="shared" ref="H85:I85" si="70">H20-H52</f>
        <v>0</v>
      </c>
      <c r="I85" s="21">
        <f t="shared" si="70"/>
        <v>0</v>
      </c>
      <c r="J85" s="21">
        <f t="shared" ref="J85:N85" si="71">J20-J52</f>
        <v>0</v>
      </c>
      <c r="K85" s="21">
        <f t="shared" si="71"/>
        <v>0</v>
      </c>
      <c r="L85" s="21">
        <f t="shared" si="71"/>
        <v>0</v>
      </c>
      <c r="M85" s="21">
        <f t="shared" si="71"/>
        <v>0</v>
      </c>
      <c r="N85" s="21">
        <f t="shared" si="71"/>
        <v>0</v>
      </c>
      <c r="O85" s="103">
        <f t="shared" si="62"/>
        <v>0</v>
      </c>
    </row>
    <row r="86" spans="1:15" hidden="1">
      <c r="B86" s="13" t="s">
        <v>41</v>
      </c>
      <c r="C86" s="21">
        <f t="shared" si="58"/>
        <v>0</v>
      </c>
      <c r="D86" s="21">
        <f t="shared" si="58"/>
        <v>0</v>
      </c>
      <c r="E86" s="21">
        <f t="shared" si="58"/>
        <v>0</v>
      </c>
      <c r="F86" s="21">
        <f t="shared" ref="F86:G86" si="72">F21-F53</f>
        <v>0</v>
      </c>
      <c r="G86" s="21">
        <f t="shared" si="72"/>
        <v>0</v>
      </c>
      <c r="H86" s="21">
        <f t="shared" ref="H86:I86" si="73">H21-H53</f>
        <v>0</v>
      </c>
      <c r="I86" s="21">
        <f t="shared" si="73"/>
        <v>0</v>
      </c>
      <c r="J86" s="21">
        <f t="shared" ref="J86:N86" si="74">J21-J53</f>
        <v>0</v>
      </c>
      <c r="K86" s="21">
        <f t="shared" si="74"/>
        <v>0</v>
      </c>
      <c r="L86" s="21">
        <f t="shared" si="74"/>
        <v>0</v>
      </c>
      <c r="M86" s="21">
        <f t="shared" si="74"/>
        <v>0</v>
      </c>
      <c r="N86" s="21">
        <f t="shared" si="74"/>
        <v>0</v>
      </c>
      <c r="O86" s="103">
        <f t="shared" si="62"/>
        <v>0</v>
      </c>
    </row>
    <row r="87" spans="1:15">
      <c r="B87" s="13" t="s">
        <v>42</v>
      </c>
      <c r="C87" s="21">
        <f t="shared" si="58"/>
        <v>0</v>
      </c>
      <c r="D87" s="21">
        <f t="shared" si="58"/>
        <v>0</v>
      </c>
      <c r="E87" s="21">
        <f t="shared" si="58"/>
        <v>0</v>
      </c>
      <c r="F87" s="21">
        <f t="shared" ref="F87:G87" si="75">F22-F54</f>
        <v>0</v>
      </c>
      <c r="G87" s="21">
        <f t="shared" si="75"/>
        <v>0</v>
      </c>
      <c r="H87" s="21">
        <f t="shared" ref="H87:I87" si="76">H22-H54</f>
        <v>0</v>
      </c>
      <c r="I87" s="21">
        <f t="shared" si="76"/>
        <v>0</v>
      </c>
      <c r="J87" s="21">
        <f t="shared" ref="J87:N87" si="77">J22-J54</f>
        <v>0</v>
      </c>
      <c r="K87" s="21">
        <f t="shared" si="77"/>
        <v>0</v>
      </c>
      <c r="L87" s="21">
        <f t="shared" si="77"/>
        <v>0</v>
      </c>
      <c r="M87" s="21">
        <f t="shared" si="77"/>
        <v>0</v>
      </c>
      <c r="N87" s="21">
        <f t="shared" si="77"/>
        <v>-40.03</v>
      </c>
      <c r="O87" s="103">
        <f t="shared" si="62"/>
        <v>-40.03</v>
      </c>
    </row>
    <row r="88" spans="1:15">
      <c r="B88" s="13" t="s">
        <v>43</v>
      </c>
      <c r="C88" s="21">
        <f t="shared" si="58"/>
        <v>-8926.7033333333329</v>
      </c>
      <c r="D88" s="21">
        <f t="shared" si="58"/>
        <v>-10307.523333333333</v>
      </c>
      <c r="E88" s="21">
        <f t="shared" si="58"/>
        <v>-17628.753333333334</v>
      </c>
      <c r="F88" s="21">
        <f t="shared" ref="F88:G88" si="78">F23-F55</f>
        <v>-12568.333333333334</v>
      </c>
      <c r="G88" s="21">
        <f t="shared" si="78"/>
        <v>-14080.333333333334</v>
      </c>
      <c r="H88" s="21">
        <f t="shared" ref="H88:I88" si="79">H23-H55</f>
        <v>-15035.333333333334</v>
      </c>
      <c r="I88" s="21">
        <f t="shared" si="79"/>
        <v>-20742.333333333336</v>
      </c>
      <c r="J88" s="21">
        <f t="shared" ref="J88:N88" si="80">J23-J55</f>
        <v>-13174.333333333334</v>
      </c>
      <c r="K88" s="21">
        <f t="shared" si="80"/>
        <v>-11202.333333333334</v>
      </c>
      <c r="L88" s="21">
        <f t="shared" si="80"/>
        <v>-13531.333333333334</v>
      </c>
      <c r="M88" s="21">
        <f t="shared" si="80"/>
        <v>-13986.203333333333</v>
      </c>
      <c r="N88" s="21">
        <f t="shared" si="80"/>
        <v>-12316.703333333333</v>
      </c>
      <c r="O88" s="103">
        <f t="shared" si="62"/>
        <v>-163500.22</v>
      </c>
    </row>
    <row r="89" spans="1:15">
      <c r="A89" t="s">
        <v>133</v>
      </c>
      <c r="B89" s="12" t="s">
        <v>48</v>
      </c>
      <c r="C89" s="20">
        <f t="shared" si="58"/>
        <v>-20297.599999999999</v>
      </c>
      <c r="D89" s="20">
        <f t="shared" si="58"/>
        <v>-21454.229999999996</v>
      </c>
      <c r="E89" s="20">
        <f t="shared" si="58"/>
        <v>-25657.67</v>
      </c>
      <c r="F89" s="20">
        <f t="shared" ref="F89:G89" si="81">F24-F56</f>
        <v>-19219.5</v>
      </c>
      <c r="G89" s="20">
        <f t="shared" si="81"/>
        <v>-22371.5</v>
      </c>
      <c r="H89" s="20">
        <f t="shared" ref="H89:I89" si="82">H24-H56</f>
        <v>-19330.5</v>
      </c>
      <c r="I89" s="20">
        <f t="shared" si="82"/>
        <v>-35180.5</v>
      </c>
      <c r="J89" s="20">
        <f t="shared" ref="J89:N89" si="83">J24-J56</f>
        <v>-18103.5</v>
      </c>
      <c r="K89" s="20">
        <f t="shared" si="83"/>
        <v>-31506.5</v>
      </c>
      <c r="L89" s="20">
        <f t="shared" si="83"/>
        <v>-31021.5</v>
      </c>
      <c r="M89" s="20">
        <f t="shared" si="83"/>
        <v>-52154.350000000006</v>
      </c>
      <c r="N89" s="20">
        <f t="shared" si="83"/>
        <v>-34122.050000000003</v>
      </c>
      <c r="O89" s="104">
        <f t="shared" ref="O89" si="84">SUM(O82:O88)</f>
        <v>-330419.40000000002</v>
      </c>
    </row>
    <row r="90" spans="1:15">
      <c r="B90" s="12"/>
      <c r="C90" s="21"/>
      <c r="D90" s="21"/>
      <c r="E90" s="21"/>
      <c r="F90" s="21"/>
      <c r="G90" s="21"/>
      <c r="H90" s="21"/>
      <c r="I90" s="21"/>
      <c r="J90" s="21"/>
      <c r="K90" s="21"/>
      <c r="L90" s="21"/>
      <c r="M90" s="21"/>
      <c r="N90" s="21"/>
      <c r="O90" s="107"/>
    </row>
    <row r="91" spans="1:15">
      <c r="B91" s="12" t="s">
        <v>127</v>
      </c>
      <c r="C91" s="21"/>
      <c r="D91" s="21"/>
      <c r="E91" s="21"/>
      <c r="F91" s="21"/>
      <c r="G91" s="21"/>
      <c r="H91" s="21"/>
      <c r="I91" s="21"/>
      <c r="J91" s="21"/>
      <c r="K91" s="21"/>
      <c r="L91" s="21"/>
      <c r="M91" s="21"/>
      <c r="N91" s="21"/>
      <c r="O91" s="107"/>
    </row>
    <row r="92" spans="1:15">
      <c r="B92" s="13" t="s">
        <v>37</v>
      </c>
      <c r="C92" s="21">
        <f t="shared" ref="C92:E99" si="85">C27-C59</f>
        <v>-3999.0533333333337</v>
      </c>
      <c r="D92" s="21">
        <f t="shared" si="85"/>
        <v>-4811.663333333333</v>
      </c>
      <c r="E92" s="21">
        <f t="shared" si="85"/>
        <v>-2946.0733333333333</v>
      </c>
      <c r="F92" s="21">
        <f t="shared" ref="F92:G92" si="86">F27-F59</f>
        <v>-956.08333333333337</v>
      </c>
      <c r="G92" s="21">
        <f t="shared" si="86"/>
        <v>-1740.0833333333335</v>
      </c>
      <c r="H92" s="21">
        <f t="shared" ref="H92:I92" si="87">H27-H59</f>
        <v>-1593.0833333333335</v>
      </c>
      <c r="I92" s="21">
        <f t="shared" si="87"/>
        <v>-965.08333333333337</v>
      </c>
      <c r="J92" s="21">
        <f t="shared" ref="J92:N92" si="88">J27-J59</f>
        <v>-648.08333333333337</v>
      </c>
      <c r="K92" s="21">
        <f t="shared" si="88"/>
        <v>-1778.0833333333335</v>
      </c>
      <c r="L92" s="21">
        <f t="shared" si="88"/>
        <v>-1586.0833333333335</v>
      </c>
      <c r="M92" s="21">
        <f t="shared" si="88"/>
        <v>-1454.1633333333334</v>
      </c>
      <c r="N92" s="21">
        <f t="shared" si="88"/>
        <v>-1341.2633333333333</v>
      </c>
      <c r="O92" s="103">
        <f t="shared" ref="O92:O98" si="89">SUM(C92:N92)</f>
        <v>-23818.799999999999</v>
      </c>
    </row>
    <row r="93" spans="1:15">
      <c r="B93" s="13" t="s">
        <v>38</v>
      </c>
      <c r="C93" s="21">
        <f t="shared" si="85"/>
        <v>179.58333333333334</v>
      </c>
      <c r="D93" s="21">
        <f t="shared" si="85"/>
        <v>179.58333333333334</v>
      </c>
      <c r="E93" s="21">
        <f t="shared" si="85"/>
        <v>179.58333333333334</v>
      </c>
      <c r="F93" s="21">
        <f t="shared" ref="F93:G93" si="90">F28-F60</f>
        <v>179.58333333333334</v>
      </c>
      <c r="G93" s="21">
        <f t="shared" si="90"/>
        <v>179.58333333333334</v>
      </c>
      <c r="H93" s="21">
        <f t="shared" ref="H93:I93" si="91">H28-H60</f>
        <v>179.58333333333334</v>
      </c>
      <c r="I93" s="21">
        <f t="shared" si="91"/>
        <v>179.58333333333334</v>
      </c>
      <c r="J93" s="21">
        <f t="shared" ref="J93:N93" si="92">J28-J60</f>
        <v>179.58333333333334</v>
      </c>
      <c r="K93" s="21">
        <f>K28-K40</f>
        <v>-41724.416666666664</v>
      </c>
      <c r="L93" s="21">
        <f t="shared" si="92"/>
        <v>179.58333333333334</v>
      </c>
      <c r="M93" s="21">
        <f t="shared" si="92"/>
        <v>179.58333333333334</v>
      </c>
      <c r="N93" s="21">
        <f t="shared" si="92"/>
        <v>179.58333333333334</v>
      </c>
      <c r="O93" s="103">
        <f t="shared" si="89"/>
        <v>-39748.999999999993</v>
      </c>
    </row>
    <row r="94" spans="1:15">
      <c r="B94" s="13" t="s">
        <v>242</v>
      </c>
      <c r="C94" s="21">
        <f t="shared" si="85"/>
        <v>75.833333333333329</v>
      </c>
      <c r="D94" s="21">
        <f t="shared" si="85"/>
        <v>75.833333333333329</v>
      </c>
      <c r="E94" s="21">
        <f t="shared" si="85"/>
        <v>75.833333333333329</v>
      </c>
      <c r="F94" s="21">
        <f t="shared" ref="F94:G94" si="93">F29-F61</f>
        <v>75.833333333333329</v>
      </c>
      <c r="G94" s="21">
        <f t="shared" si="93"/>
        <v>75.833333333333329</v>
      </c>
      <c r="H94" s="21">
        <f t="shared" ref="H94:I94" si="94">H29-H61</f>
        <v>75.833333333333329</v>
      </c>
      <c r="I94" s="21">
        <f t="shared" si="94"/>
        <v>75.833333333333329</v>
      </c>
      <c r="J94" s="21">
        <f t="shared" ref="J94:N94" si="95">J29-J61</f>
        <v>75.833333333333329</v>
      </c>
      <c r="K94" s="21">
        <f>K29-K41</f>
        <v>-21239.166666666668</v>
      </c>
      <c r="L94" s="21">
        <f t="shared" si="95"/>
        <v>-181.16666666666669</v>
      </c>
      <c r="M94" s="21">
        <f t="shared" si="95"/>
        <v>75.833333333333329</v>
      </c>
      <c r="N94" s="21">
        <f t="shared" si="95"/>
        <v>75.833333333333329</v>
      </c>
      <c r="O94" s="103">
        <f t="shared" si="89"/>
        <v>-20662.000000000004</v>
      </c>
    </row>
    <row r="95" spans="1:15" hidden="1">
      <c r="B95" s="13" t="s">
        <v>40</v>
      </c>
      <c r="C95" s="21">
        <f t="shared" si="85"/>
        <v>0</v>
      </c>
      <c r="D95" s="21">
        <f t="shared" si="85"/>
        <v>0</v>
      </c>
      <c r="E95" s="21">
        <f t="shared" si="85"/>
        <v>0</v>
      </c>
      <c r="F95" s="21">
        <f t="shared" ref="F95:G95" si="96">F30-F62</f>
        <v>0</v>
      </c>
      <c r="G95" s="21">
        <f t="shared" si="96"/>
        <v>0</v>
      </c>
      <c r="H95" s="21">
        <f t="shared" ref="H95:I95" si="97">H30-H62</f>
        <v>0</v>
      </c>
      <c r="I95" s="21">
        <f t="shared" si="97"/>
        <v>0</v>
      </c>
      <c r="J95" s="21">
        <f t="shared" ref="J95:N95" si="98">J30-J62</f>
        <v>0</v>
      </c>
      <c r="K95" s="21">
        <f t="shared" si="98"/>
        <v>0</v>
      </c>
      <c r="L95" s="21">
        <f t="shared" si="98"/>
        <v>0</v>
      </c>
      <c r="M95" s="21">
        <f t="shared" si="98"/>
        <v>0</v>
      </c>
      <c r="N95" s="21">
        <f t="shared" si="98"/>
        <v>0</v>
      </c>
      <c r="O95" s="103">
        <f t="shared" si="89"/>
        <v>0</v>
      </c>
    </row>
    <row r="96" spans="1:15" hidden="1">
      <c r="B96" s="13" t="s">
        <v>41</v>
      </c>
      <c r="C96" s="21">
        <f t="shared" si="85"/>
        <v>0</v>
      </c>
      <c r="D96" s="21">
        <f t="shared" si="85"/>
        <v>0</v>
      </c>
      <c r="E96" s="21">
        <f t="shared" si="85"/>
        <v>0</v>
      </c>
      <c r="F96" s="21">
        <f t="shared" ref="F96:G96" si="99">F31-F63</f>
        <v>0</v>
      </c>
      <c r="G96" s="21">
        <f t="shared" si="99"/>
        <v>0</v>
      </c>
      <c r="H96" s="21">
        <f t="shared" ref="H96:I96" si="100">H31-H63</f>
        <v>0</v>
      </c>
      <c r="I96" s="21">
        <f t="shared" si="100"/>
        <v>0</v>
      </c>
      <c r="J96" s="21">
        <f t="shared" ref="J96:N96" si="101">J31-J63</f>
        <v>0</v>
      </c>
      <c r="K96" s="21">
        <f t="shared" si="101"/>
        <v>0</v>
      </c>
      <c r="L96" s="21">
        <f t="shared" si="101"/>
        <v>0</v>
      </c>
      <c r="M96" s="21">
        <f t="shared" si="101"/>
        <v>0</v>
      </c>
      <c r="N96" s="21">
        <f t="shared" si="101"/>
        <v>0</v>
      </c>
      <c r="O96" s="103">
        <f t="shared" si="89"/>
        <v>0</v>
      </c>
    </row>
    <row r="97" spans="1:15" hidden="1">
      <c r="B97" s="13" t="s">
        <v>42</v>
      </c>
      <c r="C97" s="21">
        <f t="shared" si="85"/>
        <v>0</v>
      </c>
      <c r="D97" s="21">
        <f t="shared" si="85"/>
        <v>0</v>
      </c>
      <c r="E97" s="21">
        <f t="shared" si="85"/>
        <v>0</v>
      </c>
      <c r="F97" s="21">
        <f t="shared" ref="F97:G97" si="102">F32-F64</f>
        <v>0</v>
      </c>
      <c r="G97" s="21">
        <f t="shared" si="102"/>
        <v>0</v>
      </c>
      <c r="H97" s="21">
        <f t="shared" ref="H97:I97" si="103">H32-H64</f>
        <v>0</v>
      </c>
      <c r="I97" s="21">
        <f t="shared" si="103"/>
        <v>0</v>
      </c>
      <c r="J97" s="21">
        <f t="shared" ref="J97:N97" si="104">J32-J64</f>
        <v>0</v>
      </c>
      <c r="K97" s="21">
        <f t="shared" si="104"/>
        <v>0</v>
      </c>
      <c r="L97" s="21">
        <f t="shared" si="104"/>
        <v>0</v>
      </c>
      <c r="M97" s="21">
        <f t="shared" si="104"/>
        <v>0</v>
      </c>
      <c r="N97" s="21">
        <f t="shared" si="104"/>
        <v>0</v>
      </c>
      <c r="O97" s="103">
        <f t="shared" si="89"/>
        <v>0</v>
      </c>
    </row>
    <row r="98" spans="1:15">
      <c r="B98" s="13" t="s">
        <v>43</v>
      </c>
      <c r="C98" s="21">
        <f t="shared" si="85"/>
        <v>10827.416666666666</v>
      </c>
      <c r="D98" s="21">
        <f t="shared" si="85"/>
        <v>10827.416666666666</v>
      </c>
      <c r="E98" s="21">
        <f t="shared" si="85"/>
        <v>10827.416666666666</v>
      </c>
      <c r="F98" s="21">
        <f t="shared" ref="F98:G98" si="105">F33-F65</f>
        <v>10827.416666666666</v>
      </c>
      <c r="G98" s="21">
        <f t="shared" si="105"/>
        <v>10367.416666666666</v>
      </c>
      <c r="H98" s="21">
        <f t="shared" ref="H98:I98" si="106">H33-H65</f>
        <v>10195.416666666666</v>
      </c>
      <c r="I98" s="21">
        <f t="shared" si="106"/>
        <v>10985.416666666666</v>
      </c>
      <c r="J98" s="21">
        <f t="shared" ref="J98:N98" si="107">J33-J65</f>
        <v>10827.416666666666</v>
      </c>
      <c r="K98" s="21">
        <f t="shared" si="107"/>
        <v>10827.416666666666</v>
      </c>
      <c r="L98" s="21">
        <f t="shared" si="107"/>
        <v>10827.416666666666</v>
      </c>
      <c r="M98" s="21">
        <f t="shared" si="107"/>
        <v>10827.416666666666</v>
      </c>
      <c r="N98" s="21">
        <f t="shared" si="107"/>
        <v>10827.416666666666</v>
      </c>
      <c r="O98" s="103">
        <f t="shared" si="89"/>
        <v>128995.00000000001</v>
      </c>
    </row>
    <row r="99" spans="1:15">
      <c r="A99" t="s">
        <v>134</v>
      </c>
      <c r="B99" s="12" t="s">
        <v>48</v>
      </c>
      <c r="C99" s="20">
        <f t="shared" si="85"/>
        <v>7083.78</v>
      </c>
      <c r="D99" s="20">
        <f t="shared" si="85"/>
        <v>6271.17</v>
      </c>
      <c r="E99" s="20">
        <f t="shared" si="85"/>
        <v>8136.76</v>
      </c>
      <c r="F99" s="20">
        <f t="shared" ref="F99:G99" si="108">F34-F66</f>
        <v>10126.75</v>
      </c>
      <c r="G99" s="20">
        <f t="shared" si="108"/>
        <v>8882.75</v>
      </c>
      <c r="H99" s="20">
        <f t="shared" ref="H99:I99" si="109">H34-H66</f>
        <v>8857.75</v>
      </c>
      <c r="I99" s="20">
        <f t="shared" si="109"/>
        <v>10275.75</v>
      </c>
      <c r="J99" s="20">
        <f t="shared" ref="J99:N99" si="110">J34-J66</f>
        <v>10434.75</v>
      </c>
      <c r="K99" s="20">
        <f t="shared" si="110"/>
        <v>9304.75</v>
      </c>
      <c r="L99" s="20">
        <f t="shared" si="110"/>
        <v>9239.75</v>
      </c>
      <c r="M99" s="20">
        <f t="shared" si="110"/>
        <v>9628.67</v>
      </c>
      <c r="N99" s="20">
        <f t="shared" si="110"/>
        <v>9741.57</v>
      </c>
      <c r="O99" s="104">
        <f t="shared" ref="O99" si="111">SUM(O92:O98)</f>
        <v>44765.200000000026</v>
      </c>
    </row>
    <row r="100" spans="1:15">
      <c r="B100" s="12"/>
      <c r="C100" s="21"/>
      <c r="D100" s="21"/>
      <c r="E100" s="21"/>
      <c r="F100" s="21"/>
      <c r="G100" s="21"/>
      <c r="H100" s="21"/>
      <c r="I100" s="21"/>
      <c r="J100" s="59"/>
      <c r="K100" s="59"/>
      <c r="L100" s="59"/>
      <c r="M100" s="59"/>
      <c r="N100" s="59"/>
      <c r="O100" s="107"/>
    </row>
    <row r="101" spans="1:15" ht="15.75" thickBot="1">
      <c r="B101" s="12" t="s">
        <v>48</v>
      </c>
      <c r="C101" s="62">
        <f>C36-C68</f>
        <v>16259.756666666683</v>
      </c>
      <c r="D101" s="62">
        <f t="shared" ref="D101:E101" si="112">D36-D68</f>
        <v>-6903.1633333333302</v>
      </c>
      <c r="E101" s="62">
        <f t="shared" si="112"/>
        <v>43523.116666666698</v>
      </c>
      <c r="F101" s="62">
        <f t="shared" ref="F101:G101" si="113">F36-F68</f>
        <v>56336.416666666686</v>
      </c>
      <c r="G101" s="62">
        <f t="shared" si="113"/>
        <v>28088.416666666686</v>
      </c>
      <c r="H101" s="62">
        <f t="shared" ref="H101:J101" si="114">H36-H68</f>
        <v>20710.416666666686</v>
      </c>
      <c r="I101" s="62">
        <f t="shared" si="114"/>
        <v>-102496.58333333331</v>
      </c>
      <c r="J101" s="62">
        <f t="shared" si="114"/>
        <v>48171.416666666686</v>
      </c>
      <c r="K101" s="62">
        <f t="shared" ref="K101:N101" si="115">K36-K68</f>
        <v>40098.416666666686</v>
      </c>
      <c r="L101" s="62">
        <f t="shared" si="115"/>
        <v>32507.416666666686</v>
      </c>
      <c r="M101" s="62">
        <f t="shared" si="115"/>
        <v>-16977.083333333314</v>
      </c>
      <c r="N101" s="62">
        <f t="shared" si="115"/>
        <v>-38837.213333333319</v>
      </c>
      <c r="O101" s="106">
        <f t="shared" ref="O101" si="116">O99+O89+O79</f>
        <v>57262.3299999999</v>
      </c>
    </row>
    <row r="102" spans="1:15" ht="15.75" thickTop="1">
      <c r="B102" s="10"/>
    </row>
    <row r="103" spans="1:15">
      <c r="B103" s="10"/>
    </row>
    <row r="104" spans="1:15">
      <c r="B104" s="56" t="s">
        <v>77</v>
      </c>
      <c r="C104" s="19"/>
      <c r="D104" s="19"/>
      <c r="E104" s="19"/>
      <c r="F104" s="19"/>
      <c r="G104" s="19"/>
      <c r="H104" s="19"/>
      <c r="I104" s="19"/>
      <c r="J104" s="19"/>
      <c r="K104" s="19"/>
      <c r="L104" s="19"/>
      <c r="M104" s="19"/>
      <c r="N104" s="19"/>
      <c r="O104" s="19"/>
    </row>
    <row r="105" spans="1:15" ht="31.5" customHeight="1">
      <c r="B105" s="149" t="s">
        <v>86</v>
      </c>
      <c r="C105" s="149"/>
      <c r="D105" s="149"/>
      <c r="E105" s="149"/>
      <c r="F105" s="149"/>
      <c r="G105" s="149"/>
      <c r="H105" s="149"/>
      <c r="I105" s="149"/>
      <c r="J105" s="149"/>
      <c r="K105" s="149"/>
      <c r="L105" s="149"/>
      <c r="M105" s="149"/>
      <c r="N105" s="149"/>
      <c r="O105" s="149"/>
    </row>
    <row r="106" spans="1:15" ht="31.5" customHeight="1">
      <c r="B106" s="149" t="s">
        <v>87</v>
      </c>
      <c r="C106" s="149"/>
      <c r="D106" s="149"/>
      <c r="E106" s="149"/>
      <c r="F106" s="149"/>
      <c r="G106" s="149"/>
      <c r="H106" s="149"/>
      <c r="I106" s="149"/>
      <c r="J106" s="149"/>
      <c r="K106" s="149"/>
      <c r="L106" s="149"/>
      <c r="M106" s="149"/>
      <c r="N106" s="149"/>
      <c r="O106" s="149"/>
    </row>
    <row r="108" spans="1:15">
      <c r="B108" s="112" t="s">
        <v>79</v>
      </c>
      <c r="C108" s="113"/>
      <c r="D108" s="113"/>
      <c r="E108" s="113"/>
      <c r="F108" s="114"/>
      <c r="G108" s="114"/>
      <c r="H108" s="114"/>
      <c r="I108" s="114"/>
      <c r="J108" s="114"/>
      <c r="K108" s="114"/>
      <c r="L108" s="114"/>
      <c r="M108" s="114"/>
      <c r="N108" s="114"/>
      <c r="O108" s="114"/>
    </row>
    <row r="109" spans="1:15" ht="29.25" customHeight="1">
      <c r="B109" s="144" t="s">
        <v>85</v>
      </c>
      <c r="C109" s="144"/>
      <c r="D109" s="144"/>
      <c r="E109" s="144"/>
      <c r="F109" s="144"/>
      <c r="G109" s="144"/>
      <c r="H109" s="144"/>
      <c r="I109" s="144"/>
      <c r="J109" s="144"/>
      <c r="K109" s="144"/>
      <c r="L109" s="144"/>
      <c r="M109" s="144"/>
      <c r="N109" s="144"/>
      <c r="O109" s="144"/>
    </row>
    <row r="110" spans="1:15" ht="27.75" customHeight="1">
      <c r="B110" s="144" t="s">
        <v>115</v>
      </c>
      <c r="C110" s="144"/>
      <c r="D110" s="144"/>
      <c r="E110" s="144"/>
      <c r="F110" s="144"/>
      <c r="G110" s="144"/>
      <c r="H110" s="144"/>
      <c r="I110" s="144"/>
      <c r="J110" s="144"/>
      <c r="K110" s="144"/>
      <c r="L110" s="144"/>
      <c r="M110" s="144"/>
      <c r="N110" s="144"/>
      <c r="O110" s="144"/>
    </row>
    <row r="111" spans="1:15" ht="29.25" customHeight="1">
      <c r="B111" s="144" t="s">
        <v>169</v>
      </c>
      <c r="C111" s="144"/>
      <c r="D111" s="144"/>
      <c r="E111" s="144"/>
      <c r="F111" s="144"/>
      <c r="G111" s="144"/>
      <c r="H111" s="144"/>
      <c r="I111" s="144"/>
      <c r="J111" s="144"/>
      <c r="K111" s="144"/>
      <c r="L111" s="144"/>
      <c r="M111" s="144"/>
      <c r="N111" s="144"/>
      <c r="O111" s="144"/>
    </row>
    <row r="112" spans="1:15">
      <c r="B112" s="144" t="s">
        <v>168</v>
      </c>
      <c r="C112" s="144"/>
      <c r="D112" s="144"/>
      <c r="E112" s="144"/>
      <c r="F112" s="144"/>
      <c r="G112" s="144"/>
      <c r="H112" s="144"/>
      <c r="I112" s="144"/>
      <c r="J112" s="144"/>
      <c r="K112" s="144"/>
      <c r="L112" s="144"/>
      <c r="M112" s="144"/>
      <c r="N112" s="144"/>
    </row>
    <row r="113" spans="2:15">
      <c r="B113" s="144" t="s">
        <v>198</v>
      </c>
      <c r="C113" s="144"/>
      <c r="D113" s="144"/>
      <c r="E113" s="144"/>
      <c r="F113" s="144"/>
      <c r="G113" s="144"/>
      <c r="H113" s="144"/>
      <c r="I113" s="144"/>
      <c r="J113" s="144"/>
      <c r="K113" s="144"/>
      <c r="L113" s="144"/>
      <c r="M113" s="144"/>
      <c r="N113" s="144"/>
    </row>
    <row r="114" spans="2:15">
      <c r="B114" s="144" t="s">
        <v>199</v>
      </c>
      <c r="C114" s="144"/>
      <c r="D114" s="144"/>
      <c r="E114" s="144"/>
      <c r="F114" s="144"/>
      <c r="G114" s="144"/>
      <c r="H114" s="144"/>
      <c r="I114" s="144"/>
      <c r="J114" s="144"/>
      <c r="K114" s="144"/>
      <c r="L114" s="144"/>
      <c r="M114" s="144"/>
      <c r="N114" s="144"/>
    </row>
    <row r="115" spans="2:15" ht="29.25" customHeight="1">
      <c r="B115" s="144" t="s">
        <v>204</v>
      </c>
      <c r="C115" s="144"/>
      <c r="D115" s="144"/>
      <c r="E115" s="144"/>
      <c r="F115" s="144"/>
      <c r="G115" s="144"/>
      <c r="H115" s="144"/>
      <c r="I115" s="144"/>
      <c r="J115" s="144"/>
      <c r="K115" s="144"/>
      <c r="L115" s="144"/>
      <c r="M115" s="144"/>
      <c r="N115" s="144"/>
    </row>
    <row r="116" spans="2:15">
      <c r="B116" s="144" t="s">
        <v>243</v>
      </c>
      <c r="C116" s="144"/>
      <c r="D116" s="144"/>
      <c r="E116" s="144"/>
      <c r="F116" s="144"/>
      <c r="G116" s="144"/>
      <c r="H116" s="144"/>
      <c r="I116" s="144"/>
      <c r="J116" s="144"/>
      <c r="K116" s="144"/>
      <c r="L116" s="144"/>
      <c r="M116" s="144"/>
      <c r="N116" s="144"/>
    </row>
    <row r="117" spans="2:15">
      <c r="B117" s="144" t="s">
        <v>244</v>
      </c>
      <c r="C117" s="144"/>
      <c r="D117" s="144"/>
      <c r="E117" s="144"/>
      <c r="F117" s="144"/>
      <c r="G117" s="144"/>
      <c r="H117" s="144"/>
      <c r="I117" s="144"/>
      <c r="J117" s="144"/>
      <c r="K117" s="144"/>
      <c r="L117" s="144"/>
      <c r="M117" s="144"/>
      <c r="N117" s="144"/>
    </row>
    <row r="118" spans="2:15">
      <c r="B118" s="144" t="s">
        <v>245</v>
      </c>
      <c r="C118" s="144"/>
      <c r="D118" s="144"/>
      <c r="E118" s="144"/>
      <c r="F118" s="144"/>
      <c r="G118" s="144"/>
      <c r="H118" s="144"/>
      <c r="I118" s="144"/>
      <c r="J118" s="144"/>
      <c r="K118" s="144"/>
      <c r="L118" s="144"/>
      <c r="M118" s="144"/>
      <c r="N118" s="144"/>
      <c r="O118" s="144"/>
    </row>
    <row r="119" spans="2:15">
      <c r="B119" s="144" t="s">
        <v>261</v>
      </c>
      <c r="C119" s="144"/>
      <c r="D119" s="144"/>
      <c r="E119" s="144"/>
      <c r="F119" s="144"/>
      <c r="G119" s="144"/>
      <c r="H119" s="144"/>
      <c r="I119" s="144"/>
      <c r="J119" s="144"/>
      <c r="K119" s="144"/>
      <c r="L119" s="144"/>
      <c r="M119" s="144"/>
      <c r="N119" s="144"/>
      <c r="O119" s="144"/>
    </row>
  </sheetData>
  <mergeCells count="13">
    <mergeCell ref="B119:O119"/>
    <mergeCell ref="B118:O118"/>
    <mergeCell ref="B117:N117"/>
    <mergeCell ref="B105:O105"/>
    <mergeCell ref="B109:O109"/>
    <mergeCell ref="B110:O110"/>
    <mergeCell ref="B111:O111"/>
    <mergeCell ref="B106:O106"/>
    <mergeCell ref="B116:N116"/>
    <mergeCell ref="B115:N115"/>
    <mergeCell ref="B114:N114"/>
    <mergeCell ref="B113:N113"/>
    <mergeCell ref="B112:N112"/>
  </mergeCells>
  <pageMargins left="0" right="0"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132" t="s">
        <v>223</v>
      </c>
      <c r="B2" s="1">
        <f>'WA-Sch91 Rider Balance'!J17</f>
        <v>46670.388118010946</v>
      </c>
    </row>
    <row r="3" spans="1:2">
      <c r="A3" s="132"/>
    </row>
    <row r="4" spans="1:2">
      <c r="A4" s="132" t="s">
        <v>224</v>
      </c>
      <c r="B4" s="1">
        <v>5433000</v>
      </c>
    </row>
    <row r="5" spans="1:2">
      <c r="A5" s="132" t="s">
        <v>225</v>
      </c>
      <c r="B5" s="139">
        <f>SUM('WA-Sch91 Rider Balance'!K13:N13)</f>
        <v>-465533.64666666626</v>
      </c>
    </row>
    <row r="6" spans="1:2">
      <c r="A6" s="132"/>
      <c r="B6" s="1">
        <f>B5-B4</f>
        <v>-5898533.6466666665</v>
      </c>
    </row>
    <row r="8" spans="1:2">
      <c r="A8" s="132" t="s">
        <v>226</v>
      </c>
      <c r="B8" s="3">
        <f>B2+B6</f>
        <v>-5851863.2585486555</v>
      </c>
    </row>
    <row r="10" spans="1:2">
      <c r="A10" s="132" t="s">
        <v>227</v>
      </c>
      <c r="B10" s="1">
        <v>16735000</v>
      </c>
    </row>
    <row r="11" spans="1:2">
      <c r="A11" t="s">
        <v>228</v>
      </c>
      <c r="B11" s="140"/>
    </row>
    <row r="12" spans="1:2">
      <c r="B12" s="3">
        <f>B11-B10</f>
        <v>-16735000</v>
      </c>
    </row>
    <row r="14" spans="1:2">
      <c r="A14" t="s">
        <v>229</v>
      </c>
      <c r="B14" s="3">
        <f>B8+B12</f>
        <v>-22586863.258548655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7" tint="0.39997558519241921"/>
  </sheetPr>
  <dimension ref="A2:AS33"/>
  <sheetViews>
    <sheetView workbookViewId="0">
      <pane xSplit="2" ySplit="4" topLeftCell="C9" activePane="bottomRight" state="frozen"/>
      <selection activeCell="G22" sqref="G22:H22"/>
      <selection pane="topRight" activeCell="G22" sqref="G22:H22"/>
      <selection pane="bottomLeft" activeCell="G22" sqref="G22:H22"/>
      <selection pane="bottomRight" activeCell="A21" sqref="A21"/>
    </sheetView>
  </sheetViews>
  <sheetFormatPr defaultRowHeight="15"/>
  <cols>
    <col min="1" max="1" width="3.42578125" style="68" bestFit="1" customWidth="1"/>
    <col min="2" max="2" width="34.85546875" style="68" customWidth="1"/>
    <col min="3" max="3" width="13.7109375" style="68" bestFit="1" customWidth="1"/>
    <col min="4" max="14" width="13.28515625" style="68" bestFit="1" customWidth="1"/>
    <col min="15" max="15" width="12.28515625" style="68" bestFit="1" customWidth="1"/>
    <col min="16" max="16" width="11.5703125" style="68" bestFit="1" customWidth="1"/>
    <col min="17" max="19" width="11.28515625" style="68" bestFit="1" customWidth="1"/>
    <col min="20" max="32" width="11.7109375" style="68" hidden="1" customWidth="1"/>
    <col min="33" max="60" width="11.7109375" style="68" customWidth="1"/>
    <col min="61" max="16384" width="9.140625" style="68"/>
  </cols>
  <sheetData>
    <row r="2" spans="1:45">
      <c r="B2" s="69" t="s">
        <v>12</v>
      </c>
    </row>
    <row r="3" spans="1:45">
      <c r="B3" s="68" t="s">
        <v>36</v>
      </c>
      <c r="C3" s="70">
        <v>2010</v>
      </c>
      <c r="D3" s="70">
        <v>2010</v>
      </c>
      <c r="E3" s="70">
        <v>2010</v>
      </c>
      <c r="F3" s="70">
        <v>2010</v>
      </c>
      <c r="G3" s="70">
        <v>2010</v>
      </c>
      <c r="H3" s="70">
        <v>2010</v>
      </c>
      <c r="I3" s="70">
        <v>2010</v>
      </c>
      <c r="J3" s="70">
        <v>2010</v>
      </c>
      <c r="K3" s="70">
        <v>2010</v>
      </c>
      <c r="L3" s="70">
        <v>2010</v>
      </c>
      <c r="M3" s="70">
        <v>2010</v>
      </c>
      <c r="N3" s="70">
        <v>2010</v>
      </c>
      <c r="O3" s="70" t="s">
        <v>34</v>
      </c>
      <c r="P3" s="70">
        <v>2010</v>
      </c>
      <c r="Q3" s="70">
        <v>2010</v>
      </c>
      <c r="R3" s="70">
        <v>2010</v>
      </c>
      <c r="S3" s="70">
        <v>2010</v>
      </c>
      <c r="T3" s="68">
        <v>2011</v>
      </c>
      <c r="U3" s="68">
        <v>2011</v>
      </c>
      <c r="V3" s="68">
        <v>2011</v>
      </c>
      <c r="W3" s="68">
        <v>2011</v>
      </c>
      <c r="X3" s="68">
        <v>2011</v>
      </c>
      <c r="Y3" s="68">
        <v>2011</v>
      </c>
      <c r="Z3" s="68">
        <v>2011</v>
      </c>
      <c r="AA3" s="68">
        <v>2011</v>
      </c>
      <c r="AB3" s="68">
        <v>2011</v>
      </c>
      <c r="AC3" s="68">
        <v>2011</v>
      </c>
      <c r="AD3" s="68">
        <v>2011</v>
      </c>
      <c r="AE3" s="68">
        <v>2011</v>
      </c>
      <c r="AF3" s="70" t="s">
        <v>35</v>
      </c>
      <c r="AH3" s="70">
        <v>2011</v>
      </c>
      <c r="AI3" s="70">
        <v>2011</v>
      </c>
      <c r="AJ3" s="70">
        <v>2011</v>
      </c>
      <c r="AK3" s="70">
        <v>2011</v>
      </c>
      <c r="AL3" s="70">
        <v>2011</v>
      </c>
      <c r="AM3" s="70">
        <v>2011</v>
      </c>
      <c r="AN3" s="70">
        <v>2011</v>
      </c>
      <c r="AO3" s="70">
        <v>2011</v>
      </c>
      <c r="AP3" s="70">
        <v>2011</v>
      </c>
      <c r="AQ3" s="70">
        <v>2011</v>
      </c>
      <c r="AR3" s="70">
        <v>2011</v>
      </c>
      <c r="AS3" s="70">
        <v>2011</v>
      </c>
    </row>
    <row r="4" spans="1:45">
      <c r="C4" s="70" t="s">
        <v>0</v>
      </c>
      <c r="D4" s="70" t="s">
        <v>1</v>
      </c>
      <c r="E4" s="70" t="s">
        <v>2</v>
      </c>
      <c r="F4" s="70" t="s">
        <v>3</v>
      </c>
      <c r="G4" s="70" t="s">
        <v>4</v>
      </c>
      <c r="H4" s="70" t="s">
        <v>5</v>
      </c>
      <c r="I4" s="70" t="s">
        <v>6</v>
      </c>
      <c r="J4" s="70" t="s">
        <v>7</v>
      </c>
      <c r="K4" s="70" t="s">
        <v>8</v>
      </c>
      <c r="L4" s="70" t="s">
        <v>9</v>
      </c>
      <c r="M4" s="70" t="s">
        <v>10</v>
      </c>
      <c r="N4" s="70" t="s">
        <v>11</v>
      </c>
      <c r="O4" s="70"/>
      <c r="P4" s="70" t="s">
        <v>97</v>
      </c>
      <c r="Q4" s="70" t="s">
        <v>98</v>
      </c>
      <c r="R4" s="70" t="s">
        <v>99</v>
      </c>
      <c r="S4" s="70" t="s">
        <v>100</v>
      </c>
      <c r="T4" s="68" t="s">
        <v>0</v>
      </c>
      <c r="U4" s="68" t="s">
        <v>1</v>
      </c>
      <c r="V4" s="68" t="s">
        <v>2</v>
      </c>
      <c r="W4" s="68" t="s">
        <v>3</v>
      </c>
      <c r="X4" s="68" t="s">
        <v>4</v>
      </c>
      <c r="Y4" s="68" t="s">
        <v>5</v>
      </c>
      <c r="Z4" s="68" t="s">
        <v>6</v>
      </c>
      <c r="AA4" s="68" t="s">
        <v>7</v>
      </c>
      <c r="AB4" s="68" t="s">
        <v>8</v>
      </c>
      <c r="AC4" s="68" t="s">
        <v>9</v>
      </c>
      <c r="AD4" s="68" t="s">
        <v>10</v>
      </c>
      <c r="AE4" s="68" t="s">
        <v>11</v>
      </c>
      <c r="AH4" s="70" t="s">
        <v>0</v>
      </c>
      <c r="AI4" s="70" t="s">
        <v>1</v>
      </c>
      <c r="AJ4" s="70" t="s">
        <v>2</v>
      </c>
      <c r="AK4" s="70" t="s">
        <v>3</v>
      </c>
      <c r="AL4" s="70" t="s">
        <v>4</v>
      </c>
      <c r="AM4" s="70" t="s">
        <v>5</v>
      </c>
      <c r="AN4" s="70" t="s">
        <v>6</v>
      </c>
      <c r="AO4" s="70" t="s">
        <v>7</v>
      </c>
      <c r="AP4" s="70" t="s">
        <v>8</v>
      </c>
      <c r="AQ4" s="70" t="s">
        <v>9</v>
      </c>
      <c r="AR4" s="70" t="s">
        <v>10</v>
      </c>
      <c r="AS4" s="70" t="s">
        <v>11</v>
      </c>
    </row>
    <row r="5" spans="1:45">
      <c r="A5" s="68" t="s">
        <v>22</v>
      </c>
      <c r="B5" s="68" t="s">
        <v>13</v>
      </c>
      <c r="C5" s="71">
        <v>3795499</v>
      </c>
      <c r="D5" s="71">
        <f>C17</f>
        <v>3261878.6346973972</v>
      </c>
      <c r="E5" s="71">
        <f t="shared" ref="E5:N5" si="0">D17</f>
        <v>2653598.2539532417</v>
      </c>
      <c r="F5" s="71">
        <f t="shared" si="0"/>
        <v>2736984.2219213285</v>
      </c>
      <c r="G5" s="71">
        <f t="shared" si="0"/>
        <v>2605594.4430444548</v>
      </c>
      <c r="H5" s="71">
        <f t="shared" si="0"/>
        <v>1881647.0945338053</v>
      </c>
      <c r="I5" s="71">
        <f t="shared" si="0"/>
        <v>1659379.0958924594</v>
      </c>
      <c r="J5" s="71">
        <f t="shared" si="0"/>
        <v>1052788.8915087478</v>
      </c>
      <c r="K5" s="71">
        <f t="shared" si="0"/>
        <v>46670.388118010946</v>
      </c>
      <c r="L5" s="71">
        <f t="shared" si="0"/>
        <v>-165284.32144694962</v>
      </c>
      <c r="M5" s="71">
        <f t="shared" si="0"/>
        <v>-365816.03449410759</v>
      </c>
      <c r="N5" s="71">
        <f t="shared" si="0"/>
        <v>-440443.61943324097</v>
      </c>
      <c r="P5" s="72">
        <f>C5</f>
        <v>3795499</v>
      </c>
      <c r="Q5" s="75">
        <f>P17</f>
        <v>2736984.2219213285</v>
      </c>
      <c r="R5" s="75">
        <f>Q17</f>
        <v>1659379.0958924592</v>
      </c>
      <c r="S5" s="75">
        <f>R17</f>
        <v>-165284.32144694962</v>
      </c>
      <c r="AH5" s="75" t="str">
        <f>N19</f>
        <v xml:space="preserve"> </v>
      </c>
      <c r="AI5" s="75" t="e">
        <f>AH19</f>
        <v>#VALUE!</v>
      </c>
      <c r="AJ5" s="75" t="e">
        <f t="shared" ref="AJ5:AS5" si="1">AI19</f>
        <v>#VALUE!</v>
      </c>
      <c r="AK5" s="75" t="e">
        <f t="shared" si="1"/>
        <v>#VALUE!</v>
      </c>
      <c r="AL5" s="75" t="e">
        <f t="shared" si="1"/>
        <v>#VALUE!</v>
      </c>
      <c r="AM5" s="75" t="e">
        <f t="shared" si="1"/>
        <v>#VALUE!</v>
      </c>
      <c r="AN5" s="75" t="e">
        <f t="shared" si="1"/>
        <v>#VALUE!</v>
      </c>
      <c r="AO5" s="75" t="e">
        <f t="shared" si="1"/>
        <v>#VALUE!</v>
      </c>
      <c r="AP5" s="75" t="e">
        <f t="shared" si="1"/>
        <v>#VALUE!</v>
      </c>
      <c r="AQ5" s="75" t="e">
        <f t="shared" si="1"/>
        <v>#VALUE!</v>
      </c>
      <c r="AR5" s="75" t="e">
        <f t="shared" si="1"/>
        <v>#VALUE!</v>
      </c>
      <c r="AS5" s="75" t="e">
        <f t="shared" si="1"/>
        <v>#VALUE!</v>
      </c>
    </row>
    <row r="6" spans="1:45">
      <c r="C6" s="73"/>
      <c r="D6" s="73"/>
      <c r="E6" s="73"/>
      <c r="F6" s="73"/>
      <c r="G6" s="73"/>
      <c r="H6" s="73"/>
      <c r="I6" s="73"/>
      <c r="J6" s="73"/>
      <c r="K6" s="73"/>
      <c r="L6" s="73"/>
      <c r="M6" s="73"/>
      <c r="N6" s="73"/>
    </row>
    <row r="7" spans="1:45">
      <c r="B7" s="68" t="s">
        <v>14</v>
      </c>
      <c r="C7" s="74">
        <f>'WA-Sch91 Forecasted-Act Rev'!B49</f>
        <v>1738493.1079273054</v>
      </c>
      <c r="D7" s="74">
        <f>'WA-Sch91 Forecasted-Act Rev'!C49</f>
        <v>1558222.5118301671</v>
      </c>
      <c r="E7" s="74">
        <f>'WA-Sch91 Forecasted-Act Rev'!D49</f>
        <v>1460105.3914799262</v>
      </c>
      <c r="F7" s="74">
        <f>'WA-Sch91 Forecasted-Act Rev'!E49</f>
        <v>1235296.8394850942</v>
      </c>
      <c r="G7" s="74">
        <f>'WA-Sch91 Forecasted-Act Rev'!F49</f>
        <v>1265114.5475734838</v>
      </c>
      <c r="H7" s="74">
        <f>'WA-Sch91 Forecasted-Act Rev'!G49</f>
        <v>1281951.6614913556</v>
      </c>
      <c r="I7" s="74">
        <f>'WA-Sch91 Forecasted-Act Rev'!H49</f>
        <v>1398098.541419263</v>
      </c>
      <c r="J7" s="74">
        <f>'WA-Sch91 Forecasted-Act Rev'!I49</f>
        <v>1441661.5086758845</v>
      </c>
      <c r="K7" s="74">
        <f>'WA-Sch91 Forecasted-Act Rev'!J49</f>
        <v>1342411.8521849632</v>
      </c>
      <c r="L7" s="74">
        <f>'WA-Sch91 Forecasted-Act Rev'!K49</f>
        <v>1373772.9692104692</v>
      </c>
      <c r="M7" s="74">
        <f>'WA-Sch91 Forecasted-Act Rev'!L49</f>
        <v>1448813.5812285233</v>
      </c>
      <c r="N7" s="74">
        <f>'WA-Sch91 Forecasted-Act Rev'!M49</f>
        <v>1627888.0756961908</v>
      </c>
      <c r="O7" s="75">
        <f>SUM(C7:N7)</f>
        <v>17171830.588202622</v>
      </c>
      <c r="P7" s="75">
        <f>SUM(C7:E7)</f>
        <v>4756821.0112373987</v>
      </c>
      <c r="Q7" s="75">
        <f>SUM(F7:H7)</f>
        <v>3782363.0485499334</v>
      </c>
      <c r="R7" s="75">
        <f>SUM(I7:K7)</f>
        <v>4182171.9022801109</v>
      </c>
      <c r="S7" s="75">
        <f>SUM(L7:N7)</f>
        <v>4450474.6261351835</v>
      </c>
      <c r="AH7" s="35">
        <v>1930415.6130360905</v>
      </c>
      <c r="AI7" s="35">
        <v>1726704.7261252215</v>
      </c>
      <c r="AJ7" s="35">
        <v>1739713.6104041662</v>
      </c>
      <c r="AK7" s="35">
        <v>1520934.2094170658</v>
      </c>
      <c r="AL7" s="35">
        <v>1525338.3422651317</v>
      </c>
      <c r="AM7" s="35">
        <v>1460567.7847097011</v>
      </c>
      <c r="AN7" s="35">
        <v>1653585.0841433583</v>
      </c>
      <c r="AO7" s="35">
        <v>1720751.7580950013</v>
      </c>
      <c r="AP7" s="35">
        <v>1497437.3492152677</v>
      </c>
      <c r="AQ7" s="35">
        <v>1543365.4351302115</v>
      </c>
      <c r="AR7" s="35">
        <v>1689258.8972440981</v>
      </c>
      <c r="AS7" s="35">
        <v>1815183.1924075356</v>
      </c>
    </row>
    <row r="8" spans="1:45">
      <c r="A8" s="68" t="s">
        <v>21</v>
      </c>
      <c r="B8" s="68" t="s">
        <v>15</v>
      </c>
      <c r="C8" s="73">
        <f>'WA-Sch91 Forecasted-Act Rev'!B59</f>
        <v>1642482.7053026026</v>
      </c>
      <c r="D8" s="73">
        <f>'WA-Sch91 Forecasted-Act Rev'!C59</f>
        <v>1467176.8207441554</v>
      </c>
      <c r="E8" s="73">
        <f>'WA-Sch91 Forecasted-Act Rev'!D59</f>
        <v>1395262.0520319131</v>
      </c>
      <c r="F8" s="73">
        <f>'WA-Sch91 Forecasted-Act Rev'!E59</f>
        <v>1381324.7788768739</v>
      </c>
      <c r="G8" s="73">
        <f>'WA-Sch91 Forecasted-Act Rev'!F59</f>
        <v>1284412.3485106495</v>
      </c>
      <c r="H8" s="73">
        <f>'WA-Sch91 Forecasted-Act Rev'!G59</f>
        <v>1238746.9986413459</v>
      </c>
      <c r="I8" s="73">
        <f>'WA-Sch91 Forecasted-Act Rev'!H59</f>
        <v>1246604.2043837116</v>
      </c>
      <c r="J8" s="73">
        <f>'WA-Sch91 Forecasted-Act Rev'!I59+561490</f>
        <v>2014938.5033907369</v>
      </c>
      <c r="K8" s="73">
        <f>'WA-Sch91 Forecasted-Act Rev'!J59</f>
        <v>1331128.7095649606</v>
      </c>
      <c r="L8" s="73">
        <f>'WA-Sch91 Forecasted-Act Rev'!K59</f>
        <v>1227225.713047158</v>
      </c>
      <c r="M8" s="73">
        <f>'WA-Sch91 Forecasted-Act Rev'!L59</f>
        <v>1283669.3949391334</v>
      </c>
      <c r="N8" s="73">
        <f>'WA-Sch91 Forecasted-Act Rev'!M59</f>
        <v>1621681.7971537509</v>
      </c>
      <c r="O8" s="75">
        <f t="shared" ref="O8:O9" si="2">SUM(C8:N8)</f>
        <v>17134654.026586991</v>
      </c>
      <c r="P8" s="75">
        <f>SUM(C8:E8)</f>
        <v>4504921.5780786714</v>
      </c>
      <c r="Q8" s="75">
        <f>SUM(F8:H8)</f>
        <v>3904484.1260288693</v>
      </c>
      <c r="R8" s="75">
        <f>SUM(I8:K8)</f>
        <v>4592671.4173394088</v>
      </c>
      <c r="S8" s="75">
        <f>SUM(L8:N8)</f>
        <v>4132576.9051400423</v>
      </c>
    </row>
    <row r="9" spans="1:45">
      <c r="B9" s="68" t="s">
        <v>16</v>
      </c>
      <c r="C9" s="76">
        <f>C8-C7</f>
        <v>-96010.40262470278</v>
      </c>
      <c r="D9" s="76">
        <f>D8-D7</f>
        <v>-91045.691086011706</v>
      </c>
      <c r="E9" s="76">
        <f t="shared" ref="E9:S9" si="3">E8-E7</f>
        <v>-64843.33944801311</v>
      </c>
      <c r="F9" s="76">
        <f t="shared" si="3"/>
        <v>146027.93939177971</v>
      </c>
      <c r="G9" s="76">
        <f t="shared" si="3"/>
        <v>19297.800937165739</v>
      </c>
      <c r="H9" s="76">
        <f t="shared" si="3"/>
        <v>-43204.662850009743</v>
      </c>
      <c r="I9" s="76">
        <f t="shared" si="3"/>
        <v>-151494.33703555143</v>
      </c>
      <c r="J9" s="76">
        <f t="shared" si="3"/>
        <v>573276.99471485242</v>
      </c>
      <c r="K9" s="76">
        <f t="shared" si="3"/>
        <v>-11283.142620002618</v>
      </c>
      <c r="L9" s="76">
        <f t="shared" si="3"/>
        <v>-146547.25616331119</v>
      </c>
      <c r="M9" s="76">
        <f t="shared" si="3"/>
        <v>-165144.18628938985</v>
      </c>
      <c r="N9" s="76">
        <f t="shared" si="3"/>
        <v>-6206.278542439919</v>
      </c>
      <c r="O9" s="76">
        <f t="shared" si="2"/>
        <v>-37176.561615634477</v>
      </c>
      <c r="P9" s="76">
        <f t="shared" si="3"/>
        <v>-251899.43315872736</v>
      </c>
      <c r="Q9" s="76">
        <f t="shared" si="3"/>
        <v>122121.07747893594</v>
      </c>
      <c r="R9" s="76">
        <f t="shared" si="3"/>
        <v>410499.5150592979</v>
      </c>
      <c r="S9" s="76">
        <f t="shared" si="3"/>
        <v>-317897.72099514119</v>
      </c>
    </row>
    <row r="10" spans="1:45">
      <c r="C10" s="73"/>
      <c r="D10" s="73"/>
      <c r="E10" s="73"/>
      <c r="F10" s="73"/>
      <c r="G10" s="73"/>
      <c r="H10" s="73"/>
      <c r="I10" s="73"/>
      <c r="J10" s="73"/>
      <c r="K10" s="73"/>
      <c r="L10" s="73"/>
      <c r="M10" s="73"/>
      <c r="N10" s="73"/>
    </row>
    <row r="11" spans="1:45">
      <c r="B11" s="68" t="s">
        <v>18</v>
      </c>
      <c r="C11" s="73">
        <f>'WA-Sch91 Budget-Act Exp'!C36</f>
        <v>1032112.5833333335</v>
      </c>
      <c r="D11" s="73">
        <f>'WA-Sch91 Budget-Act Exp'!D36</f>
        <v>1032112.5833333335</v>
      </c>
      <c r="E11" s="73">
        <f>'WA-Sch91 Budget-Act Exp'!E36</f>
        <v>1032112.5833333335</v>
      </c>
      <c r="F11" s="73">
        <f>'WA-Sch91 Budget-Act Exp'!F36</f>
        <v>1032112.5833333335</v>
      </c>
      <c r="G11" s="73">
        <f>'WA-Sch91 Budget-Act Exp'!G36</f>
        <v>1032112.5833333335</v>
      </c>
      <c r="H11" s="73">
        <f>'WA-Sch91 Budget-Act Exp'!H36</f>
        <v>1032112.5833333335</v>
      </c>
      <c r="I11" s="73">
        <f>'WA-Sch91 Budget-Act Exp'!I36</f>
        <v>1032112.5833333335</v>
      </c>
      <c r="J11" s="73">
        <f>'WA-Sch91 Budget-Act Exp'!J36</f>
        <v>1032112.5833333335</v>
      </c>
      <c r="K11" s="73">
        <f>'WA-Sch91 Budget-Act Exp'!K36</f>
        <v>1032112.5833333335</v>
      </c>
      <c r="L11" s="73">
        <f>'WA-Sch91 Budget-Act Exp'!L36</f>
        <v>1032112.5833333335</v>
      </c>
      <c r="M11" s="73">
        <f>'WA-Sch91 Budget-Act Exp'!M36</f>
        <v>1032112.5833333335</v>
      </c>
      <c r="N11" s="73">
        <f>'WA-Sch91 Budget-Act Exp'!N36</f>
        <v>1032111.9233333333</v>
      </c>
      <c r="O11" s="75">
        <f t="shared" ref="O11:O13" si="4">SUM(C11:N11)</f>
        <v>12385350.340000005</v>
      </c>
      <c r="P11" s="75">
        <f>SUM(C11:E11)</f>
        <v>3096337.7500000005</v>
      </c>
      <c r="Q11" s="75">
        <f>SUM(F11:H11)</f>
        <v>3096337.7500000005</v>
      </c>
      <c r="R11" s="75">
        <f>SUM(I11:K11)</f>
        <v>3096337.7500000005</v>
      </c>
      <c r="S11" s="75">
        <f>SUM(L11:N11)</f>
        <v>3096337.0900000003</v>
      </c>
      <c r="AH11" s="73">
        <f>14393248*(C12/(SUM($C$12:$K$12)+SUM($L$11:$N$11)))</f>
        <v>1314929.6433647205</v>
      </c>
      <c r="AI11" s="73">
        <f t="shared" ref="AI11:AP11" si="5">14393248*(D12/(SUM($C$12:$K$12)+SUM($L$11:$N$11)))</f>
        <v>1018510.908699838</v>
      </c>
      <c r="AJ11" s="73">
        <f t="shared" si="5"/>
        <v>1753435.0689559451</v>
      </c>
      <c r="AK11" s="73">
        <f t="shared" si="5"/>
        <v>1482218.7790948714</v>
      </c>
      <c r="AL11" s="73">
        <f t="shared" si="5"/>
        <v>664619.95865817589</v>
      </c>
      <c r="AM11" s="73">
        <f t="shared" si="5"/>
        <v>1205378.0895451172</v>
      </c>
      <c r="AN11" s="73">
        <f t="shared" si="5"/>
        <v>758952.08125512535</v>
      </c>
      <c r="AO11" s="73">
        <f t="shared" si="5"/>
        <v>1196295.7663610415</v>
      </c>
      <c r="AP11" s="73">
        <f t="shared" si="5"/>
        <v>1327157.58809436</v>
      </c>
      <c r="AQ11" s="73">
        <f>14393248*(L11/(SUM($C$12:$K$12)+SUM($L$11:$N$11)))</f>
        <v>1223916.9662076728</v>
      </c>
      <c r="AR11" s="73">
        <f t="shared" ref="AR11:AS11" si="6">14393248*(M11/(SUM($C$12:$K$12)+SUM($L$11:$N$11)))</f>
        <v>1223916.9662076728</v>
      </c>
      <c r="AS11" s="73">
        <f t="shared" si="6"/>
        <v>1223916.1835554594</v>
      </c>
    </row>
    <row r="12" spans="1:45">
      <c r="A12" s="68" t="s">
        <v>20</v>
      </c>
      <c r="B12" s="68" t="s">
        <v>17</v>
      </c>
      <c r="C12" s="73">
        <f>'WA-Sch91 Budget-Act Exp'!C68</f>
        <v>1108862.3399999999</v>
      </c>
      <c r="D12" s="73">
        <f>'WA-Sch91 Budget-Act Exp'!D68</f>
        <v>858896.44000000018</v>
      </c>
      <c r="E12" s="73">
        <f>'WA-Sch91 Budget-Act Exp'!E68</f>
        <v>1478648.02</v>
      </c>
      <c r="F12" s="73">
        <f>'WA-Sch91 Budget-Act Exp'!F68</f>
        <v>1249935</v>
      </c>
      <c r="G12" s="73">
        <f>'WA-Sch91 Budget-Act Exp'!G68</f>
        <v>560465</v>
      </c>
      <c r="H12" s="73">
        <f>'WA-Sch91 Budget-Act Exp'!H68</f>
        <v>1016479</v>
      </c>
      <c r="I12" s="73">
        <f>'WA-Sch91 Budget-Act Exp'!I68</f>
        <v>640014</v>
      </c>
      <c r="J12" s="73">
        <f>'WA-Sch91 Budget-Act Exp'!J68</f>
        <v>1008820</v>
      </c>
      <c r="K12" s="73">
        <f>'WA-Sch91 Budget-Act Exp'!K68</f>
        <v>1119174</v>
      </c>
      <c r="L12" s="73">
        <f>'WA-Sch91 Budget-Act Exp'!L68</f>
        <v>1026694</v>
      </c>
      <c r="M12" s="73">
        <f>'WA-Sch91 Budget-Act Exp'!M68</f>
        <v>1209041.81</v>
      </c>
      <c r="N12" s="73">
        <f>'WA-Sch91 Budget-Act Exp'!N68</f>
        <v>1239073.51</v>
      </c>
      <c r="O12" s="75">
        <f t="shared" si="4"/>
        <v>12516103.120000001</v>
      </c>
      <c r="P12" s="75">
        <f>SUM(C12:E12)</f>
        <v>3446406.8</v>
      </c>
      <c r="Q12" s="75">
        <f>SUM(F12:H12)</f>
        <v>2826879</v>
      </c>
      <c r="R12" s="75">
        <f>SUM(I12:K12)</f>
        <v>2768008</v>
      </c>
      <c r="S12" s="75">
        <f>SUM(L12:N12)</f>
        <v>3474809.3200000003</v>
      </c>
    </row>
    <row r="13" spans="1:45">
      <c r="B13" s="68" t="s">
        <v>19</v>
      </c>
      <c r="C13" s="77">
        <f>C11-C12</f>
        <v>-76749.756666666362</v>
      </c>
      <c r="D13" s="77">
        <f t="shared" ref="D13:S13" si="7">D11-D12</f>
        <v>173216.14333333331</v>
      </c>
      <c r="E13" s="77">
        <f t="shared" si="7"/>
        <v>-446535.43666666653</v>
      </c>
      <c r="F13" s="77">
        <f t="shared" si="7"/>
        <v>-217822.41666666651</v>
      </c>
      <c r="G13" s="77">
        <f t="shared" si="7"/>
        <v>471647.58333333349</v>
      </c>
      <c r="H13" s="77">
        <f t="shared" si="7"/>
        <v>15633.583333333489</v>
      </c>
      <c r="I13" s="77">
        <f t="shared" si="7"/>
        <v>392098.58333333349</v>
      </c>
      <c r="J13" s="77">
        <f t="shared" si="7"/>
        <v>23292.583333333489</v>
      </c>
      <c r="K13" s="77">
        <f t="shared" si="7"/>
        <v>-87061.416666666511</v>
      </c>
      <c r="L13" s="77">
        <f t="shared" si="7"/>
        <v>5418.5833333334886</v>
      </c>
      <c r="M13" s="77">
        <f t="shared" si="7"/>
        <v>-176929.22666666657</v>
      </c>
      <c r="N13" s="77">
        <f t="shared" si="7"/>
        <v>-206961.58666666667</v>
      </c>
      <c r="O13" s="76">
        <f t="shared" si="4"/>
        <v>-130752.7799999984</v>
      </c>
      <c r="P13" s="77">
        <f t="shared" si="7"/>
        <v>-350069.04999999935</v>
      </c>
      <c r="Q13" s="77">
        <f t="shared" si="7"/>
        <v>269458.75000000047</v>
      </c>
      <c r="R13" s="77">
        <f t="shared" si="7"/>
        <v>328329.75000000047</v>
      </c>
      <c r="S13" s="77">
        <f t="shared" si="7"/>
        <v>-378472.23</v>
      </c>
    </row>
    <row r="14" spans="1:45">
      <c r="C14" s="73"/>
      <c r="D14" s="73"/>
      <c r="E14" s="73"/>
      <c r="F14" s="73"/>
      <c r="G14" s="73"/>
      <c r="H14" s="73"/>
      <c r="I14" s="73"/>
      <c r="J14" s="73"/>
      <c r="K14" s="73"/>
      <c r="L14" s="73"/>
      <c r="M14" s="73"/>
      <c r="N14" s="73"/>
    </row>
    <row r="15" spans="1:45" ht="30">
      <c r="A15" s="68" t="s">
        <v>24</v>
      </c>
      <c r="B15" s="78" t="s">
        <v>23</v>
      </c>
      <c r="C15" s="73">
        <f>C8-C12</f>
        <v>533620.36530260276</v>
      </c>
      <c r="D15" s="73">
        <f t="shared" ref="D15:S15" si="8">D8-D12</f>
        <v>608280.38074415526</v>
      </c>
      <c r="E15" s="73">
        <f t="shared" si="8"/>
        <v>-83385.967968086945</v>
      </c>
      <c r="F15" s="73">
        <f t="shared" si="8"/>
        <v>131389.7788768739</v>
      </c>
      <c r="G15" s="73">
        <f t="shared" si="8"/>
        <v>723947.34851064952</v>
      </c>
      <c r="H15" s="73">
        <f t="shared" si="8"/>
        <v>222267.99864134588</v>
      </c>
      <c r="I15" s="73">
        <f t="shared" si="8"/>
        <v>606590.20438371156</v>
      </c>
      <c r="J15" s="73">
        <f t="shared" si="8"/>
        <v>1006118.5033907369</v>
      </c>
      <c r="K15" s="73">
        <f t="shared" si="8"/>
        <v>211954.70956496056</v>
      </c>
      <c r="L15" s="73">
        <f t="shared" si="8"/>
        <v>200531.71304715797</v>
      </c>
      <c r="M15" s="73">
        <f t="shared" si="8"/>
        <v>74627.584939133376</v>
      </c>
      <c r="N15" s="73">
        <f t="shared" si="8"/>
        <v>382608.28715375089</v>
      </c>
      <c r="O15" s="73">
        <f t="shared" si="8"/>
        <v>4618550.9065869898</v>
      </c>
      <c r="P15" s="73">
        <f t="shared" si="8"/>
        <v>1058514.7780786715</v>
      </c>
      <c r="Q15" s="73">
        <f t="shared" si="8"/>
        <v>1077605.1260288693</v>
      </c>
      <c r="R15" s="73">
        <f t="shared" si="8"/>
        <v>1824663.4173394088</v>
      </c>
      <c r="S15" s="73">
        <f t="shared" si="8"/>
        <v>657767.58514004201</v>
      </c>
    </row>
    <row r="16" spans="1:45">
      <c r="C16" s="73"/>
      <c r="D16" s="73"/>
      <c r="E16" s="73"/>
      <c r="F16" s="73"/>
      <c r="G16" s="73"/>
      <c r="H16" s="73"/>
      <c r="I16" s="73"/>
      <c r="J16" s="73"/>
      <c r="K16" s="73"/>
      <c r="L16" s="73"/>
      <c r="M16" s="73"/>
      <c r="N16" s="73"/>
    </row>
    <row r="17" spans="2:45" ht="15.75" thickBot="1">
      <c r="B17" s="68" t="s">
        <v>25</v>
      </c>
      <c r="C17" s="111">
        <f>C5-C15</f>
        <v>3261878.6346973972</v>
      </c>
      <c r="D17" s="111">
        <f t="shared" ref="D17:S17" si="9">D5-D15</f>
        <v>2653598.2539532417</v>
      </c>
      <c r="E17" s="111">
        <f t="shared" si="9"/>
        <v>2736984.2219213285</v>
      </c>
      <c r="F17" s="111">
        <f t="shared" si="9"/>
        <v>2605594.4430444548</v>
      </c>
      <c r="G17" s="111">
        <f t="shared" si="9"/>
        <v>1881647.0945338053</v>
      </c>
      <c r="H17" s="111">
        <f t="shared" si="9"/>
        <v>1659379.0958924594</v>
      </c>
      <c r="I17" s="111">
        <f t="shared" si="9"/>
        <v>1052788.8915087478</v>
      </c>
      <c r="J17" s="111">
        <f t="shared" si="9"/>
        <v>46670.388118010946</v>
      </c>
      <c r="K17" s="111">
        <f t="shared" si="9"/>
        <v>-165284.32144694962</v>
      </c>
      <c r="L17" s="111">
        <f t="shared" si="9"/>
        <v>-365816.03449410759</v>
      </c>
      <c r="M17" s="111">
        <f t="shared" si="9"/>
        <v>-440443.61943324097</v>
      </c>
      <c r="N17" s="111">
        <f t="shared" si="9"/>
        <v>-823051.90658699186</v>
      </c>
      <c r="O17" s="75"/>
      <c r="P17" s="75">
        <f>P5-P15</f>
        <v>2736984.2219213285</v>
      </c>
      <c r="Q17" s="75">
        <f t="shared" si="9"/>
        <v>1659379.0958924592</v>
      </c>
      <c r="R17" s="75">
        <f t="shared" si="9"/>
        <v>-165284.32144694962</v>
      </c>
      <c r="S17" s="75">
        <f t="shared" si="9"/>
        <v>-823051.90658699162</v>
      </c>
    </row>
    <row r="18" spans="2:45" ht="15.75" thickTop="1"/>
    <row r="19" spans="2:45">
      <c r="B19" s="68" t="s">
        <v>30</v>
      </c>
      <c r="E19" s="75"/>
      <c r="F19" s="75"/>
      <c r="G19" s="75"/>
      <c r="H19" s="75"/>
      <c r="I19" s="75"/>
      <c r="J19" s="75"/>
      <c r="K19" s="75"/>
      <c r="L19" s="75"/>
      <c r="M19" s="75"/>
      <c r="N19" s="75" t="s">
        <v>96</v>
      </c>
      <c r="P19" s="75"/>
      <c r="AH19" s="75" t="e">
        <f>AH5-AH7+AH11</f>
        <v>#VALUE!</v>
      </c>
      <c r="AI19" s="75" t="e">
        <f t="shared" ref="AI19:AS19" si="10">AI5-AI7+AI11</f>
        <v>#VALUE!</v>
      </c>
      <c r="AJ19" s="75" t="e">
        <f t="shared" si="10"/>
        <v>#VALUE!</v>
      </c>
      <c r="AK19" s="75" t="e">
        <f t="shared" si="10"/>
        <v>#VALUE!</v>
      </c>
      <c r="AL19" s="75" t="e">
        <f t="shared" si="10"/>
        <v>#VALUE!</v>
      </c>
      <c r="AM19" s="75" t="e">
        <f t="shared" si="10"/>
        <v>#VALUE!</v>
      </c>
      <c r="AN19" s="75" t="e">
        <f t="shared" si="10"/>
        <v>#VALUE!</v>
      </c>
      <c r="AO19" s="75" t="e">
        <f t="shared" si="10"/>
        <v>#VALUE!</v>
      </c>
      <c r="AP19" s="75" t="e">
        <f t="shared" si="10"/>
        <v>#VALUE!</v>
      </c>
      <c r="AQ19" s="75" t="e">
        <f t="shared" si="10"/>
        <v>#VALUE!</v>
      </c>
      <c r="AR19" s="75" t="e">
        <f t="shared" si="10"/>
        <v>#VALUE!</v>
      </c>
      <c r="AS19" s="75" t="e">
        <f t="shared" si="10"/>
        <v>#VALUE!</v>
      </c>
    </row>
    <row r="20" spans="2:45">
      <c r="E20" s="75"/>
      <c r="F20" s="75"/>
      <c r="G20" s="75"/>
      <c r="H20" s="75"/>
      <c r="I20" s="75"/>
      <c r="J20" s="75"/>
      <c r="K20" s="75"/>
      <c r="L20" s="75"/>
      <c r="M20" s="75"/>
      <c r="N20" s="75"/>
    </row>
    <row r="22" spans="2:45">
      <c r="B22" s="84" t="s">
        <v>26</v>
      </c>
      <c r="C22" s="63"/>
      <c r="D22" s="63"/>
      <c r="E22" s="63"/>
      <c r="F22" s="63"/>
      <c r="G22" s="63"/>
      <c r="H22" s="63"/>
      <c r="I22" s="63"/>
      <c r="J22" s="63"/>
      <c r="K22" s="63"/>
      <c r="L22" s="63"/>
      <c r="M22" s="63"/>
      <c r="N22" s="63"/>
      <c r="O22" s="63"/>
    </row>
    <row r="23" spans="2:45" ht="31.5" customHeight="1">
      <c r="B23" s="144" t="s">
        <v>69</v>
      </c>
      <c r="C23" s="144"/>
      <c r="D23" s="144"/>
      <c r="E23" s="144"/>
      <c r="F23" s="144"/>
      <c r="G23" s="144"/>
      <c r="H23" s="144"/>
      <c r="I23" s="144"/>
      <c r="J23" s="144"/>
      <c r="K23" s="144"/>
      <c r="L23" s="144"/>
      <c r="M23" s="144"/>
      <c r="N23" s="144"/>
      <c r="O23" s="144"/>
    </row>
    <row r="24" spans="2:45" ht="30" customHeight="1">
      <c r="B24" s="144" t="s">
        <v>70</v>
      </c>
      <c r="C24" s="144"/>
      <c r="D24" s="144"/>
      <c r="E24" s="144"/>
      <c r="F24" s="144"/>
      <c r="G24" s="144"/>
      <c r="H24" s="144"/>
      <c r="I24" s="144"/>
      <c r="J24" s="144"/>
      <c r="K24" s="144"/>
      <c r="L24" s="144"/>
      <c r="M24" s="144"/>
      <c r="N24" s="144"/>
      <c r="O24" s="144"/>
    </row>
    <row r="25" spans="2:45" ht="30.75" customHeight="1">
      <c r="B25" s="144" t="s">
        <v>160</v>
      </c>
      <c r="C25" s="144"/>
      <c r="D25" s="144"/>
      <c r="E25" s="144"/>
      <c r="F25" s="144"/>
      <c r="G25" s="144"/>
      <c r="H25" s="144"/>
      <c r="I25" s="144"/>
      <c r="J25" s="144"/>
      <c r="K25" s="144"/>
      <c r="L25" s="144"/>
      <c r="M25" s="144"/>
      <c r="N25" s="144"/>
      <c r="O25" s="144"/>
    </row>
    <row r="26" spans="2:45">
      <c r="B26" s="144" t="s">
        <v>170</v>
      </c>
      <c r="C26" s="144"/>
      <c r="D26" s="144"/>
      <c r="E26" s="144"/>
      <c r="F26" s="144"/>
      <c r="G26" s="144"/>
      <c r="H26" s="144"/>
      <c r="I26" s="144"/>
      <c r="J26" s="144"/>
      <c r="K26" s="144"/>
      <c r="L26" s="144"/>
      <c r="M26" s="144"/>
      <c r="N26" s="144"/>
      <c r="O26" s="144"/>
    </row>
    <row r="27" spans="2:45">
      <c r="B27" s="144" t="s">
        <v>176</v>
      </c>
      <c r="C27" s="144"/>
      <c r="D27" s="144"/>
      <c r="E27" s="144"/>
      <c r="F27" s="144"/>
      <c r="G27" s="144"/>
      <c r="H27" s="144"/>
      <c r="I27" s="144"/>
      <c r="J27" s="144"/>
      <c r="K27" s="144"/>
      <c r="L27" s="144"/>
      <c r="M27" s="144"/>
      <c r="N27" s="144"/>
      <c r="O27" s="144"/>
    </row>
    <row r="28" spans="2:45">
      <c r="B28" s="69" t="s">
        <v>187</v>
      </c>
    </row>
    <row r="29" spans="2:45">
      <c r="B29" s="146" t="s">
        <v>209</v>
      </c>
      <c r="C29" s="146"/>
      <c r="D29" s="146"/>
      <c r="E29" s="146"/>
      <c r="F29" s="146"/>
      <c r="G29" s="146"/>
      <c r="H29" s="146"/>
      <c r="I29" s="146"/>
      <c r="J29" s="146"/>
      <c r="K29" s="146"/>
      <c r="L29" s="146"/>
      <c r="M29" s="146"/>
      <c r="N29" s="146"/>
    </row>
    <row r="30" spans="2:45">
      <c r="B30" s="146" t="s">
        <v>213</v>
      </c>
      <c r="C30" s="146"/>
      <c r="D30" s="146"/>
      <c r="E30" s="146"/>
      <c r="F30" s="146"/>
      <c r="G30" s="146"/>
      <c r="H30" s="146"/>
      <c r="I30" s="146"/>
      <c r="J30" s="146"/>
      <c r="K30" s="146"/>
      <c r="L30" s="146"/>
      <c r="M30" s="146"/>
      <c r="N30" s="146"/>
    </row>
    <row r="31" spans="2:45">
      <c r="B31" s="146" t="s">
        <v>232</v>
      </c>
      <c r="C31" s="146"/>
      <c r="D31" s="146"/>
      <c r="E31" s="146"/>
      <c r="F31" s="146"/>
      <c r="G31" s="146"/>
      <c r="H31" s="146"/>
      <c r="I31" s="146"/>
      <c r="J31" s="146"/>
      <c r="K31" s="146"/>
      <c r="L31" s="146"/>
      <c r="M31" s="146"/>
      <c r="N31" s="146"/>
    </row>
    <row r="32" spans="2:45">
      <c r="B32" s="145" t="s">
        <v>253</v>
      </c>
      <c r="C32" s="145"/>
      <c r="D32" s="145"/>
      <c r="E32" s="145"/>
      <c r="F32" s="145"/>
      <c r="G32" s="145"/>
      <c r="H32" s="145"/>
      <c r="I32" s="145"/>
      <c r="J32" s="145"/>
      <c r="K32" s="145"/>
      <c r="L32" s="145"/>
      <c r="M32" s="145"/>
      <c r="N32" s="145"/>
    </row>
    <row r="33" spans="2:14">
      <c r="B33" s="145" t="s">
        <v>266</v>
      </c>
      <c r="C33" s="145"/>
      <c r="D33" s="145"/>
      <c r="E33" s="145"/>
      <c r="F33" s="145"/>
      <c r="G33" s="145"/>
      <c r="H33" s="145"/>
      <c r="I33" s="145"/>
      <c r="J33" s="145"/>
      <c r="K33" s="145"/>
      <c r="L33" s="145"/>
      <c r="M33" s="145"/>
      <c r="N33" s="145"/>
    </row>
  </sheetData>
  <mergeCells count="10">
    <mergeCell ref="B33:N33"/>
    <mergeCell ref="B32:N32"/>
    <mergeCell ref="B31:N31"/>
    <mergeCell ref="B30:N30"/>
    <mergeCell ref="B29:N29"/>
    <mergeCell ref="B23:O23"/>
    <mergeCell ref="B24:O24"/>
    <mergeCell ref="B25:O25"/>
    <mergeCell ref="B26:O26"/>
    <mergeCell ref="B27:O27"/>
  </mergeCells>
  <pageMargins left="0" right="0" top="0.75" bottom="0.75" header="0.3" footer="0.3"/>
  <pageSetup scale="65" orientation="landscape" r:id="rId1"/>
  <legacyDrawing r:id="rId2"/>
</worksheet>
</file>

<file path=xl/worksheets/sheet4.xml><?xml version="1.0" encoding="utf-8"?>
<worksheet xmlns="http://schemas.openxmlformats.org/spreadsheetml/2006/main" xmlns:r="http://schemas.openxmlformats.org/officeDocument/2006/relationships">
  <sheetPr>
    <tabColor theme="7" tint="0.39997558519241921"/>
  </sheetPr>
  <dimension ref="A2:BD270"/>
  <sheetViews>
    <sheetView workbookViewId="0">
      <pane xSplit="1" ySplit="4" topLeftCell="H62" activePane="bottomRight" state="frozen"/>
      <selection activeCell="B105" sqref="B105:O105"/>
      <selection pane="topRight" activeCell="B105" sqref="B105:O105"/>
      <selection pane="bottomLeft" activeCell="B105" sqref="B105:O105"/>
      <selection pane="bottomRight" activeCell="M69" sqref="M69"/>
    </sheetView>
  </sheetViews>
  <sheetFormatPr defaultRowHeight="15"/>
  <cols>
    <col min="1" max="1" width="25.5703125" customWidth="1"/>
    <col min="2" max="13" width="12.5703125" bestFit="1" customWidth="1"/>
    <col min="14" max="14" width="14.28515625" style="7" bestFit="1" customWidth="1"/>
    <col min="15" max="27" width="11.7109375" style="7" hidden="1" customWidth="1"/>
    <col min="28" max="55" width="11.7109375" style="7" customWidth="1"/>
  </cols>
  <sheetData>
    <row r="2" spans="1:55">
      <c r="A2" s="63" t="s">
        <v>12</v>
      </c>
    </row>
    <row r="3" spans="1:55">
      <c r="B3" s="8">
        <v>2010</v>
      </c>
      <c r="C3" s="8">
        <v>2010</v>
      </c>
      <c r="D3" s="8">
        <v>2010</v>
      </c>
      <c r="E3" s="8">
        <v>2010</v>
      </c>
      <c r="F3" s="8">
        <v>2010</v>
      </c>
      <c r="G3" s="8">
        <v>2010</v>
      </c>
      <c r="H3" s="8">
        <v>2010</v>
      </c>
      <c r="I3" s="8">
        <v>2010</v>
      </c>
      <c r="J3" s="8">
        <v>2010</v>
      </c>
      <c r="K3" s="8">
        <v>2010</v>
      </c>
      <c r="L3" s="8">
        <v>2010</v>
      </c>
      <c r="M3" s="8">
        <v>2010</v>
      </c>
      <c r="N3" s="8" t="s">
        <v>34</v>
      </c>
      <c r="O3" s="5">
        <v>2011</v>
      </c>
      <c r="P3" s="5">
        <v>2011</v>
      </c>
      <c r="Q3" s="5">
        <v>2011</v>
      </c>
      <c r="R3" s="5">
        <v>2011</v>
      </c>
      <c r="S3" s="5">
        <v>2011</v>
      </c>
      <c r="T3" s="5">
        <v>2011</v>
      </c>
      <c r="U3" s="5">
        <v>2011</v>
      </c>
      <c r="V3" s="5">
        <v>2011</v>
      </c>
      <c r="W3" s="5">
        <v>2011</v>
      </c>
      <c r="X3" s="5">
        <v>2011</v>
      </c>
      <c r="Y3" s="5">
        <v>2011</v>
      </c>
      <c r="Z3" s="5">
        <v>2011</v>
      </c>
      <c r="AA3" s="8" t="s">
        <v>35</v>
      </c>
    </row>
    <row r="4" spans="1:55">
      <c r="B4" s="32" t="s">
        <v>0</v>
      </c>
      <c r="C4" s="32" t="s">
        <v>1</v>
      </c>
      <c r="D4" s="32" t="s">
        <v>2</v>
      </c>
      <c r="E4" s="32" t="s">
        <v>3</v>
      </c>
      <c r="F4" s="32" t="s">
        <v>4</v>
      </c>
      <c r="G4" s="32" t="s">
        <v>5</v>
      </c>
      <c r="H4" s="32" t="s">
        <v>6</v>
      </c>
      <c r="I4" s="32" t="s">
        <v>7</v>
      </c>
      <c r="J4" s="32" t="s">
        <v>8</v>
      </c>
      <c r="K4" s="32" t="s">
        <v>9</v>
      </c>
      <c r="L4" s="32" t="s">
        <v>10</v>
      </c>
      <c r="M4" s="32" t="s">
        <v>11</v>
      </c>
      <c r="N4" s="31"/>
      <c r="O4" s="5" t="s">
        <v>0</v>
      </c>
      <c r="P4" s="5" t="s">
        <v>1</v>
      </c>
      <c r="Q4" s="5" t="s">
        <v>2</v>
      </c>
      <c r="R4" s="5" t="s">
        <v>3</v>
      </c>
      <c r="S4" s="5" t="s">
        <v>4</v>
      </c>
      <c r="T4" s="5" t="s">
        <v>5</v>
      </c>
      <c r="U4" s="5" t="s">
        <v>6</v>
      </c>
      <c r="V4" s="5" t="s">
        <v>7</v>
      </c>
      <c r="W4" s="5" t="s">
        <v>8</v>
      </c>
      <c r="X4" s="5" t="s">
        <v>9</v>
      </c>
      <c r="Y4" s="5" t="s">
        <v>10</v>
      </c>
      <c r="Z4" s="5" t="s">
        <v>11</v>
      </c>
      <c r="AA4" s="5"/>
    </row>
    <row r="5" spans="1:55">
      <c r="D5" s="3"/>
      <c r="E5" s="3"/>
      <c r="F5" s="3"/>
      <c r="G5" s="3"/>
      <c r="H5" s="3"/>
      <c r="I5" s="3"/>
      <c r="J5" s="3"/>
      <c r="K5" s="3"/>
      <c r="L5" s="3"/>
      <c r="M5" s="3"/>
    </row>
    <row r="6" spans="1:55">
      <c r="D6" s="3"/>
      <c r="E6" s="3"/>
      <c r="F6" s="3"/>
      <c r="G6" s="3"/>
      <c r="H6" s="3"/>
      <c r="I6" s="3"/>
      <c r="J6" s="3"/>
      <c r="K6" s="3"/>
      <c r="L6" s="3"/>
      <c r="M6" s="3"/>
    </row>
    <row r="7" spans="1:55">
      <c r="A7" s="89" t="s">
        <v>31</v>
      </c>
      <c r="D7" s="3"/>
      <c r="E7" s="3"/>
      <c r="F7" s="3"/>
      <c r="G7" s="3"/>
      <c r="H7" s="3"/>
      <c r="I7" s="3"/>
      <c r="J7" s="3"/>
      <c r="K7" s="3"/>
      <c r="L7" s="3"/>
      <c r="M7" s="3"/>
    </row>
    <row r="8" spans="1:55">
      <c r="A8" s="5" t="s">
        <v>55</v>
      </c>
      <c r="B8" s="35">
        <v>287593775.53607368</v>
      </c>
      <c r="C8" s="35">
        <v>247556754.30148169</v>
      </c>
      <c r="D8" s="35">
        <v>221335552.49743921</v>
      </c>
      <c r="E8" s="35">
        <v>172304112.61864197</v>
      </c>
      <c r="F8" s="35">
        <v>163503243.90507793</v>
      </c>
      <c r="G8" s="35">
        <v>157362453.82765189</v>
      </c>
      <c r="H8" s="35">
        <v>172017948.09767443</v>
      </c>
      <c r="I8" s="35">
        <v>178367073.33138651</v>
      </c>
      <c r="J8" s="35">
        <v>165786880.52680168</v>
      </c>
      <c r="K8" s="35">
        <v>184190129.29222274</v>
      </c>
      <c r="L8" s="35">
        <v>217698525.6462433</v>
      </c>
      <c r="M8" s="35">
        <v>259324510.54233283</v>
      </c>
      <c r="N8" s="9">
        <f t="shared" ref="N8:N270" si="0">SUM(B8:M8)</f>
        <v>2427040960.1230278</v>
      </c>
    </row>
    <row r="9" spans="1:55">
      <c r="A9" s="5" t="s">
        <v>56</v>
      </c>
      <c r="B9" s="36">
        <v>44127730.177203514</v>
      </c>
      <c r="C9" s="36">
        <v>39745391.429917648</v>
      </c>
      <c r="D9" s="36">
        <v>37258361.234185763</v>
      </c>
      <c r="E9" s="36">
        <v>30214263.302768409</v>
      </c>
      <c r="F9" s="36">
        <v>30404762.68044145</v>
      </c>
      <c r="G9" s="36">
        <v>30786484.714721777</v>
      </c>
      <c r="H9" s="36">
        <v>34188690.979343772</v>
      </c>
      <c r="I9" s="36">
        <v>35593335.991396114</v>
      </c>
      <c r="J9" s="36">
        <v>33268629.980057675</v>
      </c>
      <c r="K9" s="37">
        <v>33914100.074820384</v>
      </c>
      <c r="L9" s="37">
        <v>34246092.117389232</v>
      </c>
      <c r="M9" s="37">
        <v>39498119.428177767</v>
      </c>
      <c r="N9" s="9">
        <f t="shared" si="0"/>
        <v>423245962.11042351</v>
      </c>
      <c r="BA9"/>
      <c r="BB9"/>
      <c r="BC9"/>
    </row>
    <row r="10" spans="1:55">
      <c r="A10" s="5" t="s">
        <v>57</v>
      </c>
      <c r="B10" s="36">
        <v>145405378.80480385</v>
      </c>
      <c r="C10" s="36">
        <v>137743568.60368454</v>
      </c>
      <c r="D10" s="36">
        <v>134276409.0305222</v>
      </c>
      <c r="E10" s="36">
        <v>116903162.27497965</v>
      </c>
      <c r="F10" s="36">
        <v>126378111.99523076</v>
      </c>
      <c r="G10" s="36">
        <v>130195331.87755673</v>
      </c>
      <c r="H10" s="36">
        <v>142105844.7797789</v>
      </c>
      <c r="I10" s="36">
        <v>145941215.04515195</v>
      </c>
      <c r="J10" s="36">
        <v>137699887.06866097</v>
      </c>
      <c r="K10" s="36">
        <v>138046487.6721614</v>
      </c>
      <c r="L10" s="36">
        <v>132841597.61528555</v>
      </c>
      <c r="M10" s="36">
        <v>136977564.57525697</v>
      </c>
      <c r="N10" s="9">
        <f t="shared" si="0"/>
        <v>1624514559.3430736</v>
      </c>
    </row>
    <row r="11" spans="1:55">
      <c r="A11" s="5" t="s">
        <v>58</v>
      </c>
      <c r="B11" s="35">
        <v>77155784.00999999</v>
      </c>
      <c r="C11" s="35">
        <v>71368163.700000003</v>
      </c>
      <c r="D11" s="35">
        <v>72434219.620000005</v>
      </c>
      <c r="E11" s="35">
        <v>74673061.559999987</v>
      </c>
      <c r="F11" s="35">
        <v>77816007.060000017</v>
      </c>
      <c r="G11" s="35">
        <v>80877594.517000005</v>
      </c>
      <c r="H11" s="35">
        <v>82960756.21284999</v>
      </c>
      <c r="I11" s="35">
        <v>84400901.533325002</v>
      </c>
      <c r="J11" s="35">
        <v>81810276.488875002</v>
      </c>
      <c r="K11" s="35">
        <v>79904709.617350012</v>
      </c>
      <c r="L11" s="35">
        <v>80661181.132199988</v>
      </c>
      <c r="M11" s="35">
        <v>88872724.736802489</v>
      </c>
      <c r="N11" s="9">
        <f t="shared" si="0"/>
        <v>952935380.18840241</v>
      </c>
    </row>
    <row r="12" spans="1:55">
      <c r="A12" s="5" t="s">
        <v>59</v>
      </c>
      <c r="B12" s="36">
        <v>4155673.6464028964</v>
      </c>
      <c r="C12" s="36">
        <v>3898746.1427345118</v>
      </c>
      <c r="D12" s="36">
        <v>4644147.1057049083</v>
      </c>
      <c r="E12" s="36">
        <v>7243935.3927250085</v>
      </c>
      <c r="F12" s="36">
        <v>13956632.848412169</v>
      </c>
      <c r="G12" s="36">
        <v>19372050.886702344</v>
      </c>
      <c r="H12" s="36">
        <v>24232050.768301591</v>
      </c>
      <c r="I12" s="36">
        <v>25163345.2489774</v>
      </c>
      <c r="J12" s="36">
        <v>18598009.060959507</v>
      </c>
      <c r="K12" s="36">
        <v>9769778.0941621605</v>
      </c>
      <c r="L12" s="36">
        <v>4751161.5533445273</v>
      </c>
      <c r="M12" s="36">
        <v>4011574.1539500379</v>
      </c>
      <c r="N12" s="9">
        <f t="shared" si="0"/>
        <v>139797104.90237707</v>
      </c>
    </row>
    <row r="13" spans="1:55">
      <c r="A13" s="5" t="s">
        <v>53</v>
      </c>
      <c r="B13" s="38">
        <v>2264668.6161764706</v>
      </c>
      <c r="C13" s="38">
        <v>2236359.6279411763</v>
      </c>
      <c r="D13" s="38">
        <v>2234278.8552197805</v>
      </c>
      <c r="E13" s="38">
        <v>2232058.4886363633</v>
      </c>
      <c r="F13" s="38">
        <v>2213649.2612637361</v>
      </c>
      <c r="G13" s="38">
        <v>2206346.0873188404</v>
      </c>
      <c r="H13" s="38">
        <v>2275955.229402985</v>
      </c>
      <c r="I13" s="38">
        <v>2273626.9227518658</v>
      </c>
      <c r="J13" s="38">
        <v>2262599.512567379</v>
      </c>
      <c r="K13" s="38">
        <v>2282548.178087825</v>
      </c>
      <c r="L13" s="38">
        <v>2264905.2539056689</v>
      </c>
      <c r="M13" s="38">
        <v>2276212.5645364393</v>
      </c>
      <c r="N13" s="9">
        <f t="shared" si="0"/>
        <v>27023208.597808532</v>
      </c>
    </row>
    <row r="14" spans="1:55">
      <c r="A14" s="27" t="s">
        <v>54</v>
      </c>
      <c r="B14" s="26">
        <f>SUM(B8:B13)</f>
        <v>560703010.7906605</v>
      </c>
      <c r="C14" s="26">
        <f t="shared" ref="C14:M14" si="1">SUM(C8:C13)</f>
        <v>502548983.80575961</v>
      </c>
      <c r="D14" s="26">
        <f t="shared" si="1"/>
        <v>472182968.34307188</v>
      </c>
      <c r="E14" s="26">
        <f t="shared" si="1"/>
        <v>403570593.6377514</v>
      </c>
      <c r="F14" s="26">
        <f t="shared" si="1"/>
        <v>414272407.75042599</v>
      </c>
      <c r="G14" s="26">
        <f t="shared" si="1"/>
        <v>420800261.91095161</v>
      </c>
      <c r="H14" s="26">
        <f t="shared" si="1"/>
        <v>457781246.06735164</v>
      </c>
      <c r="I14" s="26">
        <f t="shared" si="1"/>
        <v>471739498.07298887</v>
      </c>
      <c r="J14" s="26">
        <f t="shared" si="1"/>
        <v>439426282.63792223</v>
      </c>
      <c r="K14" s="26">
        <f t="shared" si="1"/>
        <v>448107752.92880458</v>
      </c>
      <c r="L14" s="26">
        <f t="shared" si="1"/>
        <v>472463463.31836826</v>
      </c>
      <c r="M14" s="26">
        <f t="shared" si="1"/>
        <v>530960706.00105649</v>
      </c>
      <c r="N14" s="25">
        <f>SUM(N8:N13)</f>
        <v>5594557175.2651129</v>
      </c>
      <c r="O14" s="28"/>
      <c r="P14" s="28"/>
      <c r="Q14" s="28"/>
      <c r="R14" s="28"/>
      <c r="S14" s="28"/>
      <c r="T14" s="28"/>
      <c r="U14" s="28"/>
      <c r="V14" s="28"/>
      <c r="W14" s="28"/>
      <c r="X14" s="28"/>
      <c r="Y14" s="28"/>
      <c r="Z14" s="28"/>
      <c r="AA14" s="28"/>
    </row>
    <row r="15" spans="1:55">
      <c r="A15" s="5"/>
      <c r="D15" s="3"/>
      <c r="E15" s="3"/>
      <c r="F15" s="3"/>
      <c r="G15" s="3"/>
      <c r="H15" s="3"/>
      <c r="I15" s="3"/>
      <c r="J15" s="3"/>
      <c r="K15" s="3"/>
      <c r="L15" s="3"/>
      <c r="M15" s="3"/>
      <c r="N15" s="9"/>
    </row>
    <row r="16" spans="1:55">
      <c r="D16" s="3"/>
      <c r="E16" s="3"/>
      <c r="F16" s="3"/>
      <c r="G16" s="3"/>
      <c r="H16" s="3"/>
      <c r="I16" s="3"/>
      <c r="J16" s="3"/>
      <c r="K16" s="3"/>
      <c r="L16" s="3"/>
      <c r="M16" s="3"/>
      <c r="N16" s="9"/>
    </row>
    <row r="17" spans="1:27">
      <c r="A17" s="87" t="s">
        <v>32</v>
      </c>
      <c r="D17" s="3"/>
      <c r="E17" s="3"/>
      <c r="F17" s="3"/>
      <c r="G17" s="3"/>
      <c r="H17" s="3"/>
      <c r="I17" s="3"/>
      <c r="J17" s="3"/>
      <c r="K17" s="3"/>
      <c r="L17" s="3"/>
      <c r="M17" s="3"/>
      <c r="N17" s="9"/>
    </row>
    <row r="18" spans="1:27">
      <c r="A18" s="33" t="s">
        <v>55</v>
      </c>
      <c r="B18" s="39">
        <v>278966801</v>
      </c>
      <c r="C18" s="39">
        <v>235472586</v>
      </c>
      <c r="D18" s="39">
        <v>216307542</v>
      </c>
      <c r="E18" s="39">
        <v>205842356</v>
      </c>
      <c r="F18" s="39">
        <v>177427497</v>
      </c>
      <c r="G18" s="39">
        <v>159281484</v>
      </c>
      <c r="H18" s="39">
        <v>154140636</v>
      </c>
      <c r="I18" s="39">
        <v>187829250</v>
      </c>
      <c r="J18" s="39">
        <v>166066206</v>
      </c>
      <c r="K18" s="39">
        <v>152261036</v>
      </c>
      <c r="L18" s="39">
        <v>175456043</v>
      </c>
      <c r="M18" s="39">
        <v>260392439</v>
      </c>
      <c r="N18" s="40"/>
    </row>
    <row r="19" spans="1:27">
      <c r="A19" s="33" t="s">
        <v>56</v>
      </c>
      <c r="B19" s="39">
        <v>40891576</v>
      </c>
      <c r="C19" s="39">
        <v>36693181</v>
      </c>
      <c r="D19" s="39">
        <v>35221974</v>
      </c>
      <c r="E19" s="39">
        <f>30187476+3885893</f>
        <v>34073369</v>
      </c>
      <c r="F19" s="39">
        <v>31162750</v>
      </c>
      <c r="G19" s="39">
        <v>29879222</v>
      </c>
      <c r="H19" s="39">
        <v>30787931</v>
      </c>
      <c r="I19" s="39">
        <v>35881052</v>
      </c>
      <c r="J19" s="39">
        <v>32780445</v>
      </c>
      <c r="K19" s="39">
        <v>30902307</v>
      </c>
      <c r="L19" s="39">
        <f>28404700+3361162</f>
        <v>31765862</v>
      </c>
      <c r="M19" s="39">
        <f>35988007+5017164</f>
        <v>41005171</v>
      </c>
      <c r="N19" s="40"/>
    </row>
    <row r="20" spans="1:27">
      <c r="A20" s="33" t="s">
        <v>57</v>
      </c>
      <c r="B20" s="41">
        <v>130801932</v>
      </c>
      <c r="C20" s="41">
        <v>124203582</v>
      </c>
      <c r="D20" s="41">
        <v>123638394</v>
      </c>
      <c r="E20" s="41">
        <f>123905567+3230732</f>
        <v>127136299</v>
      </c>
      <c r="F20" s="41">
        <v>121412229</v>
      </c>
      <c r="G20" s="41">
        <v>122614467</v>
      </c>
      <c r="H20" s="41">
        <v>126773290</v>
      </c>
      <c r="I20" s="41">
        <v>144223594</v>
      </c>
      <c r="J20" s="41">
        <v>131795725</v>
      </c>
      <c r="K20" s="41">
        <v>126716831</v>
      </c>
      <c r="L20" s="41">
        <f>120430416+2811280</f>
        <v>123241696</v>
      </c>
      <c r="M20" s="41">
        <f>136135441+3761086</f>
        <v>139896527</v>
      </c>
      <c r="N20" s="40"/>
    </row>
    <row r="21" spans="1:27">
      <c r="A21" s="33" t="s">
        <v>58</v>
      </c>
      <c r="B21" s="41">
        <v>84338293</v>
      </c>
      <c r="C21" s="41">
        <v>81927243</v>
      </c>
      <c r="D21" s="41">
        <v>79100016</v>
      </c>
      <c r="E21" s="41">
        <v>83459983</v>
      </c>
      <c r="F21" s="41">
        <v>85767857</v>
      </c>
      <c r="G21" s="41">
        <v>88199145</v>
      </c>
      <c r="H21" s="41">
        <v>84795554</v>
      </c>
      <c r="I21" s="41">
        <v>87953238</v>
      </c>
      <c r="J21" s="41">
        <v>88836408</v>
      </c>
      <c r="K21" s="41">
        <v>85944446</v>
      </c>
      <c r="L21" s="41">
        <v>90671324</v>
      </c>
      <c r="M21" s="41">
        <v>87360537</v>
      </c>
      <c r="N21" s="40"/>
    </row>
    <row r="22" spans="1:27">
      <c r="A22" s="33" t="s">
        <v>59</v>
      </c>
      <c r="B22" s="41">
        <v>4109900</v>
      </c>
      <c r="C22" s="41">
        <v>3601876</v>
      </c>
      <c r="D22" s="41">
        <v>3561974</v>
      </c>
      <c r="E22" s="41">
        <f>444680+3630283+501504</f>
        <v>4576467</v>
      </c>
      <c r="F22" s="38">
        <v>9928312</v>
      </c>
      <c r="G22" s="41">
        <v>12086284</v>
      </c>
      <c r="H22" s="41">
        <v>16857137</v>
      </c>
      <c r="I22" s="41">
        <v>24268143</v>
      </c>
      <c r="J22" s="41">
        <v>22336534</v>
      </c>
      <c r="K22" s="41">
        <v>11033489</v>
      </c>
      <c r="L22" s="41">
        <f>444440+4346494+419249</f>
        <v>5210183</v>
      </c>
      <c r="M22" s="41">
        <f>16260+3593054+420813</f>
        <v>4030127</v>
      </c>
      <c r="N22" s="40"/>
    </row>
    <row r="23" spans="1:27">
      <c r="A23" s="33" t="s">
        <v>75</v>
      </c>
      <c r="B23" s="41">
        <v>2169375</v>
      </c>
      <c r="C23" s="41">
        <v>2202374</v>
      </c>
      <c r="D23" s="41">
        <v>2197111</v>
      </c>
      <c r="E23" s="41">
        <f>1434895+483339+283157</f>
        <v>2201391</v>
      </c>
      <c r="F23" s="41">
        <v>2201095</v>
      </c>
      <c r="G23" s="41">
        <v>2198961</v>
      </c>
      <c r="H23" s="41">
        <v>2200467</v>
      </c>
      <c r="I23" s="41">
        <v>2190969</v>
      </c>
      <c r="J23" s="41">
        <v>2200267</v>
      </c>
      <c r="K23" s="41">
        <v>2198870</v>
      </c>
      <c r="L23" s="41">
        <f>1438076+483237+280654</f>
        <v>2201967</v>
      </c>
      <c r="M23" s="41">
        <f>1438746+482295+281432</f>
        <v>2202473</v>
      </c>
      <c r="N23" s="40"/>
    </row>
    <row r="24" spans="1:27">
      <c r="A24" s="34" t="s">
        <v>54</v>
      </c>
      <c r="B24" s="26">
        <f>SUM(B18:B23)</f>
        <v>541277877</v>
      </c>
      <c r="C24" s="26">
        <f t="shared" ref="C24:M24" si="2">SUM(C18:C23)</f>
        <v>484100842</v>
      </c>
      <c r="D24" s="26">
        <f t="shared" si="2"/>
        <v>460027011</v>
      </c>
      <c r="E24" s="26">
        <f t="shared" si="2"/>
        <v>457289865</v>
      </c>
      <c r="F24" s="26">
        <f t="shared" si="2"/>
        <v>427899740</v>
      </c>
      <c r="G24" s="26">
        <f t="shared" si="2"/>
        <v>414259563</v>
      </c>
      <c r="H24" s="26">
        <f t="shared" si="2"/>
        <v>415555015</v>
      </c>
      <c r="I24" s="26">
        <f t="shared" si="2"/>
        <v>482346246</v>
      </c>
      <c r="J24" s="26">
        <f t="shared" si="2"/>
        <v>444015585</v>
      </c>
      <c r="K24" s="26">
        <f t="shared" si="2"/>
        <v>409056979</v>
      </c>
      <c r="L24" s="26">
        <f t="shared" si="2"/>
        <v>428547075</v>
      </c>
      <c r="M24" s="26">
        <f t="shared" si="2"/>
        <v>534887274</v>
      </c>
      <c r="N24" s="25">
        <f>SUM(B24:M24)</f>
        <v>5499263072</v>
      </c>
      <c r="O24" s="28"/>
      <c r="P24" s="28"/>
      <c r="Q24" s="28"/>
      <c r="R24" s="28"/>
      <c r="S24" s="28"/>
      <c r="T24" s="28"/>
      <c r="U24" s="28"/>
      <c r="V24" s="28"/>
      <c r="W24" s="28"/>
      <c r="X24" s="28"/>
      <c r="Y24" s="28"/>
      <c r="Z24" s="28"/>
      <c r="AA24" s="28"/>
    </row>
    <row r="25" spans="1:27">
      <c r="A25" s="47"/>
      <c r="B25" s="48"/>
      <c r="C25" s="48"/>
      <c r="D25" s="48"/>
      <c r="E25" s="48"/>
      <c r="F25" s="48"/>
      <c r="G25" s="48"/>
      <c r="H25" s="48"/>
      <c r="I25" s="48"/>
      <c r="J25" s="48"/>
      <c r="K25" s="48"/>
      <c r="L25" s="48"/>
      <c r="M25" s="48"/>
      <c r="N25" s="49"/>
      <c r="O25" s="50"/>
      <c r="P25" s="50"/>
      <c r="Q25" s="50"/>
      <c r="R25" s="50"/>
      <c r="S25" s="50"/>
      <c r="T25" s="50"/>
      <c r="U25" s="50"/>
      <c r="V25" s="50"/>
      <c r="W25" s="50"/>
      <c r="X25" s="50"/>
      <c r="Y25" s="50"/>
      <c r="Z25" s="50"/>
      <c r="AA25" s="50"/>
    </row>
    <row r="26" spans="1:27">
      <c r="A26" s="79" t="s">
        <v>76</v>
      </c>
      <c r="B26" s="1">
        <f>(435355/C37)+((68207-283699*E37/100)/C37)</f>
        <v>441533.1083858544</v>
      </c>
      <c r="C26" s="1">
        <f>(485262/$C$37)+((69578-283496*$E$37/100)/$C$37)</f>
        <v>486418.78333333338</v>
      </c>
      <c r="D26" s="1">
        <f>(451744/$D$37)+((67915-278219*$E$37/100)/$D$37)</f>
        <v>493400.41010522324</v>
      </c>
      <c r="E26" s="1">
        <f>(449297/$D$37)+((64316-283157*$E$37/100)/$D$37)</f>
        <v>487683.01057920186</v>
      </c>
      <c r="F26" s="1">
        <f>(449778/$D$37)+((64103-281854*$E$37/100)/$D$37)</f>
        <v>487933.38223528297</v>
      </c>
      <c r="G26" s="1">
        <f>(448406/$D$37)+((64111-282140*$E$37/100)/$D$37)</f>
        <v>486641.1766044175</v>
      </c>
      <c r="H26" s="1">
        <f>(448293/$D$37)+((63639-280442*$E$37/100)/$D$37)</f>
        <v>486081.82496919145</v>
      </c>
      <c r="I26" s="1">
        <f>(448939/$D$37)+((63807-281030*$E$37/100)/$D$37)</f>
        <v>486855.12313963409</v>
      </c>
      <c r="J26" s="1">
        <f>(448358/$D$37)+((64218-282317*$E$37/100)/$D$37)</f>
        <v>486697.60608588491</v>
      </c>
      <c r="K26" s="1">
        <f>(449468/$D$37)+((63957-281477*$E$37/100)/$D$37)</f>
        <v>487500.04878187506</v>
      </c>
      <c r="L26" s="1">
        <f>((350219+99452)/$D$37)+((63930-280654*$E$37/100)/$D$37)</f>
        <v>487664.56433785195</v>
      </c>
      <c r="M26" s="1">
        <f>((350771+102064)/$D$37)+((65690-281432*$E$37/100)/$D$37)</f>
        <v>492334.50313773821</v>
      </c>
      <c r="N26" s="9"/>
    </row>
    <row r="27" spans="1:27">
      <c r="B27" s="1"/>
      <c r="D27" s="3"/>
      <c r="E27" s="3"/>
      <c r="F27" s="3"/>
      <c r="G27" s="3"/>
      <c r="H27" s="3"/>
      <c r="I27" s="3"/>
      <c r="J27" s="3"/>
      <c r="K27" s="3"/>
      <c r="L27" s="3"/>
      <c r="M27" s="3"/>
      <c r="N27" s="9"/>
    </row>
    <row r="28" spans="1:27">
      <c r="A28" s="53" t="s">
        <v>33</v>
      </c>
      <c r="D28" s="3"/>
      <c r="E28" s="3"/>
      <c r="F28" s="3"/>
      <c r="G28" s="3"/>
      <c r="H28" s="3"/>
      <c r="I28" s="3"/>
      <c r="J28" s="3"/>
      <c r="K28" s="3"/>
      <c r="L28" s="3"/>
      <c r="M28" s="3"/>
      <c r="N28" s="9"/>
    </row>
    <row r="29" spans="1:27">
      <c r="A29" s="7" t="s">
        <v>55</v>
      </c>
      <c r="B29" s="85">
        <f t="shared" ref="B29:N29" si="3">(B18-B8)/B8</f>
        <v>-2.9997083629480635E-2</v>
      </c>
      <c r="C29" s="85">
        <f t="shared" si="3"/>
        <v>-4.8813728938961805E-2</v>
      </c>
      <c r="D29" s="85">
        <f t="shared" si="3"/>
        <v>-2.2716687132752333E-2</v>
      </c>
      <c r="E29" s="85">
        <f t="shared" si="3"/>
        <v>0.19464563481190783</v>
      </c>
      <c r="F29" s="85">
        <f t="shared" si="3"/>
        <v>8.5161937845134206E-2</v>
      </c>
      <c r="G29" s="85">
        <f t="shared" si="3"/>
        <v>1.2194968530739179E-2</v>
      </c>
      <c r="H29" s="85">
        <f t="shared" si="3"/>
        <v>-0.10392701631066671</v>
      </c>
      <c r="I29" s="85">
        <f t="shared" si="3"/>
        <v>5.3048897937758972E-2</v>
      </c>
      <c r="J29" s="85">
        <f t="shared" si="3"/>
        <v>1.6848466676660082E-3</v>
      </c>
      <c r="K29" s="85">
        <f t="shared" si="3"/>
        <v>-0.1733485579000075</v>
      </c>
      <c r="L29" s="85">
        <f t="shared" si="3"/>
        <v>-0.19404119766473144</v>
      </c>
      <c r="M29" s="85">
        <f t="shared" si="3"/>
        <v>4.1181161604577302E-3</v>
      </c>
      <c r="N29" s="85">
        <f t="shared" si="3"/>
        <v>-1</v>
      </c>
    </row>
    <row r="30" spans="1:27">
      <c r="A30" s="7" t="s">
        <v>56</v>
      </c>
      <c r="B30" s="85">
        <f t="shared" ref="B30:C35" si="4">(B19-B9)/B9</f>
        <v>-7.3336067008389169E-2</v>
      </c>
      <c r="C30" s="85">
        <f t="shared" si="4"/>
        <v>-7.6794071466110919E-2</v>
      </c>
      <c r="D30" s="85">
        <f t="shared" ref="D30:N30" si="5">(D19-D9)/D9</f>
        <v>-5.4655845472809224E-2</v>
      </c>
      <c r="E30" s="85">
        <f t="shared" si="5"/>
        <v>0.12772463318269939</v>
      </c>
      <c r="F30" s="85">
        <f t="shared" si="5"/>
        <v>2.4929887712826719E-2</v>
      </c>
      <c r="G30" s="85">
        <f t="shared" si="5"/>
        <v>-2.9469513103843679E-2</v>
      </c>
      <c r="H30" s="85">
        <f t="shared" si="5"/>
        <v>-9.9470318457014151E-2</v>
      </c>
      <c r="I30" s="85">
        <f t="shared" si="5"/>
        <v>8.0834235002146086E-3</v>
      </c>
      <c r="J30" s="85">
        <f t="shared" si="5"/>
        <v>-1.4674033176307822E-2</v>
      </c>
      <c r="K30" s="85">
        <f t="shared" si="5"/>
        <v>-8.8806516115003689E-2</v>
      </c>
      <c r="L30" s="85">
        <f t="shared" si="5"/>
        <v>-7.2423741339229727E-2</v>
      </c>
      <c r="M30" s="85">
        <f t="shared" si="5"/>
        <v>3.815502088808588E-2</v>
      </c>
      <c r="N30" s="85">
        <f t="shared" si="5"/>
        <v>-1</v>
      </c>
    </row>
    <row r="31" spans="1:27">
      <c r="A31" s="7" t="s">
        <v>57</v>
      </c>
      <c r="B31" s="85">
        <f t="shared" si="4"/>
        <v>-0.10043264509772994</v>
      </c>
      <c r="C31" s="85">
        <f t="shared" si="4"/>
        <v>-9.8298503087587058E-2</v>
      </c>
      <c r="D31" s="85">
        <f t="shared" ref="D31:N31" si="6">(D20-D10)/D10</f>
        <v>-7.9224750701398963E-2</v>
      </c>
      <c r="E31" s="85">
        <f t="shared" si="6"/>
        <v>8.7535157525935547E-2</v>
      </c>
      <c r="F31" s="85">
        <f t="shared" si="6"/>
        <v>-3.9293853317085209E-2</v>
      </c>
      <c r="G31" s="85">
        <f t="shared" si="6"/>
        <v>-5.8226856279964115E-2</v>
      </c>
      <c r="H31" s="85">
        <f t="shared" si="6"/>
        <v>-0.10789531425353914</v>
      </c>
      <c r="I31" s="85">
        <f t="shared" si="6"/>
        <v>-1.176926644485277E-2</v>
      </c>
      <c r="J31" s="85">
        <f t="shared" si="6"/>
        <v>-4.2877029127242464E-2</v>
      </c>
      <c r="K31" s="85">
        <f t="shared" si="6"/>
        <v>-8.2071314259494557E-2</v>
      </c>
      <c r="L31" s="85">
        <f t="shared" si="6"/>
        <v>-7.2265779602314298E-2</v>
      </c>
      <c r="M31" s="85">
        <f t="shared" si="6"/>
        <v>2.1309784808878806E-2</v>
      </c>
      <c r="N31" s="85">
        <f t="shared" si="6"/>
        <v>-1</v>
      </c>
    </row>
    <row r="32" spans="1:27">
      <c r="A32" s="7" t="s">
        <v>58</v>
      </c>
      <c r="B32" s="85">
        <f t="shared" si="4"/>
        <v>9.3090998713318759E-2</v>
      </c>
      <c r="C32" s="85">
        <f t="shared" si="4"/>
        <v>0.14795223461802473</v>
      </c>
      <c r="D32" s="85">
        <f t="shared" ref="D32:N32" si="7">(D21-D11)/D11</f>
        <v>9.2025515218769394E-2</v>
      </c>
      <c r="E32" s="85">
        <f t="shared" si="7"/>
        <v>0.11767190545602178</v>
      </c>
      <c r="F32" s="85">
        <f t="shared" si="7"/>
        <v>0.10218784335552851</v>
      </c>
      <c r="G32" s="85">
        <f t="shared" si="7"/>
        <v>9.0526313581953122E-2</v>
      </c>
      <c r="H32" s="85">
        <f t="shared" si="7"/>
        <v>2.2116454464837849E-2</v>
      </c>
      <c r="I32" s="85">
        <f t="shared" si="7"/>
        <v>4.2088845049509188E-2</v>
      </c>
      <c r="J32" s="85">
        <f t="shared" si="7"/>
        <v>8.5883238789450242E-2</v>
      </c>
      <c r="K32" s="85">
        <f t="shared" si="7"/>
        <v>7.5586738398440503E-2</v>
      </c>
      <c r="L32" s="85">
        <f t="shared" si="7"/>
        <v>0.12410111936488812</v>
      </c>
      <c r="M32" s="85">
        <f t="shared" si="7"/>
        <v>-1.7015206198311671E-2</v>
      </c>
      <c r="N32" s="85">
        <f t="shared" si="7"/>
        <v>-1</v>
      </c>
    </row>
    <row r="33" spans="1:56">
      <c r="A33" s="7" t="s">
        <v>59</v>
      </c>
      <c r="B33" s="85">
        <f t="shared" si="4"/>
        <v>-1.1014735587458252E-2</v>
      </c>
      <c r="C33" s="85">
        <f t="shared" si="4"/>
        <v>-7.6145030188165125E-2</v>
      </c>
      <c r="D33" s="85">
        <f t="shared" ref="D33:N33" si="8">(D22-D12)/D12</f>
        <v>-0.23301869666780323</v>
      </c>
      <c r="E33" s="85">
        <f t="shared" si="8"/>
        <v>-0.36823470228681399</v>
      </c>
      <c r="F33" s="85">
        <f t="shared" si="8"/>
        <v>-0.28863128321602777</v>
      </c>
      <c r="G33" s="85">
        <f t="shared" si="8"/>
        <v>-0.37609682781204906</v>
      </c>
      <c r="H33" s="85">
        <f t="shared" si="8"/>
        <v>-0.30434542411692439</v>
      </c>
      <c r="I33" s="85">
        <f t="shared" si="8"/>
        <v>-3.5575645452536962E-2</v>
      </c>
      <c r="J33" s="85">
        <f t="shared" si="8"/>
        <v>0.20101748132214403</v>
      </c>
      <c r="K33" s="85">
        <f t="shared" si="8"/>
        <v>0.12934898762879354</v>
      </c>
      <c r="L33" s="85">
        <f t="shared" si="8"/>
        <v>9.66124686567119E-2</v>
      </c>
      <c r="M33" s="85">
        <f t="shared" si="8"/>
        <v>4.6248293906505124E-3</v>
      </c>
      <c r="N33" s="85">
        <f t="shared" si="8"/>
        <v>-1</v>
      </c>
    </row>
    <row r="34" spans="1:56">
      <c r="A34" s="7" t="s">
        <v>53</v>
      </c>
      <c r="B34" s="85">
        <f t="shared" si="4"/>
        <v>-4.2078393057505527E-2</v>
      </c>
      <c r="C34" s="85">
        <f t="shared" si="4"/>
        <v>-1.5196852740748112E-2</v>
      </c>
      <c r="D34" s="85">
        <f t="shared" ref="D34:N34" si="9">(D23-D13)/D13</f>
        <v>-1.6635280387203216E-2</v>
      </c>
      <c r="E34" s="85">
        <f t="shared" si="9"/>
        <v>-1.3739554224270825E-2</v>
      </c>
      <c r="F34" s="85">
        <f t="shared" si="9"/>
        <v>-5.6712964801700506E-3</v>
      </c>
      <c r="G34" s="85">
        <f t="shared" si="9"/>
        <v>-3.3472025813569531E-3</v>
      </c>
      <c r="H34" s="85">
        <f t="shared" si="9"/>
        <v>-3.3167712803729703E-2</v>
      </c>
      <c r="I34" s="85">
        <f t="shared" si="9"/>
        <v>-3.6355094991495557E-2</v>
      </c>
      <c r="J34" s="85">
        <f t="shared" si="9"/>
        <v>-2.7549070094446428E-2</v>
      </c>
      <c r="K34" s="85">
        <f t="shared" si="9"/>
        <v>-3.6659983298983533E-2</v>
      </c>
      <c r="L34" s="85">
        <f t="shared" si="9"/>
        <v>-2.7788470973404422E-2</v>
      </c>
      <c r="M34" s="85">
        <f t="shared" si="9"/>
        <v>-3.239572862627469E-2</v>
      </c>
      <c r="N34" s="85">
        <f t="shared" si="9"/>
        <v>-1</v>
      </c>
    </row>
    <row r="35" spans="1:56">
      <c r="A35" s="28" t="s">
        <v>48</v>
      </c>
      <c r="B35" s="86">
        <f t="shared" si="4"/>
        <v>-3.4644247340974078E-2</v>
      </c>
      <c r="C35" s="86">
        <f t="shared" si="4"/>
        <v>-3.670914159661301E-2</v>
      </c>
      <c r="D35" s="86">
        <f t="shared" ref="D35:N35" si="10">(D24-D14)/D14</f>
        <v>-2.5744167320833518E-2</v>
      </c>
      <c r="E35" s="86">
        <f t="shared" si="10"/>
        <v>0.13310997433690003</v>
      </c>
      <c r="F35" s="86">
        <f t="shared" si="10"/>
        <v>3.2894617151967426E-2</v>
      </c>
      <c r="G35" s="86">
        <f t="shared" si="10"/>
        <v>-1.5543476330667626E-2</v>
      </c>
      <c r="H35" s="86">
        <f t="shared" si="10"/>
        <v>-9.2241068043095523E-2</v>
      </c>
      <c r="I35" s="86">
        <f t="shared" si="10"/>
        <v>2.2484332921747473E-2</v>
      </c>
      <c r="J35" s="86">
        <f t="shared" si="10"/>
        <v>1.0443850409965712E-2</v>
      </c>
      <c r="K35" s="86">
        <f t="shared" si="10"/>
        <v>-8.7145945754277032E-2</v>
      </c>
      <c r="L35" s="86">
        <f t="shared" si="10"/>
        <v>-9.2951924811115638E-2</v>
      </c>
      <c r="M35" s="86">
        <f t="shared" si="10"/>
        <v>7.3952139104917014E-3</v>
      </c>
      <c r="N35" s="86">
        <f t="shared" si="10"/>
        <v>-1.7033359438425457E-2</v>
      </c>
      <c r="O35" s="28"/>
      <c r="P35" s="28"/>
      <c r="Q35" s="28"/>
      <c r="R35" s="28"/>
      <c r="S35" s="28"/>
      <c r="T35" s="28"/>
      <c r="U35" s="28"/>
      <c r="V35" s="28"/>
      <c r="W35" s="28"/>
      <c r="X35" s="28"/>
      <c r="Y35" s="28"/>
    </row>
    <row r="36" spans="1:56">
      <c r="A36" s="5"/>
      <c r="D36" s="3"/>
      <c r="E36" s="3"/>
      <c r="F36" s="3"/>
      <c r="G36" s="3"/>
      <c r="H36" s="3"/>
      <c r="I36" s="3"/>
      <c r="J36" s="3"/>
      <c r="K36" s="3"/>
      <c r="L36" s="3"/>
      <c r="M36" s="3"/>
      <c r="N36" s="9"/>
    </row>
    <row r="37" spans="1:56">
      <c r="A37" s="69" t="s">
        <v>62</v>
      </c>
      <c r="B37" s="80">
        <v>0.95684999999999998</v>
      </c>
      <c r="C37" s="81">
        <f>1+0.0465+0.0084+0.0875</f>
        <v>1.1423999999999999</v>
      </c>
      <c r="D37" s="81">
        <f>1+0.0465+0.0084</f>
        <v>1.0548999999999999</v>
      </c>
      <c r="E37" s="82">
        <v>-0.29799999999999999</v>
      </c>
      <c r="F37" s="80">
        <v>0.95563399999999998</v>
      </c>
      <c r="G37" s="75"/>
      <c r="H37" s="75"/>
      <c r="I37" s="3"/>
      <c r="J37" s="3"/>
      <c r="K37" s="3"/>
      <c r="L37" s="3"/>
      <c r="M37" s="3"/>
      <c r="N37" s="3"/>
      <c r="O37" s="9"/>
      <c r="BD37" s="7"/>
    </row>
    <row r="38" spans="1:56">
      <c r="A38" s="68" t="s">
        <v>63</v>
      </c>
      <c r="B38" s="70" t="s">
        <v>55</v>
      </c>
      <c r="C38" s="70" t="s">
        <v>56</v>
      </c>
      <c r="D38" s="70" t="s">
        <v>57</v>
      </c>
      <c r="E38" s="70" t="s">
        <v>58</v>
      </c>
      <c r="F38" s="70" t="s">
        <v>59</v>
      </c>
      <c r="G38" s="70" t="s">
        <v>53</v>
      </c>
      <c r="H38" s="3"/>
      <c r="I38" s="3"/>
      <c r="J38" s="3"/>
      <c r="K38" s="3"/>
      <c r="L38" s="3"/>
      <c r="M38" s="3"/>
      <c r="N38" s="9"/>
    </row>
    <row r="39" spans="1:56">
      <c r="A39" s="68" t="s">
        <v>66</v>
      </c>
      <c r="B39" s="29">
        <f>0.00375*0.8568</f>
        <v>3.2129999999999997E-3</v>
      </c>
      <c r="C39" s="29">
        <f>0.0053*0.8568</f>
        <v>4.5410399999999997E-3</v>
      </c>
      <c r="D39" s="29">
        <f>0.00391*0.8568</f>
        <v>3.3500880000000002E-3</v>
      </c>
      <c r="E39" s="29">
        <f>0.00256*0.8568</f>
        <v>2.193408E-3</v>
      </c>
      <c r="F39" s="29">
        <f>0.00347*0.8568</f>
        <v>2.9730960000000002E-3</v>
      </c>
      <c r="G39" s="97">
        <f>0.0558*0.8568</f>
        <v>4.7809440000000002E-2</v>
      </c>
      <c r="H39" s="3"/>
      <c r="I39" s="3"/>
      <c r="J39" s="3"/>
      <c r="K39" s="3"/>
      <c r="L39" s="3"/>
      <c r="M39" s="3"/>
      <c r="N39" s="9"/>
    </row>
    <row r="40" spans="1:56">
      <c r="A40" s="68" t="s">
        <v>67</v>
      </c>
      <c r="B40" s="29">
        <v>3.1700000000000001E-3</v>
      </c>
      <c r="C40" s="29">
        <v>4.4900000000000001E-3</v>
      </c>
      <c r="D40" s="29">
        <v>3.31E-3</v>
      </c>
      <c r="E40" s="29">
        <v>2.1700000000000001E-3</v>
      </c>
      <c r="F40" s="29">
        <v>2.9499999999999999E-3</v>
      </c>
      <c r="G40" s="97">
        <v>4.65E-2</v>
      </c>
      <c r="H40" s="3"/>
      <c r="I40" s="3"/>
      <c r="J40" s="3"/>
      <c r="K40" s="3"/>
      <c r="L40" s="3"/>
      <c r="M40" s="3"/>
      <c r="N40" s="9"/>
    </row>
    <row r="41" spans="1:56">
      <c r="A41" s="68"/>
      <c r="B41" s="29"/>
      <c r="C41" s="29"/>
      <c r="D41" s="29"/>
      <c r="E41" s="29"/>
      <c r="F41" s="29"/>
      <c r="G41" s="43"/>
      <c r="H41" s="3"/>
      <c r="I41" s="3"/>
      <c r="J41" s="3"/>
      <c r="K41" s="3"/>
      <c r="L41" s="3"/>
      <c r="M41" s="3"/>
      <c r="N41" s="9"/>
    </row>
    <row r="42" spans="1:56">
      <c r="A42" s="89" t="s">
        <v>60</v>
      </c>
      <c r="D42" s="3"/>
      <c r="E42" s="3"/>
      <c r="F42" s="3"/>
      <c r="G42" s="3"/>
      <c r="H42" s="3"/>
      <c r="I42" s="3"/>
      <c r="J42" s="3"/>
      <c r="K42" s="3"/>
      <c r="L42" s="3"/>
      <c r="M42" s="3"/>
      <c r="N42" s="9"/>
    </row>
    <row r="43" spans="1:56">
      <c r="A43" s="5" t="s">
        <v>55</v>
      </c>
      <c r="B43" s="46">
        <f t="shared" ref="B43:M43" si="11">($B$39*B8)*$B$37</f>
        <v>884166.52654299664</v>
      </c>
      <c r="C43" s="46">
        <f t="shared" si="11"/>
        <v>761078.34797538654</v>
      </c>
      <c r="D43" s="46">
        <f t="shared" si="11"/>
        <v>680464.95890725229</v>
      </c>
      <c r="E43" s="46">
        <f t="shared" si="11"/>
        <v>529724.70798134117</v>
      </c>
      <c r="F43" s="46">
        <f t="shared" si="11"/>
        <v>502667.67760393361</v>
      </c>
      <c r="G43" s="46">
        <f t="shared" si="11"/>
        <v>483788.68405524868</v>
      </c>
      <c r="H43" s="46">
        <f t="shared" si="11"/>
        <v>528844.93549651559</v>
      </c>
      <c r="I43" s="46">
        <f t="shared" si="11"/>
        <v>548364.42611836165</v>
      </c>
      <c r="J43" s="46">
        <f t="shared" si="11"/>
        <v>509688.3965188415</v>
      </c>
      <c r="K43" s="46">
        <f t="shared" si="11"/>
        <v>566266.59091021493</v>
      </c>
      <c r="L43" s="46">
        <f t="shared" si="11"/>
        <v>669283.43249218515</v>
      </c>
      <c r="M43" s="46">
        <f t="shared" si="11"/>
        <v>797256.65587264125</v>
      </c>
      <c r="N43" s="51">
        <f>SUM(B43:M43)</f>
        <v>7461595.3404749194</v>
      </c>
    </row>
    <row r="44" spans="1:56">
      <c r="A44" s="5" t="s">
        <v>56</v>
      </c>
      <c r="B44" s="46">
        <f t="shared" ref="B44:M44" si="12">(B9*$C$39)*$B$37</f>
        <v>191739.14109842444</v>
      </c>
      <c r="C44" s="46">
        <f t="shared" si="12"/>
        <v>172697.46675821513</v>
      </c>
      <c r="D44" s="46">
        <f t="shared" si="12"/>
        <v>161891.08646852995</v>
      </c>
      <c r="E44" s="46">
        <f t="shared" si="12"/>
        <v>131283.81793784784</v>
      </c>
      <c r="F44" s="46">
        <f t="shared" si="12"/>
        <v>132111.55566440063</v>
      </c>
      <c r="G44" s="46">
        <f t="shared" si="12"/>
        <v>133770.17383255341</v>
      </c>
      <c r="H44" s="46">
        <f t="shared" si="12"/>
        <v>148553.08028159841</v>
      </c>
      <c r="I44" s="46">
        <f t="shared" si="12"/>
        <v>154656.39506977296</v>
      </c>
      <c r="J44" s="46">
        <f t="shared" si="12"/>
        <v>144555.32863987883</v>
      </c>
      <c r="K44" s="46">
        <f t="shared" si="12"/>
        <v>147359.95695585001</v>
      </c>
      <c r="L44" s="46">
        <f t="shared" si="12"/>
        <v>148802.49362923065</v>
      </c>
      <c r="M44" s="46">
        <f t="shared" si="12"/>
        <v>171623.04663642542</v>
      </c>
      <c r="N44" s="51">
        <f t="shared" ref="N44:N49" si="13">SUM(B44:M44)</f>
        <v>1839043.5429727281</v>
      </c>
    </row>
    <row r="45" spans="1:56">
      <c r="A45" s="5" t="s">
        <v>57</v>
      </c>
      <c r="B45" s="46">
        <f t="shared" ref="B45:M45" si="14">(B10*$D$39)*$B$37</f>
        <v>466101.55151644192</v>
      </c>
      <c r="C45" s="46">
        <f t="shared" si="14"/>
        <v>441541.37601591751</v>
      </c>
      <c r="D45" s="46">
        <f t="shared" si="14"/>
        <v>430427.28608547914</v>
      </c>
      <c r="E45" s="46">
        <f t="shared" si="14"/>
        <v>374736.79283002025</v>
      </c>
      <c r="F45" s="46">
        <f t="shared" si="14"/>
        <v>405109.04454072117</v>
      </c>
      <c r="G45" s="46">
        <f t="shared" si="14"/>
        <v>417345.26389007556</v>
      </c>
      <c r="H45" s="46">
        <f t="shared" si="14"/>
        <v>455524.79059475713</v>
      </c>
      <c r="I45" s="46">
        <f t="shared" si="14"/>
        <v>467819.19157238695</v>
      </c>
      <c r="J45" s="46">
        <f t="shared" si="14"/>
        <v>441401.3534705725</v>
      </c>
      <c r="K45" s="46">
        <f t="shared" si="14"/>
        <v>442512.39269330277</v>
      </c>
      <c r="L45" s="46">
        <f t="shared" si="14"/>
        <v>425827.95260639867</v>
      </c>
      <c r="M45" s="46">
        <f t="shared" si="14"/>
        <v>439085.92581832048</v>
      </c>
      <c r="N45" s="51">
        <f t="shared" si="13"/>
        <v>5207432.9216343937</v>
      </c>
    </row>
    <row r="46" spans="1:56">
      <c r="A46" s="5" t="s">
        <v>58</v>
      </c>
      <c r="B46" s="46">
        <f t="shared" ref="B46:M46" si="15">(B11*$E$39)*$B$37</f>
        <v>161931.66187928832</v>
      </c>
      <c r="C46" s="46">
        <f t="shared" si="15"/>
        <v>149784.82172789861</v>
      </c>
      <c r="D46" s="46">
        <f t="shared" si="15"/>
        <v>152022.21985685133</v>
      </c>
      <c r="E46" s="46">
        <f t="shared" si="15"/>
        <v>156721.01724036649</v>
      </c>
      <c r="F46" s="46">
        <f t="shared" si="15"/>
        <v>163317.3132218197</v>
      </c>
      <c r="G46" s="46">
        <f t="shared" si="15"/>
        <v>169742.85799804199</v>
      </c>
      <c r="H46" s="46">
        <f t="shared" si="15"/>
        <v>174114.91953173783</v>
      </c>
      <c r="I46" s="46">
        <f t="shared" si="15"/>
        <v>177137.44244540524</v>
      </c>
      <c r="J46" s="46">
        <f t="shared" si="15"/>
        <v>171700.33589355525</v>
      </c>
      <c r="K46" s="46">
        <f t="shared" si="15"/>
        <v>167701.00370754357</v>
      </c>
      <c r="L46" s="46">
        <f t="shared" si="15"/>
        <v>169288.65771347168</v>
      </c>
      <c r="M46" s="46">
        <f t="shared" si="15"/>
        <v>186522.73704464902</v>
      </c>
      <c r="N46" s="51">
        <f t="shared" si="13"/>
        <v>1999984.9882606291</v>
      </c>
    </row>
    <row r="47" spans="1:56">
      <c r="A47" s="5" t="s">
        <v>59</v>
      </c>
      <c r="B47" s="46">
        <f t="shared" ref="B47:M47" si="16">(B12*$F$39)*$B$37</f>
        <v>11822.08909501824</v>
      </c>
      <c r="C47" s="46">
        <f t="shared" si="16"/>
        <v>11091.179957829994</v>
      </c>
      <c r="D47" s="46">
        <f t="shared" si="16"/>
        <v>13211.70176621987</v>
      </c>
      <c r="E47" s="46">
        <f t="shared" si="16"/>
        <v>20607.597443432223</v>
      </c>
      <c r="F47" s="46">
        <f t="shared" si="16"/>
        <v>39703.925534000002</v>
      </c>
      <c r="G47" s="46">
        <f t="shared" si="16"/>
        <v>55109.744176869528</v>
      </c>
      <c r="H47" s="46">
        <f t="shared" si="16"/>
        <v>68935.505410978265</v>
      </c>
      <c r="I47" s="46">
        <f t="shared" si="16"/>
        <v>71584.858382614548</v>
      </c>
      <c r="J47" s="46">
        <f t="shared" si="16"/>
        <v>52907.744644224993</v>
      </c>
      <c r="K47" s="46">
        <f t="shared" si="16"/>
        <v>27793.132207991679</v>
      </c>
      <c r="L47" s="46">
        <f t="shared" si="16"/>
        <v>13516.137206078058</v>
      </c>
      <c r="M47" s="46">
        <f t="shared" si="16"/>
        <v>11412.153863506694</v>
      </c>
      <c r="N47" s="51">
        <f t="shared" si="13"/>
        <v>397695.76968876406</v>
      </c>
    </row>
    <row r="48" spans="1:56">
      <c r="A48" s="5" t="s">
        <v>53</v>
      </c>
      <c r="B48" s="46">
        <f t="shared" ref="B48:M48" si="17">B49-SUM(B43:B47)</f>
        <v>22732.137795135844</v>
      </c>
      <c r="C48" s="46">
        <f t="shared" si="17"/>
        <v>22029.319394919556</v>
      </c>
      <c r="D48" s="46">
        <f t="shared" si="17"/>
        <v>22088.138395593502</v>
      </c>
      <c r="E48" s="46">
        <f t="shared" si="17"/>
        <v>22222.906052086269</v>
      </c>
      <c r="F48" s="46">
        <f t="shared" si="17"/>
        <v>22205.031008608639</v>
      </c>
      <c r="G48" s="46">
        <f t="shared" si="17"/>
        <v>22194.937538566533</v>
      </c>
      <c r="H48" s="46">
        <f t="shared" si="17"/>
        <v>22125.310103675583</v>
      </c>
      <c r="I48" s="46">
        <f t="shared" si="17"/>
        <v>22099.195087342989</v>
      </c>
      <c r="J48" s="46">
        <f t="shared" si="17"/>
        <v>22158.693017889978</v>
      </c>
      <c r="K48" s="46">
        <f t="shared" si="17"/>
        <v>22139.892735566245</v>
      </c>
      <c r="L48" s="46">
        <f t="shared" si="17"/>
        <v>22094.907581159147</v>
      </c>
      <c r="M48" s="46">
        <f t="shared" si="17"/>
        <v>21987.556460648077</v>
      </c>
      <c r="N48" s="51">
        <f t="shared" si="13"/>
        <v>266078.02517119236</v>
      </c>
    </row>
    <row r="49" spans="1:27">
      <c r="A49" s="27" t="s">
        <v>54</v>
      </c>
      <c r="B49" s="98">
        <v>1738493.1079273054</v>
      </c>
      <c r="C49" s="98">
        <v>1558222.5118301671</v>
      </c>
      <c r="D49" s="98">
        <v>1460105.3914799262</v>
      </c>
      <c r="E49" s="98">
        <v>1235296.8394850942</v>
      </c>
      <c r="F49" s="98">
        <v>1265114.5475734838</v>
      </c>
      <c r="G49" s="98">
        <v>1281951.6614913556</v>
      </c>
      <c r="H49" s="98">
        <v>1398098.541419263</v>
      </c>
      <c r="I49" s="98">
        <v>1441661.5086758845</v>
      </c>
      <c r="J49" s="98">
        <v>1342411.8521849632</v>
      </c>
      <c r="K49" s="98">
        <v>1373772.9692104692</v>
      </c>
      <c r="L49" s="98">
        <v>1448813.5812285233</v>
      </c>
      <c r="M49" s="98">
        <v>1627888.0756961908</v>
      </c>
      <c r="N49" s="52">
        <f t="shared" si="13"/>
        <v>17171830.588202622</v>
      </c>
      <c r="O49" s="28"/>
      <c r="P49" s="28"/>
      <c r="Q49" s="28"/>
      <c r="R49" s="28"/>
      <c r="S49" s="28"/>
      <c r="T49" s="28"/>
      <c r="U49" s="28"/>
      <c r="V49" s="28"/>
      <c r="W49" s="28"/>
    </row>
    <row r="50" spans="1:27">
      <c r="A50" s="5"/>
      <c r="D50" s="3"/>
      <c r="E50" s="3"/>
      <c r="F50" s="3"/>
      <c r="G50" s="3"/>
      <c r="H50" s="3"/>
      <c r="I50" s="3"/>
      <c r="J50" s="3"/>
      <c r="K50" s="3"/>
      <c r="L50" s="3"/>
      <c r="M50" s="3"/>
      <c r="N50" s="9"/>
    </row>
    <row r="51" spans="1:27">
      <c r="D51" s="3"/>
      <c r="E51" s="3"/>
      <c r="F51" s="3"/>
      <c r="G51" s="3"/>
      <c r="H51" s="3"/>
      <c r="I51" s="3"/>
      <c r="J51" s="3"/>
      <c r="K51" s="3"/>
      <c r="L51" s="3"/>
      <c r="M51" s="3"/>
      <c r="N51" s="9"/>
    </row>
    <row r="52" spans="1:27">
      <c r="A52" s="87" t="s">
        <v>61</v>
      </c>
      <c r="D52" s="3"/>
      <c r="E52" s="3"/>
      <c r="F52" s="3"/>
      <c r="G52" s="3"/>
      <c r="H52" s="3"/>
      <c r="I52" s="3"/>
      <c r="J52" s="3"/>
      <c r="K52" s="3"/>
      <c r="L52" s="3"/>
      <c r="M52" s="3"/>
      <c r="N52" s="9"/>
    </row>
    <row r="53" spans="1:27">
      <c r="A53" s="33" t="s">
        <v>55</v>
      </c>
      <c r="B53" s="23">
        <f t="shared" ref="B53:L53" si="18">($B$40*B18)*$B$37</f>
        <v>846166.14581181447</v>
      </c>
      <c r="C53" s="23">
        <f t="shared" si="18"/>
        <v>714238.86220769701</v>
      </c>
      <c r="D53" s="23">
        <f t="shared" si="18"/>
        <v>656107.17285375902</v>
      </c>
      <c r="E53" s="23">
        <f>($B$40*E18)*$B$37</f>
        <v>624364.01893336198</v>
      </c>
      <c r="F53" s="23">
        <f t="shared" si="18"/>
        <v>538175.6565991065</v>
      </c>
      <c r="G53" s="23">
        <f t="shared" si="18"/>
        <v>483134.90685031802</v>
      </c>
      <c r="H53" s="23">
        <f t="shared" si="18"/>
        <v>467541.61215442204</v>
      </c>
      <c r="I53" s="23">
        <f t="shared" si="18"/>
        <v>569726.40462412499</v>
      </c>
      <c r="J53" s="23">
        <f t="shared" si="18"/>
        <v>503714.42399918707</v>
      </c>
      <c r="K53" s="23">
        <f t="shared" si="18"/>
        <v>461840.38218022202</v>
      </c>
      <c r="L53" s="23">
        <f t="shared" si="18"/>
        <v>532195.81374022353</v>
      </c>
      <c r="M53" s="23">
        <f>($B$40*M18)*$F$37</f>
        <v>788822.38172270334</v>
      </c>
      <c r="N53" s="51">
        <f>SUM(B53:M53)</f>
        <v>7186027.7816769397</v>
      </c>
    </row>
    <row r="54" spans="1:27">
      <c r="A54" s="33" t="s">
        <v>56</v>
      </c>
      <c r="B54" s="23">
        <f t="shared" ref="B54:L54" si="19">(B19*$C$40)*$B$37</f>
        <v>175680.69918524398</v>
      </c>
      <c r="C54" s="23">
        <f t="shared" si="19"/>
        <v>157643.31737692648</v>
      </c>
      <c r="D54" s="23">
        <f t="shared" si="19"/>
        <v>151322.63474033101</v>
      </c>
      <c r="E54" s="23">
        <f t="shared" si="19"/>
        <v>146387.93304314851</v>
      </c>
      <c r="F54" s="23">
        <f t="shared" si="19"/>
        <v>133883.16724537499</v>
      </c>
      <c r="G54" s="23">
        <f t="shared" si="19"/>
        <v>128368.80173244301</v>
      </c>
      <c r="H54" s="23">
        <f t="shared" si="19"/>
        <v>132272.84868030148</v>
      </c>
      <c r="I54" s="23">
        <f t="shared" si="19"/>
        <v>154154.20288183799</v>
      </c>
      <c r="J54" s="23">
        <f t="shared" si="19"/>
        <v>140833.1999041425</v>
      </c>
      <c r="K54" s="23">
        <f t="shared" si="19"/>
        <v>132764.23731374549</v>
      </c>
      <c r="L54" s="23">
        <f t="shared" si="19"/>
        <v>136474.291095603</v>
      </c>
      <c r="M54" s="23">
        <f>(M19*$C$40)*$F$37</f>
        <v>175944.85076952886</v>
      </c>
      <c r="N54" s="51">
        <f t="shared" ref="N54:N59" si="20">SUM(B54:M54)</f>
        <v>1765730.1839686274</v>
      </c>
    </row>
    <row r="55" spans="1:27">
      <c r="A55" s="33" t="s">
        <v>57</v>
      </c>
      <c r="B55" s="23">
        <f t="shared" ref="B55:L55" si="21">(B20*$D$40)*$B$37</f>
        <v>414272.41277920199</v>
      </c>
      <c r="C55" s="23">
        <f t="shared" si="21"/>
        <v>393374.29351547704</v>
      </c>
      <c r="D55" s="23">
        <f t="shared" si="21"/>
        <v>391584.245059359</v>
      </c>
      <c r="E55" s="23">
        <f t="shared" si="21"/>
        <v>402662.71708087646</v>
      </c>
      <c r="F55" s="23">
        <f t="shared" si="21"/>
        <v>384533.59426473145</v>
      </c>
      <c r="G55" s="23">
        <f t="shared" si="21"/>
        <v>388341.29059902451</v>
      </c>
      <c r="H55" s="23">
        <f t="shared" si="21"/>
        <v>401513.00459581503</v>
      </c>
      <c r="I55" s="23">
        <f t="shared" si="21"/>
        <v>456781.14499155898</v>
      </c>
      <c r="J55" s="23">
        <f t="shared" si="21"/>
        <v>417419.9276332875</v>
      </c>
      <c r="K55" s="23">
        <f t="shared" si="21"/>
        <v>401334.18914717849</v>
      </c>
      <c r="L55" s="23">
        <f t="shared" si="21"/>
        <v>390327.83366625599</v>
      </c>
      <c r="M55" s="23">
        <f>(M20*$D$40)*$F$37</f>
        <v>442513.49513112055</v>
      </c>
      <c r="N55" s="51">
        <f t="shared" si="20"/>
        <v>4884658.1484638862</v>
      </c>
    </row>
    <row r="56" spans="1:27">
      <c r="A56" s="33" t="s">
        <v>58</v>
      </c>
      <c r="B56" s="23">
        <f t="shared" ref="B56:L56" si="22">(B21*$E$40)*$B$37</f>
        <v>175117.03757579849</v>
      </c>
      <c r="C56" s="23">
        <f t="shared" si="22"/>
        <v>170110.81894807349</v>
      </c>
      <c r="D56" s="23">
        <f t="shared" si="22"/>
        <v>164240.46517183198</v>
      </c>
      <c r="E56" s="23">
        <f t="shared" si="22"/>
        <v>173293.3458718035</v>
      </c>
      <c r="F56" s="23">
        <f t="shared" si="22"/>
        <v>178085.3335158765</v>
      </c>
      <c r="G56" s="23">
        <f t="shared" si="22"/>
        <v>183133.57360835251</v>
      </c>
      <c r="H56" s="23">
        <f t="shared" si="22"/>
        <v>176066.478083433</v>
      </c>
      <c r="I56" s="23">
        <f t="shared" si="22"/>
        <v>182622.981043251</v>
      </c>
      <c r="J56" s="23">
        <f t="shared" si="22"/>
        <v>184456.76387871601</v>
      </c>
      <c r="K56" s="23">
        <f t="shared" si="22"/>
        <v>178451.99664656699</v>
      </c>
      <c r="L56" s="23">
        <f t="shared" si="22"/>
        <v>188266.71832159802</v>
      </c>
      <c r="M56" s="23">
        <f>(M21*$E$40)*$F$37</f>
        <v>181161.79773154386</v>
      </c>
      <c r="N56" s="51">
        <f t="shared" si="20"/>
        <v>2135007.3103968455</v>
      </c>
    </row>
    <row r="57" spans="1:27">
      <c r="A57" s="33" t="s">
        <v>59</v>
      </c>
      <c r="B57" s="23">
        <f t="shared" ref="B57:L57" si="23">(B22*$F$40)*$B$37</f>
        <v>11601.04555425</v>
      </c>
      <c r="C57" s="23">
        <f t="shared" si="23"/>
        <v>10167.04239927</v>
      </c>
      <c r="D57" s="23">
        <f t="shared" si="23"/>
        <v>10054.410724604999</v>
      </c>
      <c r="E57" s="23">
        <f t="shared" si="23"/>
        <v>12918.027724402498</v>
      </c>
      <c r="F57" s="23">
        <f t="shared" si="23"/>
        <v>28024.720744739996</v>
      </c>
      <c r="G57" s="23">
        <f t="shared" si="23"/>
        <v>34116.04449393</v>
      </c>
      <c r="H57" s="23">
        <f t="shared" si="23"/>
        <v>47582.767038427497</v>
      </c>
      <c r="I57" s="23">
        <f t="shared" si="23"/>
        <v>68501.869257172497</v>
      </c>
      <c r="J57" s="23">
        <f t="shared" si="23"/>
        <v>63049.502045804991</v>
      </c>
      <c r="K57" s="23">
        <f t="shared" si="23"/>
        <v>31144.312151467497</v>
      </c>
      <c r="L57" s="23">
        <f t="shared" si="23"/>
        <v>14706.822630472499</v>
      </c>
      <c r="M57" s="23">
        <f>(M22*$F$40)*$F$37</f>
        <v>11361.4128372781</v>
      </c>
      <c r="N57" s="51">
        <f t="shared" si="20"/>
        <v>343227.97760182054</v>
      </c>
    </row>
    <row r="58" spans="1:27">
      <c r="A58" s="33" t="s">
        <v>53</v>
      </c>
      <c r="B58" s="23">
        <f t="shared" ref="B58:L58" si="24">(B26*$G$40)*$B$37</f>
        <v>19645.364396293724</v>
      </c>
      <c r="C58" s="23">
        <f t="shared" si="24"/>
        <v>21642.486296711253</v>
      </c>
      <c r="D58" s="23">
        <f t="shared" si="24"/>
        <v>21953.123482027004</v>
      </c>
      <c r="E58" s="23">
        <f t="shared" si="24"/>
        <v>21698.736223280983</v>
      </c>
      <c r="F58" s="23">
        <f t="shared" si="24"/>
        <v>21709.876140820117</v>
      </c>
      <c r="G58" s="23">
        <f t="shared" si="24"/>
        <v>21652.381357278064</v>
      </c>
      <c r="H58" s="23">
        <f t="shared" si="24"/>
        <v>21627.493831312342</v>
      </c>
      <c r="I58" s="23">
        <f t="shared" si="24"/>
        <v>21661.900592791386</v>
      </c>
      <c r="J58" s="23">
        <f t="shared" si="24"/>
        <v>21654.892103822473</v>
      </c>
      <c r="K58" s="23">
        <f t="shared" si="24"/>
        <v>21690.595607977579</v>
      </c>
      <c r="L58" s="23">
        <f t="shared" si="24"/>
        <v>21697.915484980324</v>
      </c>
      <c r="M58" s="23">
        <f>(M26*$G$40)*$F$37</f>
        <v>21877.858961576112</v>
      </c>
      <c r="N58" s="51">
        <f t="shared" si="20"/>
        <v>258512.62447887132</v>
      </c>
    </row>
    <row r="59" spans="1:27">
      <c r="A59" s="34" t="s">
        <v>54</v>
      </c>
      <c r="B59" s="42">
        <f>SUM(B53:B58)</f>
        <v>1642482.7053026026</v>
      </c>
      <c r="C59" s="42">
        <f t="shared" ref="C59:M59" si="25">SUM(C53:C58)</f>
        <v>1467176.8207441554</v>
      </c>
      <c r="D59" s="42">
        <f t="shared" si="25"/>
        <v>1395262.0520319131</v>
      </c>
      <c r="E59" s="42">
        <f t="shared" si="25"/>
        <v>1381324.7788768739</v>
      </c>
      <c r="F59" s="42">
        <f t="shared" si="25"/>
        <v>1284412.3485106495</v>
      </c>
      <c r="G59" s="42">
        <f t="shared" si="25"/>
        <v>1238746.9986413459</v>
      </c>
      <c r="H59" s="42">
        <f t="shared" si="25"/>
        <v>1246604.2043837116</v>
      </c>
      <c r="I59" s="42">
        <f t="shared" si="25"/>
        <v>1453448.5033907369</v>
      </c>
      <c r="J59" s="42">
        <f t="shared" si="25"/>
        <v>1331128.7095649606</v>
      </c>
      <c r="K59" s="42">
        <f t="shared" si="25"/>
        <v>1227225.713047158</v>
      </c>
      <c r="L59" s="42">
        <f t="shared" si="25"/>
        <v>1283669.3949391334</v>
      </c>
      <c r="M59" s="42">
        <f t="shared" si="25"/>
        <v>1621681.7971537509</v>
      </c>
      <c r="N59" s="52">
        <f t="shared" si="20"/>
        <v>16573164.026586991</v>
      </c>
      <c r="O59" s="28"/>
      <c r="P59" s="28"/>
      <c r="Q59" s="28"/>
      <c r="R59" s="28"/>
      <c r="S59" s="28"/>
      <c r="T59" s="28"/>
      <c r="U59" s="28"/>
      <c r="V59" s="28"/>
      <c r="W59" s="28"/>
      <c r="X59" s="28"/>
      <c r="Y59" s="28"/>
      <c r="Z59" s="28"/>
      <c r="AA59" s="28"/>
    </row>
    <row r="60" spans="1:27">
      <c r="D60" s="3"/>
      <c r="E60" s="3"/>
      <c r="F60" s="3"/>
      <c r="G60" s="3"/>
      <c r="H60" s="3"/>
      <c r="I60" s="3"/>
      <c r="J60" s="3"/>
      <c r="K60" s="3"/>
      <c r="L60" s="3"/>
      <c r="M60" s="3"/>
      <c r="N60" s="9"/>
    </row>
    <row r="61" spans="1:27">
      <c r="A61" s="88" t="s">
        <v>33</v>
      </c>
      <c r="D61" s="3"/>
      <c r="E61" s="3"/>
      <c r="F61" s="3"/>
      <c r="G61" s="3"/>
      <c r="H61" s="3"/>
      <c r="I61" s="3"/>
      <c r="J61" s="3"/>
      <c r="K61" s="3"/>
      <c r="L61" s="3"/>
      <c r="M61" s="3"/>
      <c r="N61" s="9"/>
    </row>
    <row r="62" spans="1:27">
      <c r="A62" s="68" t="s">
        <v>55</v>
      </c>
      <c r="B62" s="64">
        <f>B53-B43</f>
        <v>-38000.380731182173</v>
      </c>
      <c r="C62" s="64">
        <f t="shared" ref="C62:D62" si="26">C53-C43</f>
        <v>-46839.485767689534</v>
      </c>
      <c r="D62" s="64">
        <f t="shared" si="26"/>
        <v>-24357.78605349327</v>
      </c>
      <c r="E62" s="64">
        <f t="shared" ref="E62:F62" si="27">E53-E43</f>
        <v>94639.310952020809</v>
      </c>
      <c r="F62" s="64">
        <f t="shared" si="27"/>
        <v>35507.978995172889</v>
      </c>
      <c r="G62" s="64">
        <f t="shared" ref="G62:H62" si="28">G53-G43</f>
        <v>-653.7772049306659</v>
      </c>
      <c r="H62" s="64">
        <f t="shared" si="28"/>
        <v>-61303.323342093558</v>
      </c>
      <c r="I62" s="64">
        <f t="shared" ref="I62:J62" si="29">I53-I43</f>
        <v>21361.978505763342</v>
      </c>
      <c r="J62" s="64">
        <f t="shared" si="29"/>
        <v>-5973.9725196544314</v>
      </c>
      <c r="K62" s="64">
        <f t="shared" ref="K62:L62" si="30">K53-K43</f>
        <v>-104426.20872999291</v>
      </c>
      <c r="L62" s="64">
        <f t="shared" si="30"/>
        <v>-137087.61875196162</v>
      </c>
      <c r="M62" s="64">
        <f t="shared" ref="M62" si="31">M53-M43</f>
        <v>-8434.2741499379044</v>
      </c>
      <c r="N62" s="64">
        <f>SUM(B62:M62)</f>
        <v>-275567.55879797903</v>
      </c>
    </row>
    <row r="63" spans="1:27">
      <c r="A63" s="68" t="s">
        <v>56</v>
      </c>
      <c r="B63" s="64">
        <f t="shared" ref="B63:D67" si="32">B54-B44</f>
        <v>-16058.441913180461</v>
      </c>
      <c r="C63" s="64">
        <f t="shared" si="32"/>
        <v>-15054.149381288647</v>
      </c>
      <c r="D63" s="64">
        <f t="shared" si="32"/>
        <v>-10568.451728198939</v>
      </c>
      <c r="E63" s="64">
        <f t="shared" ref="E63:F63" si="33">E54-E44</f>
        <v>15104.115105300676</v>
      </c>
      <c r="F63" s="64">
        <f t="shared" si="33"/>
        <v>1771.6115809743642</v>
      </c>
      <c r="G63" s="64">
        <f t="shared" ref="G63:H63" si="34">G54-G44</f>
        <v>-5401.3721001103986</v>
      </c>
      <c r="H63" s="64">
        <f t="shared" si="34"/>
        <v>-16280.231601296924</v>
      </c>
      <c r="I63" s="64">
        <f t="shared" ref="I63:J63" si="35">I54-I44</f>
        <v>-502.19218793496839</v>
      </c>
      <c r="J63" s="64">
        <f t="shared" si="35"/>
        <v>-3722.1287357363326</v>
      </c>
      <c r="K63" s="64">
        <f t="shared" ref="K63:L63" si="36">K54-K44</f>
        <v>-14595.719642104523</v>
      </c>
      <c r="L63" s="64">
        <f t="shared" si="36"/>
        <v>-12328.202533627657</v>
      </c>
      <c r="M63" s="64">
        <f t="shared" ref="M63" si="37">M54-M44</f>
        <v>4321.8041331034328</v>
      </c>
      <c r="N63" s="64">
        <f t="shared" ref="N63:N67" si="38">SUM(B63:M63)</f>
        <v>-73313.359004100377</v>
      </c>
    </row>
    <row r="64" spans="1:27">
      <c r="A64" s="68" t="s">
        <v>57</v>
      </c>
      <c r="B64" s="64">
        <f t="shared" si="32"/>
        <v>-51829.138737239933</v>
      </c>
      <c r="C64" s="64">
        <f t="shared" si="32"/>
        <v>-48167.082500440476</v>
      </c>
      <c r="D64" s="64">
        <f t="shared" si="32"/>
        <v>-38843.041026120132</v>
      </c>
      <c r="E64" s="64">
        <f t="shared" ref="E64:F64" si="39">E55-E45</f>
        <v>27925.924250856217</v>
      </c>
      <c r="F64" s="64">
        <f t="shared" si="39"/>
        <v>-20575.450275989715</v>
      </c>
      <c r="G64" s="64">
        <f t="shared" ref="G64:H64" si="40">G55-G45</f>
        <v>-29003.97329105105</v>
      </c>
      <c r="H64" s="64">
        <f t="shared" si="40"/>
        <v>-54011.785998942098</v>
      </c>
      <c r="I64" s="64">
        <f t="shared" ref="I64:J64" si="41">I55-I45</f>
        <v>-11038.04658082797</v>
      </c>
      <c r="J64" s="64">
        <f t="shared" si="41"/>
        <v>-23981.425837285002</v>
      </c>
      <c r="K64" s="64">
        <f t="shared" ref="K64:L64" si="42">K55-K45</f>
        <v>-41178.203546124278</v>
      </c>
      <c r="L64" s="64">
        <f t="shared" si="42"/>
        <v>-35500.118940142682</v>
      </c>
      <c r="M64" s="64">
        <f t="shared" ref="M64" si="43">M55-M45</f>
        <v>3427.5693128000712</v>
      </c>
      <c r="N64" s="64">
        <f t="shared" si="38"/>
        <v>-322774.77317050705</v>
      </c>
    </row>
    <row r="65" spans="1:27">
      <c r="A65" s="68" t="s">
        <v>58</v>
      </c>
      <c r="B65" s="64">
        <f t="shared" si="32"/>
        <v>13185.375696510164</v>
      </c>
      <c r="C65" s="64">
        <f t="shared" si="32"/>
        <v>20325.997220174875</v>
      </c>
      <c r="D65" s="64">
        <f t="shared" si="32"/>
        <v>12218.245314980653</v>
      </c>
      <c r="E65" s="64">
        <f t="shared" ref="E65:F65" si="44">E56-E46</f>
        <v>16572.328631437005</v>
      </c>
      <c r="F65" s="64">
        <f t="shared" si="44"/>
        <v>14768.020294056798</v>
      </c>
      <c r="G65" s="64">
        <f t="shared" ref="G65:H65" si="45">G56-G46</f>
        <v>13390.715610310523</v>
      </c>
      <c r="H65" s="64">
        <f t="shared" si="45"/>
        <v>1951.5585516951687</v>
      </c>
      <c r="I65" s="64">
        <f t="shared" ref="I65:J65" si="46">I56-I46</f>
        <v>5485.5385978457634</v>
      </c>
      <c r="J65" s="64">
        <f t="shared" si="46"/>
        <v>12756.427985160757</v>
      </c>
      <c r="K65" s="64">
        <f t="shared" ref="K65:L65" si="47">K56-K46</f>
        <v>10750.992939023417</v>
      </c>
      <c r="L65" s="64">
        <f t="shared" si="47"/>
        <v>18978.06060812634</v>
      </c>
      <c r="M65" s="64">
        <f t="shared" ref="M65" si="48">M56-M46</f>
        <v>-5360.939313105162</v>
      </c>
      <c r="N65" s="64">
        <f t="shared" si="38"/>
        <v>135022.3221362163</v>
      </c>
    </row>
    <row r="66" spans="1:27">
      <c r="A66" s="68" t="s">
        <v>59</v>
      </c>
      <c r="B66" s="64">
        <f t="shared" si="32"/>
        <v>-221.04354076823984</v>
      </c>
      <c r="C66" s="64">
        <f t="shared" si="32"/>
        <v>-924.13755855999443</v>
      </c>
      <c r="D66" s="64">
        <f t="shared" si="32"/>
        <v>-3157.2910416148716</v>
      </c>
      <c r="E66" s="64">
        <f t="shared" ref="E66:F66" si="49">E57-E47</f>
        <v>-7689.5697190297251</v>
      </c>
      <c r="F66" s="64">
        <f t="shared" si="49"/>
        <v>-11679.204789260006</v>
      </c>
      <c r="G66" s="64">
        <f t="shared" ref="G66:H66" si="50">G57-G47</f>
        <v>-20993.699682939528</v>
      </c>
      <c r="H66" s="64">
        <f t="shared" si="50"/>
        <v>-21352.738372550768</v>
      </c>
      <c r="I66" s="64">
        <f t="shared" ref="I66:J66" si="51">I57-I47</f>
        <v>-3082.9891254420509</v>
      </c>
      <c r="J66" s="64">
        <f t="shared" si="51"/>
        <v>10141.757401579998</v>
      </c>
      <c r="K66" s="64">
        <f t="shared" ref="K66:L66" si="52">K57-K47</f>
        <v>3351.1799434758177</v>
      </c>
      <c r="L66" s="64">
        <f t="shared" si="52"/>
        <v>1190.6854243944417</v>
      </c>
      <c r="M66" s="64">
        <f t="shared" ref="M66" si="53">M57-M47</f>
        <v>-50.74102622859391</v>
      </c>
      <c r="N66" s="64">
        <f t="shared" si="38"/>
        <v>-54467.792086943511</v>
      </c>
    </row>
    <row r="67" spans="1:27">
      <c r="A67" s="68" t="s">
        <v>53</v>
      </c>
      <c r="B67" s="64">
        <f t="shared" si="32"/>
        <v>-3086.7733988421205</v>
      </c>
      <c r="C67" s="64">
        <f t="shared" si="32"/>
        <v>-386.83309820830254</v>
      </c>
      <c r="D67" s="64">
        <f t="shared" si="32"/>
        <v>-135.01491356649785</v>
      </c>
      <c r="E67" s="64">
        <f t="shared" ref="E67:F67" si="54">E58-E48</f>
        <v>-524.16982880528667</v>
      </c>
      <c r="F67" s="64">
        <f t="shared" si="54"/>
        <v>-495.1548677885221</v>
      </c>
      <c r="G67" s="64">
        <f t="shared" ref="G67:H67" si="55">G58-G48</f>
        <v>-542.55618128846982</v>
      </c>
      <c r="H67" s="64">
        <f t="shared" si="55"/>
        <v>-497.8162723632413</v>
      </c>
      <c r="I67" s="64">
        <f t="shared" ref="I67:J67" si="56">I58-I48</f>
        <v>-437.29449455160284</v>
      </c>
      <c r="J67" s="64">
        <f t="shared" si="56"/>
        <v>-503.8009140675058</v>
      </c>
      <c r="K67" s="64">
        <f t="shared" ref="K67:L67" si="57">K58-K48</f>
        <v>-449.29712758866663</v>
      </c>
      <c r="L67" s="64">
        <f t="shared" si="57"/>
        <v>-396.99209617882298</v>
      </c>
      <c r="M67" s="64">
        <f t="shared" ref="M67" si="58">M58-M48</f>
        <v>-109.69749907196456</v>
      </c>
      <c r="N67" s="64">
        <f t="shared" si="38"/>
        <v>-7565.4006923210036</v>
      </c>
    </row>
    <row r="68" spans="1:27">
      <c r="A68" s="83" t="s">
        <v>48</v>
      </c>
      <c r="B68" s="65">
        <f t="shared" ref="B68:L68" si="59">SUM(B62:B67)</f>
        <v>-96010.402624702765</v>
      </c>
      <c r="C68" s="65">
        <f t="shared" si="59"/>
        <v>-91045.69108601207</v>
      </c>
      <c r="D68" s="65">
        <f t="shared" si="59"/>
        <v>-64843.339448013059</v>
      </c>
      <c r="E68" s="65">
        <f t="shared" si="59"/>
        <v>146027.93939177968</v>
      </c>
      <c r="F68" s="65">
        <f t="shared" si="59"/>
        <v>19297.800937165808</v>
      </c>
      <c r="G68" s="65">
        <f t="shared" si="59"/>
        <v>-43204.66285000959</v>
      </c>
      <c r="H68" s="65">
        <f t="shared" si="59"/>
        <v>-151494.33703555143</v>
      </c>
      <c r="I68" s="65">
        <f t="shared" si="59"/>
        <v>11786.994714852513</v>
      </c>
      <c r="J68" s="65">
        <f t="shared" si="59"/>
        <v>-11283.142620002516</v>
      </c>
      <c r="K68" s="65">
        <f t="shared" si="59"/>
        <v>-146547.25616331113</v>
      </c>
      <c r="L68" s="65">
        <f t="shared" si="59"/>
        <v>-165144.18628939</v>
      </c>
      <c r="M68" s="65">
        <f>SUM(M62:M67)</f>
        <v>-6206.2785424401209</v>
      </c>
      <c r="N68" s="65">
        <f>SUM(N62:N67)</f>
        <v>-598666.56161563459</v>
      </c>
      <c r="O68" s="28"/>
      <c r="P68" s="28"/>
      <c r="Q68" s="28"/>
      <c r="R68" s="28"/>
      <c r="S68" s="28"/>
      <c r="T68" s="28"/>
      <c r="U68" s="28"/>
      <c r="V68" s="28"/>
      <c r="W68" s="28"/>
      <c r="X68" s="28"/>
      <c r="Y68" s="28"/>
      <c r="Z68" s="28"/>
      <c r="AA68" s="28"/>
    </row>
    <row r="69" spans="1:27">
      <c r="A69" s="5"/>
      <c r="D69" s="3"/>
      <c r="E69" s="3"/>
      <c r="F69" s="3"/>
      <c r="G69" s="3"/>
      <c r="H69" s="3"/>
      <c r="I69" s="3"/>
      <c r="J69" s="3"/>
      <c r="K69" s="3"/>
      <c r="L69" s="3"/>
      <c r="M69" s="3"/>
      <c r="N69" s="9"/>
    </row>
    <row r="70" spans="1:27" s="63" customFormat="1">
      <c r="A70" s="84" t="s">
        <v>26</v>
      </c>
    </row>
    <row r="71" spans="1:27" s="63" customFormat="1" ht="29.25" customHeight="1">
      <c r="A71" s="144" t="s">
        <v>69</v>
      </c>
      <c r="B71" s="144"/>
      <c r="C71" s="144"/>
      <c r="D71" s="144"/>
      <c r="E71" s="144"/>
      <c r="F71" s="144"/>
      <c r="G71" s="144"/>
      <c r="H71" s="144"/>
      <c r="I71" s="144"/>
      <c r="J71" s="144"/>
      <c r="K71" s="144"/>
      <c r="L71" s="144"/>
      <c r="M71" s="144"/>
      <c r="N71" s="144"/>
    </row>
    <row r="72" spans="1:27" s="63" customFormat="1" ht="30.75" customHeight="1">
      <c r="A72" s="144" t="s">
        <v>70</v>
      </c>
      <c r="B72" s="144"/>
      <c r="C72" s="144"/>
      <c r="D72" s="144"/>
      <c r="E72" s="144"/>
      <c r="F72" s="144"/>
      <c r="G72" s="144"/>
      <c r="H72" s="144"/>
      <c r="I72" s="144"/>
      <c r="J72" s="144"/>
      <c r="K72" s="144"/>
      <c r="L72" s="144"/>
      <c r="M72" s="144"/>
      <c r="N72" s="144"/>
    </row>
    <row r="73" spans="1:27" ht="28.5" customHeight="1">
      <c r="A73" s="144" t="s">
        <v>158</v>
      </c>
      <c r="B73" s="144"/>
      <c r="C73" s="144"/>
      <c r="D73" s="144"/>
      <c r="E73" s="144"/>
      <c r="F73" s="144"/>
      <c r="G73" s="144"/>
      <c r="H73" s="144"/>
      <c r="I73" s="144"/>
      <c r="J73" s="144"/>
      <c r="K73" s="144"/>
      <c r="L73" s="144"/>
      <c r="M73" s="144"/>
      <c r="N73" s="144"/>
    </row>
    <row r="74" spans="1:27" ht="28.5" customHeight="1">
      <c r="A74" s="148" t="s">
        <v>163</v>
      </c>
      <c r="B74" s="148"/>
      <c r="C74" s="148"/>
      <c r="D74" s="148"/>
      <c r="E74" s="148"/>
      <c r="F74" s="148"/>
      <c r="G74" s="148"/>
      <c r="H74" s="148"/>
      <c r="I74" s="148"/>
      <c r="J74" s="148"/>
      <c r="K74" s="148"/>
      <c r="L74" s="148"/>
      <c r="M74" s="148"/>
      <c r="N74" s="148"/>
    </row>
    <row r="75" spans="1:27">
      <c r="A75" s="148" t="s">
        <v>177</v>
      </c>
      <c r="B75" s="148"/>
      <c r="C75" s="148"/>
      <c r="D75" s="148"/>
      <c r="E75" s="148"/>
      <c r="F75" s="148"/>
      <c r="G75" s="148"/>
      <c r="H75" s="148"/>
      <c r="I75" s="148"/>
      <c r="J75" s="148"/>
      <c r="K75" s="148"/>
      <c r="L75" s="148"/>
      <c r="M75" s="148"/>
      <c r="N75" s="148"/>
    </row>
    <row r="76" spans="1:27">
      <c r="A76" s="134" t="s">
        <v>188</v>
      </c>
      <c r="D76" s="3"/>
      <c r="E76" s="3"/>
      <c r="F76" s="3"/>
      <c r="G76" s="3"/>
      <c r="H76" s="3"/>
      <c r="I76" s="3"/>
      <c r="J76" s="3"/>
      <c r="K76" s="3"/>
      <c r="L76" s="3"/>
      <c r="M76" s="3"/>
      <c r="N76" s="9"/>
    </row>
    <row r="77" spans="1:27">
      <c r="A77" s="148" t="s">
        <v>200</v>
      </c>
      <c r="B77" s="148"/>
      <c r="C77" s="148"/>
      <c r="D77" s="148"/>
      <c r="E77" s="148"/>
      <c r="F77" s="148"/>
      <c r="G77" s="148"/>
      <c r="H77" s="148"/>
      <c r="I77" s="148"/>
      <c r="J77" s="148"/>
      <c r="K77" s="148"/>
      <c r="L77" s="148"/>
      <c r="M77" s="148"/>
      <c r="N77" s="148"/>
    </row>
    <row r="78" spans="1:27" ht="30.75" customHeight="1">
      <c r="A78" s="148" t="s">
        <v>214</v>
      </c>
      <c r="B78" s="148"/>
      <c r="C78" s="148"/>
      <c r="D78" s="148"/>
      <c r="E78" s="148"/>
      <c r="F78" s="148"/>
      <c r="G78" s="148"/>
      <c r="H78" s="148"/>
      <c r="I78" s="148"/>
      <c r="J78" s="148"/>
      <c r="K78" s="148"/>
      <c r="L78" s="148"/>
      <c r="M78" s="148"/>
      <c r="N78" s="148"/>
    </row>
    <row r="79" spans="1:27" ht="29.25" customHeight="1">
      <c r="A79" s="148" t="s">
        <v>230</v>
      </c>
      <c r="B79" s="148"/>
      <c r="C79" s="148"/>
      <c r="D79" s="148"/>
      <c r="E79" s="148"/>
      <c r="F79" s="148"/>
      <c r="G79" s="148"/>
      <c r="H79" s="148"/>
      <c r="I79" s="148"/>
      <c r="J79" s="148"/>
      <c r="K79" s="148"/>
      <c r="L79" s="148"/>
      <c r="M79" s="148"/>
      <c r="N79" s="148"/>
    </row>
    <row r="80" spans="1:27">
      <c r="A80" s="147" t="s">
        <v>251</v>
      </c>
      <c r="B80" s="147"/>
      <c r="C80" s="147"/>
      <c r="D80" s="147"/>
      <c r="E80" s="147"/>
      <c r="F80" s="147"/>
      <c r="G80" s="147"/>
      <c r="H80" s="147"/>
      <c r="I80" s="147"/>
      <c r="J80" s="147"/>
      <c r="K80" s="147"/>
      <c r="L80" s="147"/>
      <c r="M80" s="147"/>
      <c r="N80" s="147"/>
    </row>
    <row r="81" spans="1:14">
      <c r="A81" s="147" t="s">
        <v>262</v>
      </c>
      <c r="B81" s="147"/>
      <c r="C81" s="147"/>
      <c r="D81" s="147"/>
      <c r="E81" s="147"/>
      <c r="F81" s="147"/>
      <c r="G81" s="147"/>
      <c r="H81" s="147"/>
      <c r="I81" s="147"/>
      <c r="J81" s="147"/>
      <c r="K81" s="147"/>
      <c r="L81" s="147"/>
      <c r="M81" s="147"/>
      <c r="N81" s="147"/>
    </row>
    <row r="82" spans="1:14">
      <c r="A82" s="5"/>
      <c r="D82" s="3"/>
      <c r="E82" s="3"/>
      <c r="F82" s="3"/>
      <c r="G82" s="3"/>
      <c r="H82" s="3"/>
      <c r="I82" s="3"/>
      <c r="J82" s="3"/>
      <c r="K82" s="3"/>
      <c r="L82" s="3"/>
      <c r="M82" s="3"/>
      <c r="N82" s="9"/>
    </row>
    <row r="83" spans="1:14">
      <c r="A83" s="5"/>
      <c r="D83" s="3"/>
      <c r="E83" s="3"/>
      <c r="F83" s="3"/>
      <c r="G83" s="3"/>
      <c r="H83" s="3"/>
      <c r="I83" s="3"/>
      <c r="J83" s="3"/>
      <c r="K83" s="3"/>
      <c r="L83" s="3"/>
      <c r="M83" s="3"/>
      <c r="N83" s="9"/>
    </row>
    <row r="84" spans="1:14">
      <c r="A84" s="5"/>
      <c r="D84" s="3"/>
      <c r="E84" s="3"/>
      <c r="F84" s="3"/>
      <c r="G84" s="3"/>
      <c r="H84" s="3"/>
      <c r="I84" s="3"/>
      <c r="J84" s="3"/>
      <c r="K84" s="3"/>
      <c r="L84" s="3"/>
      <c r="M84" s="3"/>
      <c r="N84" s="9"/>
    </row>
    <row r="85" spans="1:14">
      <c r="A85" s="5"/>
      <c r="D85" s="3"/>
      <c r="E85" s="3"/>
      <c r="F85" s="3"/>
      <c r="G85" s="3"/>
      <c r="H85" s="3"/>
      <c r="I85" s="3"/>
      <c r="J85" s="3"/>
      <c r="K85" s="3"/>
      <c r="L85" s="3"/>
      <c r="M85" s="3"/>
      <c r="N85" s="9"/>
    </row>
    <row r="86" spans="1:14">
      <c r="A86" s="5"/>
      <c r="D86" s="3"/>
      <c r="E86" s="3"/>
      <c r="F86" s="3"/>
      <c r="G86" s="3"/>
      <c r="H86" s="3"/>
      <c r="I86" s="3"/>
      <c r="J86" s="3"/>
      <c r="K86" s="3"/>
      <c r="L86" s="3"/>
      <c r="M86" s="3"/>
      <c r="N86" s="9"/>
    </row>
    <row r="87" spans="1:14">
      <c r="A87" s="5"/>
      <c r="D87" s="3"/>
      <c r="E87" s="3"/>
      <c r="F87" s="3"/>
      <c r="G87" s="3"/>
      <c r="H87" s="3"/>
      <c r="I87" s="3"/>
      <c r="J87" s="3"/>
      <c r="K87" s="3"/>
      <c r="L87" s="3"/>
      <c r="M87" s="3"/>
      <c r="N87" s="9"/>
    </row>
    <row r="88" spans="1:14">
      <c r="A88" s="5"/>
      <c r="D88" s="3"/>
      <c r="E88" s="3"/>
      <c r="F88" s="3"/>
      <c r="G88" s="3"/>
      <c r="H88" s="3"/>
      <c r="I88" s="3"/>
      <c r="J88" s="3"/>
      <c r="K88" s="3"/>
      <c r="L88" s="3"/>
      <c r="M88" s="3"/>
      <c r="N88" s="9"/>
    </row>
    <row r="89" spans="1:14">
      <c r="A89" s="5"/>
      <c r="D89" s="3"/>
      <c r="E89" s="3"/>
      <c r="F89" s="3"/>
      <c r="G89" s="3"/>
      <c r="H89" s="3"/>
      <c r="I89" s="3"/>
      <c r="J89" s="3"/>
      <c r="K89" s="3"/>
      <c r="L89" s="3"/>
      <c r="M89" s="3"/>
      <c r="N89" s="9"/>
    </row>
    <row r="90" spans="1:14">
      <c r="A90" s="5"/>
      <c r="D90" s="3"/>
      <c r="E90" s="3"/>
      <c r="F90" s="3"/>
      <c r="G90" s="3"/>
      <c r="H90" s="3"/>
      <c r="I90" s="3"/>
      <c r="J90" s="3"/>
      <c r="K90" s="3"/>
      <c r="L90" s="3"/>
      <c r="M90" s="3"/>
      <c r="N90" s="9"/>
    </row>
    <row r="91" spans="1:14">
      <c r="A91" s="5"/>
      <c r="D91" s="3"/>
      <c r="E91" s="3"/>
      <c r="F91" s="3"/>
      <c r="G91" s="3"/>
      <c r="H91" s="3"/>
      <c r="I91" s="3"/>
      <c r="J91" s="3"/>
      <c r="K91" s="3"/>
      <c r="L91" s="3"/>
      <c r="M91" s="3"/>
      <c r="N91" s="9"/>
    </row>
    <row r="92" spans="1:14">
      <c r="A92" s="5"/>
      <c r="D92" s="3"/>
      <c r="E92" s="3"/>
      <c r="F92" s="3"/>
      <c r="G92" s="3"/>
      <c r="H92" s="3"/>
      <c r="I92" s="3"/>
      <c r="J92" s="3"/>
      <c r="K92" s="3"/>
      <c r="L92" s="3"/>
      <c r="M92" s="3"/>
      <c r="N92" s="9"/>
    </row>
    <row r="93" spans="1:14">
      <c r="A93" s="5"/>
      <c r="D93" s="3"/>
      <c r="E93" s="3"/>
      <c r="F93" s="3"/>
      <c r="G93" s="3"/>
      <c r="H93" s="3"/>
      <c r="I93" s="3"/>
      <c r="J93" s="3"/>
      <c r="K93" s="3"/>
      <c r="L93" s="3"/>
      <c r="M93" s="3"/>
      <c r="N93" s="9"/>
    </row>
    <row r="94" spans="1:14">
      <c r="A94" s="5"/>
      <c r="D94" s="3"/>
      <c r="E94" s="3"/>
      <c r="F94" s="3"/>
      <c r="G94" s="3"/>
      <c r="H94" s="3"/>
      <c r="I94" s="3"/>
      <c r="J94" s="3"/>
      <c r="K94" s="3"/>
      <c r="L94" s="3"/>
      <c r="M94" s="3"/>
      <c r="N94" s="9"/>
    </row>
    <row r="95" spans="1:14">
      <c r="A95" s="5"/>
      <c r="D95" s="3"/>
      <c r="E95" s="3"/>
      <c r="F95" s="3"/>
      <c r="G95" s="3"/>
      <c r="H95" s="3"/>
      <c r="I95" s="3"/>
      <c r="J95" s="3"/>
      <c r="K95" s="3"/>
      <c r="L95" s="3"/>
      <c r="M95" s="3"/>
      <c r="N95" s="9"/>
    </row>
    <row r="96" spans="1:14">
      <c r="A96" s="5"/>
      <c r="D96" s="3"/>
      <c r="E96" s="3"/>
      <c r="F96" s="3"/>
      <c r="G96" s="3"/>
      <c r="H96" s="3"/>
      <c r="I96" s="3"/>
      <c r="J96" s="3"/>
      <c r="K96" s="3"/>
      <c r="L96" s="3"/>
      <c r="M96" s="3"/>
      <c r="N96" s="9"/>
    </row>
    <row r="97" spans="1:14">
      <c r="A97" s="5"/>
      <c r="D97" s="3"/>
      <c r="E97" s="3"/>
      <c r="F97" s="3"/>
      <c r="G97" s="3"/>
      <c r="H97" s="3"/>
      <c r="I97" s="3"/>
      <c r="J97" s="3"/>
      <c r="K97" s="3"/>
      <c r="L97" s="3"/>
      <c r="M97" s="3"/>
      <c r="N97" s="9"/>
    </row>
    <row r="98" spans="1:14">
      <c r="A98" s="5"/>
      <c r="D98" s="3"/>
      <c r="E98" s="3"/>
      <c r="F98" s="3"/>
      <c r="G98" s="3"/>
      <c r="H98" s="3"/>
      <c r="I98" s="3"/>
      <c r="J98" s="3"/>
      <c r="K98" s="3"/>
      <c r="L98" s="3"/>
      <c r="M98" s="3"/>
      <c r="N98" s="9"/>
    </row>
    <row r="99" spans="1:14">
      <c r="A99" s="5"/>
      <c r="D99" s="3"/>
      <c r="E99" s="3"/>
      <c r="F99" s="3"/>
      <c r="G99" s="3"/>
      <c r="H99" s="3"/>
      <c r="I99" s="3"/>
      <c r="J99" s="3"/>
      <c r="K99" s="3"/>
      <c r="L99" s="3"/>
      <c r="M99" s="3"/>
      <c r="N99" s="9"/>
    </row>
    <row r="100" spans="1:14">
      <c r="A100" s="5"/>
      <c r="D100" s="3"/>
      <c r="E100" s="3"/>
      <c r="F100" s="3"/>
      <c r="G100" s="3"/>
      <c r="H100" s="3"/>
      <c r="I100" s="3"/>
      <c r="J100" s="3"/>
      <c r="K100" s="3"/>
      <c r="L100" s="3"/>
      <c r="M100" s="3"/>
      <c r="N100" s="9"/>
    </row>
    <row r="101" spans="1:14">
      <c r="A101" s="5"/>
      <c r="D101" s="3"/>
      <c r="E101" s="3"/>
      <c r="F101" s="3"/>
      <c r="G101" s="3"/>
      <c r="H101" s="3"/>
      <c r="I101" s="3"/>
      <c r="J101" s="3"/>
      <c r="K101" s="3"/>
      <c r="L101" s="3"/>
      <c r="M101" s="3"/>
      <c r="N101" s="9"/>
    </row>
    <row r="102" spans="1:14">
      <c r="A102" s="5"/>
      <c r="D102" s="3"/>
      <c r="E102" s="3"/>
      <c r="F102" s="3"/>
      <c r="G102" s="3"/>
      <c r="H102" s="3"/>
      <c r="I102" s="3"/>
      <c r="J102" s="3"/>
      <c r="K102" s="3"/>
      <c r="L102" s="3"/>
      <c r="M102" s="3"/>
      <c r="N102" s="9"/>
    </row>
    <row r="103" spans="1:14">
      <c r="A103" s="5"/>
      <c r="D103" s="3"/>
      <c r="E103" s="3"/>
      <c r="F103" s="3"/>
      <c r="G103" s="3"/>
      <c r="H103" s="3"/>
      <c r="I103" s="3"/>
      <c r="J103" s="3"/>
      <c r="K103" s="3"/>
      <c r="L103" s="3"/>
      <c r="M103" s="3"/>
      <c r="N103" s="9"/>
    </row>
    <row r="104" spans="1:14">
      <c r="A104" s="5"/>
      <c r="D104" s="3"/>
      <c r="E104" s="3"/>
      <c r="F104" s="3"/>
      <c r="G104" s="3"/>
      <c r="H104" s="3"/>
      <c r="I104" s="3"/>
      <c r="J104" s="3"/>
      <c r="K104" s="3"/>
      <c r="L104" s="3"/>
      <c r="M104" s="3"/>
      <c r="N104" s="9"/>
    </row>
    <row r="105" spans="1:14">
      <c r="A105" s="5"/>
      <c r="D105" s="3"/>
      <c r="E105" s="3"/>
      <c r="F105" s="3"/>
      <c r="G105" s="3"/>
      <c r="H105" s="3"/>
      <c r="I105" s="3"/>
      <c r="J105" s="3"/>
      <c r="K105" s="3"/>
      <c r="L105" s="3"/>
      <c r="M105" s="3"/>
      <c r="N105" s="9"/>
    </row>
    <row r="106" spans="1:14">
      <c r="A106" s="5"/>
      <c r="D106" s="3"/>
      <c r="E106" s="3"/>
      <c r="F106" s="3"/>
      <c r="G106" s="3"/>
      <c r="H106" s="3"/>
      <c r="I106" s="3"/>
      <c r="J106" s="3"/>
      <c r="K106" s="3"/>
      <c r="L106" s="3"/>
      <c r="M106" s="3"/>
      <c r="N106" s="9"/>
    </row>
    <row r="107" spans="1:14">
      <c r="A107" s="5"/>
      <c r="D107" s="3"/>
      <c r="E107" s="3"/>
      <c r="F107" s="3"/>
      <c r="G107" s="3"/>
      <c r="H107" s="3"/>
      <c r="I107" s="3"/>
      <c r="J107" s="3"/>
      <c r="K107" s="3"/>
      <c r="L107" s="3"/>
      <c r="M107" s="3"/>
      <c r="N107" s="9"/>
    </row>
    <row r="108" spans="1:14">
      <c r="A108" s="5"/>
      <c r="D108" s="3"/>
      <c r="E108" s="3"/>
      <c r="F108" s="3"/>
      <c r="G108" s="3"/>
      <c r="H108" s="3"/>
      <c r="I108" s="3"/>
      <c r="J108" s="3"/>
      <c r="K108" s="3"/>
      <c r="L108" s="3"/>
      <c r="M108" s="3"/>
      <c r="N108" s="9"/>
    </row>
    <row r="109" spans="1:14">
      <c r="A109" s="5"/>
      <c r="D109" s="3"/>
      <c r="E109" s="3"/>
      <c r="F109" s="3"/>
      <c r="G109" s="3"/>
      <c r="H109" s="3"/>
      <c r="I109" s="3"/>
      <c r="J109" s="3"/>
      <c r="K109" s="3"/>
      <c r="L109" s="3"/>
      <c r="M109" s="3"/>
      <c r="N109" s="9"/>
    </row>
    <row r="110" spans="1:14">
      <c r="A110" s="5"/>
      <c r="D110" s="3"/>
      <c r="E110" s="3"/>
      <c r="F110" s="3"/>
      <c r="G110" s="3"/>
      <c r="H110" s="3"/>
      <c r="I110" s="3"/>
      <c r="J110" s="3"/>
      <c r="K110" s="3"/>
      <c r="L110" s="3"/>
      <c r="M110" s="3"/>
      <c r="N110" s="9"/>
    </row>
    <row r="111" spans="1:14">
      <c r="A111" s="5"/>
      <c r="D111" s="3"/>
      <c r="E111" s="3"/>
      <c r="F111" s="3"/>
      <c r="G111" s="3"/>
      <c r="H111" s="3"/>
      <c r="I111" s="3"/>
      <c r="J111" s="3"/>
      <c r="K111" s="3"/>
      <c r="L111" s="3"/>
      <c r="M111" s="3"/>
      <c r="N111" s="9"/>
    </row>
    <row r="112" spans="1:14">
      <c r="A112" s="5"/>
      <c r="D112" s="3"/>
      <c r="E112" s="3"/>
      <c r="F112" s="3"/>
      <c r="G112" s="3"/>
      <c r="H112" s="3"/>
      <c r="I112" s="3"/>
      <c r="J112" s="3"/>
      <c r="K112" s="3"/>
      <c r="L112" s="3"/>
      <c r="M112" s="3"/>
      <c r="N112" s="9"/>
    </row>
    <row r="113" spans="1:14">
      <c r="A113" s="5"/>
      <c r="D113" s="3"/>
      <c r="E113" s="3"/>
      <c r="F113" s="3"/>
      <c r="G113" s="3"/>
      <c r="H113" s="3"/>
      <c r="I113" s="3"/>
      <c r="J113" s="3"/>
      <c r="K113" s="3"/>
      <c r="L113" s="3"/>
      <c r="M113" s="3"/>
      <c r="N113" s="9"/>
    </row>
    <row r="114" spans="1:14">
      <c r="A114" s="5"/>
      <c r="D114" s="3"/>
      <c r="E114" s="3"/>
      <c r="F114" s="3"/>
      <c r="G114" s="3"/>
      <c r="H114" s="3"/>
      <c r="I114" s="3"/>
      <c r="J114" s="3"/>
      <c r="K114" s="3"/>
      <c r="L114" s="3"/>
      <c r="M114" s="3"/>
      <c r="N114" s="9"/>
    </row>
    <row r="115" spans="1:14">
      <c r="A115" s="5"/>
      <c r="D115" s="3"/>
      <c r="E115" s="3"/>
      <c r="F115" s="3"/>
      <c r="G115" s="3"/>
      <c r="H115" s="3"/>
      <c r="I115" s="3"/>
      <c r="J115" s="3"/>
      <c r="K115" s="3"/>
      <c r="L115" s="3"/>
      <c r="M115" s="3"/>
      <c r="N115" s="9"/>
    </row>
    <row r="116" spans="1:14">
      <c r="A116" s="5"/>
      <c r="D116" s="3"/>
      <c r="E116" s="3"/>
      <c r="F116" s="3"/>
      <c r="G116" s="3"/>
      <c r="H116" s="3"/>
      <c r="I116" s="3"/>
      <c r="J116" s="3"/>
      <c r="K116" s="3"/>
      <c r="L116" s="3"/>
      <c r="M116" s="3"/>
      <c r="N116" s="9"/>
    </row>
    <row r="117" spans="1:14">
      <c r="A117" s="5"/>
      <c r="D117" s="3"/>
      <c r="E117" s="3"/>
      <c r="F117" s="3"/>
      <c r="G117" s="3"/>
      <c r="H117" s="3"/>
      <c r="I117" s="3"/>
      <c r="J117" s="3"/>
      <c r="K117" s="3"/>
      <c r="L117" s="3"/>
      <c r="M117" s="3"/>
      <c r="N117" s="9"/>
    </row>
    <row r="118" spans="1:14">
      <c r="A118" s="5"/>
      <c r="D118" s="3"/>
      <c r="E118" s="3"/>
      <c r="F118" s="3"/>
      <c r="G118" s="3"/>
      <c r="H118" s="3"/>
      <c r="I118" s="3"/>
      <c r="J118" s="3"/>
      <c r="K118" s="3"/>
      <c r="L118" s="3"/>
      <c r="M118" s="3"/>
      <c r="N118" s="9"/>
    </row>
    <row r="119" spans="1:14">
      <c r="A119" s="5"/>
      <c r="D119" s="3"/>
      <c r="E119" s="3"/>
      <c r="F119" s="3"/>
      <c r="G119" s="3"/>
      <c r="H119" s="3"/>
      <c r="I119" s="3"/>
      <c r="J119" s="3"/>
      <c r="K119" s="3"/>
      <c r="L119" s="3"/>
      <c r="M119" s="3"/>
      <c r="N119" s="9"/>
    </row>
    <row r="120" spans="1:14">
      <c r="A120" s="5"/>
      <c r="D120" s="3"/>
      <c r="E120" s="3"/>
      <c r="F120" s="3"/>
      <c r="G120" s="3"/>
      <c r="H120" s="3"/>
      <c r="I120" s="3"/>
      <c r="J120" s="3"/>
      <c r="K120" s="3"/>
      <c r="L120" s="3"/>
      <c r="M120" s="3"/>
      <c r="N120" s="9"/>
    </row>
    <row r="121" spans="1:14">
      <c r="A121" s="5"/>
      <c r="D121" s="3"/>
      <c r="E121" s="3"/>
      <c r="F121" s="3"/>
      <c r="G121" s="3"/>
      <c r="H121" s="3"/>
      <c r="I121" s="3"/>
      <c r="J121" s="3"/>
      <c r="K121" s="3"/>
      <c r="L121" s="3"/>
      <c r="M121" s="3"/>
      <c r="N121" s="9"/>
    </row>
    <row r="122" spans="1:14">
      <c r="A122" s="5"/>
      <c r="D122" s="3"/>
      <c r="E122" s="3"/>
      <c r="F122" s="3"/>
      <c r="G122" s="3"/>
      <c r="H122" s="3"/>
      <c r="I122" s="3"/>
      <c r="J122" s="3"/>
      <c r="K122" s="3"/>
      <c r="L122" s="3"/>
      <c r="M122" s="3"/>
      <c r="N122" s="9"/>
    </row>
    <row r="123" spans="1:14">
      <c r="A123" s="5"/>
      <c r="D123" s="3"/>
      <c r="E123" s="3"/>
      <c r="F123" s="3"/>
      <c r="G123" s="3"/>
      <c r="H123" s="3"/>
      <c r="I123" s="3"/>
      <c r="J123" s="3"/>
      <c r="K123" s="3"/>
      <c r="L123" s="3"/>
      <c r="M123" s="3"/>
      <c r="N123" s="9"/>
    </row>
    <row r="124" spans="1:14">
      <c r="A124" s="5"/>
      <c r="D124" s="3"/>
      <c r="E124" s="3"/>
      <c r="F124" s="3"/>
      <c r="G124" s="3"/>
      <c r="H124" s="3"/>
      <c r="I124" s="3"/>
      <c r="J124" s="3"/>
      <c r="K124" s="3"/>
      <c r="L124" s="3"/>
      <c r="M124" s="3"/>
      <c r="N124" s="9"/>
    </row>
    <row r="125" spans="1:14">
      <c r="A125" s="5"/>
      <c r="D125" s="3"/>
      <c r="E125" s="3"/>
      <c r="F125" s="3"/>
      <c r="G125" s="3"/>
      <c r="H125" s="3"/>
      <c r="I125" s="3"/>
      <c r="J125" s="3"/>
      <c r="K125" s="3"/>
      <c r="L125" s="3"/>
      <c r="M125" s="3"/>
      <c r="N125" s="9"/>
    </row>
    <row r="126" spans="1:14">
      <c r="A126" s="5"/>
      <c r="D126" s="3"/>
      <c r="E126" s="3"/>
      <c r="F126" s="3"/>
      <c r="G126" s="3"/>
      <c r="H126" s="3"/>
      <c r="I126" s="3"/>
      <c r="J126" s="3"/>
      <c r="K126" s="3"/>
      <c r="L126" s="3"/>
      <c r="M126" s="3"/>
      <c r="N126" s="9"/>
    </row>
    <row r="127" spans="1:14">
      <c r="A127" s="5"/>
      <c r="D127" s="3"/>
      <c r="E127" s="3"/>
      <c r="F127" s="3"/>
      <c r="G127" s="3"/>
      <c r="H127" s="3"/>
      <c r="I127" s="3"/>
      <c r="J127" s="3"/>
      <c r="K127" s="3"/>
      <c r="L127" s="3"/>
      <c r="M127" s="3"/>
      <c r="N127" s="9"/>
    </row>
    <row r="128" spans="1:14">
      <c r="A128" s="5"/>
      <c r="D128" s="3"/>
      <c r="E128" s="3"/>
      <c r="F128" s="3"/>
      <c r="G128" s="3"/>
      <c r="H128" s="3"/>
      <c r="I128" s="3"/>
      <c r="J128" s="3"/>
      <c r="K128" s="3"/>
      <c r="L128" s="3"/>
      <c r="M128" s="3"/>
      <c r="N128" s="9"/>
    </row>
    <row r="129" spans="1:14">
      <c r="A129" s="5"/>
      <c r="D129" s="3"/>
      <c r="E129" s="3"/>
      <c r="F129" s="3"/>
      <c r="G129" s="3"/>
      <c r="H129" s="3"/>
      <c r="I129" s="3"/>
      <c r="J129" s="3"/>
      <c r="K129" s="3"/>
      <c r="L129" s="3"/>
      <c r="M129" s="3"/>
      <c r="N129" s="9"/>
    </row>
    <row r="130" spans="1:14">
      <c r="A130" s="5"/>
      <c r="D130" s="3"/>
      <c r="E130" s="3"/>
      <c r="F130" s="3"/>
      <c r="G130" s="3"/>
      <c r="H130" s="3"/>
      <c r="I130" s="3"/>
      <c r="J130" s="3"/>
      <c r="K130" s="3"/>
      <c r="L130" s="3"/>
      <c r="M130" s="3"/>
      <c r="N130" s="9"/>
    </row>
    <row r="131" spans="1:14">
      <c r="A131" s="5"/>
      <c r="D131" s="3"/>
      <c r="E131" s="3"/>
      <c r="F131" s="3"/>
      <c r="G131" s="3"/>
      <c r="H131" s="3"/>
      <c r="I131" s="3"/>
      <c r="J131" s="3"/>
      <c r="K131" s="3"/>
      <c r="L131" s="3"/>
      <c r="M131" s="3"/>
      <c r="N131" s="9"/>
    </row>
    <row r="132" spans="1:14">
      <c r="A132" s="5"/>
      <c r="D132" s="3"/>
      <c r="E132" s="3"/>
      <c r="F132" s="3"/>
      <c r="G132" s="3"/>
      <c r="H132" s="3"/>
      <c r="I132" s="3"/>
      <c r="J132" s="3"/>
      <c r="K132" s="3"/>
      <c r="L132" s="3"/>
      <c r="M132" s="3"/>
      <c r="N132" s="9"/>
    </row>
    <row r="133" spans="1:14">
      <c r="A133" s="5"/>
      <c r="D133" s="3"/>
      <c r="E133" s="3"/>
      <c r="F133" s="3"/>
      <c r="G133" s="3"/>
      <c r="H133" s="3"/>
      <c r="I133" s="3"/>
      <c r="J133" s="3"/>
      <c r="K133" s="3"/>
      <c r="L133" s="3"/>
      <c r="M133" s="3"/>
      <c r="N133" s="9"/>
    </row>
    <row r="134" spans="1:14">
      <c r="A134" s="5"/>
      <c r="D134" s="3"/>
      <c r="E134" s="3"/>
      <c r="F134" s="3"/>
      <c r="G134" s="3"/>
      <c r="H134" s="3"/>
      <c r="I134" s="3"/>
      <c r="J134" s="3"/>
      <c r="K134" s="3"/>
      <c r="L134" s="3"/>
      <c r="M134" s="3"/>
      <c r="N134" s="9"/>
    </row>
    <row r="135" spans="1:14">
      <c r="A135" s="5"/>
      <c r="D135" s="3"/>
      <c r="E135" s="3"/>
      <c r="F135" s="3"/>
      <c r="G135" s="3"/>
      <c r="H135" s="3"/>
      <c r="I135" s="3"/>
      <c r="J135" s="3"/>
      <c r="K135" s="3"/>
      <c r="L135" s="3"/>
      <c r="M135" s="3"/>
      <c r="N135" s="9"/>
    </row>
    <row r="136" spans="1:14">
      <c r="A136" s="5"/>
      <c r="D136" s="3"/>
      <c r="E136" s="3"/>
      <c r="F136" s="3"/>
      <c r="G136" s="3"/>
      <c r="H136" s="3"/>
      <c r="I136" s="3"/>
      <c r="J136" s="3"/>
      <c r="K136" s="3"/>
      <c r="L136" s="3"/>
      <c r="M136" s="3"/>
      <c r="N136" s="9"/>
    </row>
    <row r="137" spans="1:14">
      <c r="A137" s="5"/>
      <c r="D137" s="3"/>
      <c r="E137" s="3"/>
      <c r="F137" s="3"/>
      <c r="G137" s="3"/>
      <c r="H137" s="3"/>
      <c r="I137" s="3"/>
      <c r="J137" s="3"/>
      <c r="K137" s="3"/>
      <c r="L137" s="3"/>
      <c r="M137" s="3"/>
      <c r="N137" s="9"/>
    </row>
    <row r="138" spans="1:14">
      <c r="A138" s="5"/>
      <c r="D138" s="3"/>
      <c r="E138" s="3"/>
      <c r="F138" s="3"/>
      <c r="G138" s="3"/>
      <c r="H138" s="3"/>
      <c r="I138" s="3"/>
      <c r="J138" s="3"/>
      <c r="K138" s="3"/>
      <c r="L138" s="3"/>
      <c r="M138" s="3"/>
      <c r="N138" s="9"/>
    </row>
    <row r="139" spans="1:14">
      <c r="A139" s="5"/>
      <c r="D139" s="3"/>
      <c r="E139" s="3"/>
      <c r="F139" s="3"/>
      <c r="G139" s="3"/>
      <c r="H139" s="3"/>
      <c r="I139" s="3"/>
      <c r="J139" s="3"/>
      <c r="K139" s="3"/>
      <c r="L139" s="3"/>
      <c r="M139" s="3"/>
      <c r="N139" s="9"/>
    </row>
    <row r="140" spans="1:14">
      <c r="A140" s="5"/>
      <c r="D140" s="3"/>
      <c r="E140" s="3"/>
      <c r="F140" s="3"/>
      <c r="G140" s="3"/>
      <c r="H140" s="3"/>
      <c r="I140" s="3"/>
      <c r="J140" s="3"/>
      <c r="K140" s="3"/>
      <c r="L140" s="3"/>
      <c r="M140" s="3"/>
      <c r="N140" s="9"/>
    </row>
    <row r="141" spans="1:14">
      <c r="A141" s="5"/>
      <c r="D141" s="3"/>
      <c r="E141" s="3"/>
      <c r="F141" s="3"/>
      <c r="G141" s="3"/>
      <c r="H141" s="3"/>
      <c r="I141" s="3"/>
      <c r="J141" s="3"/>
      <c r="K141" s="3"/>
      <c r="L141" s="3"/>
      <c r="M141" s="3"/>
      <c r="N141" s="9"/>
    </row>
    <row r="142" spans="1:14">
      <c r="A142" s="5"/>
      <c r="D142" s="3"/>
      <c r="E142" s="3"/>
      <c r="F142" s="3"/>
      <c r="G142" s="3"/>
      <c r="H142" s="3"/>
      <c r="I142" s="3"/>
      <c r="J142" s="3"/>
      <c r="K142" s="3"/>
      <c r="L142" s="3"/>
      <c r="M142" s="3"/>
      <c r="N142" s="9"/>
    </row>
    <row r="143" spans="1:14">
      <c r="A143" s="5"/>
      <c r="D143" s="3"/>
      <c r="E143" s="3"/>
      <c r="F143" s="3"/>
      <c r="G143" s="3"/>
      <c r="H143" s="3"/>
      <c r="I143" s="3"/>
      <c r="J143" s="3"/>
      <c r="K143" s="3"/>
      <c r="L143" s="3"/>
      <c r="M143" s="3"/>
      <c r="N143" s="9"/>
    </row>
    <row r="144" spans="1:14">
      <c r="A144" s="5"/>
      <c r="D144" s="3"/>
      <c r="E144" s="3"/>
      <c r="F144" s="3"/>
      <c r="G144" s="3"/>
      <c r="H144" s="3"/>
      <c r="I144" s="3"/>
      <c r="J144" s="3"/>
      <c r="K144" s="3"/>
      <c r="L144" s="3"/>
      <c r="M144" s="3"/>
      <c r="N144" s="9"/>
    </row>
    <row r="145" spans="1:14">
      <c r="A145" s="5"/>
      <c r="D145" s="3"/>
      <c r="E145" s="3"/>
      <c r="F145" s="3"/>
      <c r="G145" s="3"/>
      <c r="H145" s="3"/>
      <c r="I145" s="3"/>
      <c r="J145" s="3"/>
      <c r="K145" s="3"/>
      <c r="L145" s="3"/>
      <c r="M145" s="3"/>
      <c r="N145" s="9"/>
    </row>
    <row r="146" spans="1:14">
      <c r="A146" s="5"/>
      <c r="D146" s="3"/>
      <c r="E146" s="3"/>
      <c r="F146" s="3"/>
      <c r="G146" s="3"/>
      <c r="H146" s="3"/>
      <c r="I146" s="3"/>
      <c r="J146" s="3"/>
      <c r="K146" s="3"/>
      <c r="L146" s="3"/>
      <c r="M146" s="3"/>
      <c r="N146" s="9"/>
    </row>
    <row r="147" spans="1:14">
      <c r="A147" s="5"/>
      <c r="D147" s="3"/>
      <c r="E147" s="3"/>
      <c r="F147" s="3"/>
      <c r="G147" s="3"/>
      <c r="H147" s="3"/>
      <c r="I147" s="3"/>
      <c r="J147" s="3"/>
      <c r="K147" s="3"/>
      <c r="L147" s="3"/>
      <c r="M147" s="3"/>
      <c r="N147" s="9"/>
    </row>
    <row r="148" spans="1:14">
      <c r="A148" s="5"/>
      <c r="D148" s="3"/>
      <c r="E148" s="3"/>
      <c r="F148" s="3"/>
      <c r="G148" s="3"/>
      <c r="H148" s="3"/>
      <c r="I148" s="3"/>
      <c r="J148" s="3"/>
      <c r="K148" s="3"/>
      <c r="L148" s="3"/>
      <c r="M148" s="3"/>
      <c r="N148" s="9"/>
    </row>
    <row r="149" spans="1:14">
      <c r="A149" s="5"/>
      <c r="D149" s="3"/>
      <c r="E149" s="3"/>
      <c r="F149" s="3"/>
      <c r="G149" s="3"/>
      <c r="H149" s="3"/>
      <c r="I149" s="3"/>
      <c r="J149" s="3"/>
      <c r="K149" s="3"/>
      <c r="L149" s="3"/>
      <c r="M149" s="3"/>
      <c r="N149" s="9"/>
    </row>
    <row r="150" spans="1:14">
      <c r="A150" s="5"/>
      <c r="D150" s="3"/>
      <c r="E150" s="3"/>
      <c r="F150" s="3"/>
      <c r="G150" s="3"/>
      <c r="H150" s="3"/>
      <c r="I150" s="3"/>
      <c r="J150" s="3"/>
      <c r="K150" s="3"/>
      <c r="L150" s="3"/>
      <c r="M150" s="3"/>
      <c r="N150" s="9"/>
    </row>
    <row r="151" spans="1:14">
      <c r="A151" s="5"/>
      <c r="D151" s="3"/>
      <c r="E151" s="3"/>
      <c r="F151" s="3"/>
      <c r="G151" s="3"/>
      <c r="H151" s="3"/>
      <c r="I151" s="3"/>
      <c r="J151" s="3"/>
      <c r="K151" s="3"/>
      <c r="L151" s="3"/>
      <c r="M151" s="3"/>
      <c r="N151" s="9"/>
    </row>
    <row r="152" spans="1:14">
      <c r="A152" s="5"/>
      <c r="D152" s="3"/>
      <c r="E152" s="3"/>
      <c r="F152" s="3"/>
      <c r="G152" s="3"/>
      <c r="H152" s="3"/>
      <c r="I152" s="3"/>
      <c r="J152" s="3"/>
      <c r="K152" s="3"/>
      <c r="L152" s="3"/>
      <c r="M152" s="3"/>
      <c r="N152" s="9"/>
    </row>
    <row r="153" spans="1:14">
      <c r="A153" s="5"/>
      <c r="D153" s="3"/>
      <c r="E153" s="3"/>
      <c r="F153" s="3"/>
      <c r="G153" s="3"/>
      <c r="H153" s="3"/>
      <c r="I153" s="3"/>
      <c r="J153" s="3"/>
      <c r="K153" s="3"/>
      <c r="L153" s="3"/>
      <c r="M153" s="3"/>
      <c r="N153" s="9"/>
    </row>
    <row r="154" spans="1:14">
      <c r="A154" s="5"/>
      <c r="D154" s="3"/>
      <c r="E154" s="3"/>
      <c r="F154" s="3"/>
      <c r="G154" s="3"/>
      <c r="H154" s="3"/>
      <c r="I154" s="3"/>
      <c r="J154" s="3"/>
      <c r="K154" s="3"/>
      <c r="L154" s="3"/>
      <c r="M154" s="3"/>
      <c r="N154" s="9"/>
    </row>
    <row r="155" spans="1:14">
      <c r="A155" s="5"/>
      <c r="D155" s="3"/>
      <c r="E155" s="3"/>
      <c r="F155" s="3"/>
      <c r="G155" s="3"/>
      <c r="H155" s="3"/>
      <c r="I155" s="3"/>
      <c r="J155" s="3"/>
      <c r="K155" s="3"/>
      <c r="L155" s="3"/>
      <c r="M155" s="3"/>
      <c r="N155" s="9"/>
    </row>
    <row r="156" spans="1:14">
      <c r="A156" s="5"/>
      <c r="D156" s="3"/>
      <c r="E156" s="3"/>
      <c r="F156" s="3"/>
      <c r="G156" s="3"/>
      <c r="H156" s="3"/>
      <c r="I156" s="3"/>
      <c r="J156" s="3"/>
      <c r="K156" s="3"/>
      <c r="L156" s="3"/>
      <c r="M156" s="3"/>
      <c r="N156" s="9"/>
    </row>
    <row r="157" spans="1:14">
      <c r="A157" s="5"/>
      <c r="D157" s="3"/>
      <c r="E157" s="3"/>
      <c r="F157" s="3"/>
      <c r="G157" s="3"/>
      <c r="H157" s="3"/>
      <c r="I157" s="3"/>
      <c r="J157" s="3"/>
      <c r="K157" s="3"/>
      <c r="L157" s="3"/>
      <c r="M157" s="3"/>
      <c r="N157" s="9"/>
    </row>
    <row r="158" spans="1:14">
      <c r="A158" s="5"/>
      <c r="D158" s="3"/>
      <c r="E158" s="3"/>
      <c r="F158" s="3"/>
      <c r="G158" s="3"/>
      <c r="H158" s="3"/>
      <c r="I158" s="3"/>
      <c r="J158" s="3"/>
      <c r="K158" s="3"/>
      <c r="L158" s="3"/>
      <c r="M158" s="3"/>
      <c r="N158" s="9"/>
    </row>
    <row r="159" spans="1:14">
      <c r="A159" s="5"/>
      <c r="D159" s="3"/>
      <c r="E159" s="3"/>
      <c r="F159" s="3"/>
      <c r="G159" s="3"/>
      <c r="H159" s="3"/>
      <c r="I159" s="3"/>
      <c r="J159" s="3"/>
      <c r="K159" s="3"/>
      <c r="L159" s="3"/>
      <c r="M159" s="3"/>
      <c r="N159" s="9"/>
    </row>
    <row r="160" spans="1:14">
      <c r="A160" s="5"/>
      <c r="D160" s="3"/>
      <c r="E160" s="3"/>
      <c r="F160" s="3"/>
      <c r="G160" s="3"/>
      <c r="H160" s="3"/>
      <c r="I160" s="3"/>
      <c r="J160" s="3"/>
      <c r="K160" s="3"/>
      <c r="L160" s="3"/>
      <c r="M160" s="3"/>
      <c r="N160" s="9"/>
    </row>
    <row r="161" spans="1:14">
      <c r="A161" s="5"/>
      <c r="D161" s="3"/>
      <c r="E161" s="3"/>
      <c r="F161" s="3"/>
      <c r="G161" s="3"/>
      <c r="H161" s="3"/>
      <c r="I161" s="3"/>
      <c r="J161" s="3"/>
      <c r="K161" s="3"/>
      <c r="L161" s="3"/>
      <c r="M161" s="3"/>
      <c r="N161" s="9"/>
    </row>
    <row r="162" spans="1:14">
      <c r="A162" s="5"/>
      <c r="D162" s="3"/>
      <c r="E162" s="3"/>
      <c r="F162" s="3"/>
      <c r="G162" s="3"/>
      <c r="H162" s="3"/>
      <c r="I162" s="3"/>
      <c r="J162" s="3"/>
      <c r="K162" s="3"/>
      <c r="L162" s="3"/>
      <c r="M162" s="3"/>
      <c r="N162" s="9"/>
    </row>
    <row r="163" spans="1:14">
      <c r="A163" s="5"/>
      <c r="D163" s="3"/>
      <c r="E163" s="3"/>
      <c r="F163" s="3"/>
      <c r="G163" s="3"/>
      <c r="H163" s="3"/>
      <c r="I163" s="3"/>
      <c r="J163" s="3"/>
      <c r="K163" s="3"/>
      <c r="L163" s="3"/>
      <c r="M163" s="3"/>
      <c r="N163" s="9"/>
    </row>
    <row r="164" spans="1:14">
      <c r="A164" s="5"/>
      <c r="D164" s="3"/>
      <c r="E164" s="3"/>
      <c r="F164" s="3"/>
      <c r="G164" s="3"/>
      <c r="H164" s="3"/>
      <c r="I164" s="3"/>
      <c r="J164" s="3"/>
      <c r="K164" s="3"/>
      <c r="L164" s="3"/>
      <c r="M164" s="3"/>
      <c r="N164" s="9"/>
    </row>
    <row r="165" spans="1:14">
      <c r="A165" s="5"/>
      <c r="D165" s="3"/>
      <c r="E165" s="3"/>
      <c r="F165" s="3"/>
      <c r="G165" s="3"/>
      <c r="H165" s="3"/>
      <c r="I165" s="3"/>
      <c r="J165" s="3"/>
      <c r="K165" s="3"/>
      <c r="L165" s="3"/>
      <c r="M165" s="3"/>
      <c r="N165" s="9"/>
    </row>
    <row r="166" spans="1:14">
      <c r="A166" s="5"/>
      <c r="D166" s="3"/>
      <c r="E166" s="3"/>
      <c r="F166" s="3"/>
      <c r="G166" s="3"/>
      <c r="H166" s="3"/>
      <c r="I166" s="3"/>
      <c r="J166" s="3"/>
      <c r="K166" s="3"/>
      <c r="L166" s="3"/>
      <c r="M166" s="3"/>
      <c r="N166" s="9"/>
    </row>
    <row r="167" spans="1:14">
      <c r="A167" s="5"/>
      <c r="D167" s="3"/>
      <c r="E167" s="3"/>
      <c r="F167" s="3"/>
      <c r="G167" s="3"/>
      <c r="H167" s="3"/>
      <c r="I167" s="3"/>
      <c r="J167" s="3"/>
      <c r="K167" s="3"/>
      <c r="L167" s="3"/>
      <c r="M167" s="3"/>
      <c r="N167" s="9"/>
    </row>
    <row r="168" spans="1:14">
      <c r="A168" s="5"/>
      <c r="D168" s="3"/>
      <c r="E168" s="3"/>
      <c r="F168" s="3"/>
      <c r="G168" s="3"/>
      <c r="H168" s="3"/>
      <c r="I168" s="3"/>
      <c r="J168" s="3"/>
      <c r="K168" s="3"/>
      <c r="L168" s="3"/>
      <c r="M168" s="3"/>
      <c r="N168" s="9"/>
    </row>
    <row r="169" spans="1:14">
      <c r="A169" s="5"/>
      <c r="D169" s="3"/>
      <c r="E169" s="3"/>
      <c r="F169" s="3"/>
      <c r="G169" s="3"/>
      <c r="H169" s="3"/>
      <c r="I169" s="3"/>
      <c r="J169" s="3"/>
      <c r="K169" s="3"/>
      <c r="L169" s="3"/>
      <c r="M169" s="3"/>
      <c r="N169" s="9"/>
    </row>
    <row r="170" spans="1:14">
      <c r="A170" s="5"/>
      <c r="D170" s="3"/>
      <c r="E170" s="3"/>
      <c r="F170" s="3"/>
      <c r="G170" s="3"/>
      <c r="H170" s="3"/>
      <c r="I170" s="3"/>
      <c r="J170" s="3"/>
      <c r="K170" s="3"/>
      <c r="L170" s="3"/>
      <c r="M170" s="3"/>
      <c r="N170" s="9"/>
    </row>
    <row r="171" spans="1:14">
      <c r="A171" s="5"/>
      <c r="D171" s="3"/>
      <c r="E171" s="3"/>
      <c r="F171" s="3"/>
      <c r="G171" s="3"/>
      <c r="H171" s="3"/>
      <c r="I171" s="3"/>
      <c r="J171" s="3"/>
      <c r="K171" s="3"/>
      <c r="L171" s="3"/>
      <c r="M171" s="3"/>
      <c r="N171" s="9"/>
    </row>
    <row r="172" spans="1:14">
      <c r="A172" s="5"/>
      <c r="D172" s="3"/>
      <c r="E172" s="3"/>
      <c r="F172" s="3"/>
      <c r="G172" s="3"/>
      <c r="H172" s="3"/>
      <c r="I172" s="3"/>
      <c r="J172" s="3"/>
      <c r="K172" s="3"/>
      <c r="L172" s="3"/>
      <c r="M172" s="3"/>
      <c r="N172" s="9"/>
    </row>
    <row r="173" spans="1:14">
      <c r="A173" s="5"/>
      <c r="D173" s="3"/>
      <c r="E173" s="3"/>
      <c r="F173" s="3"/>
      <c r="G173" s="3"/>
      <c r="H173" s="3"/>
      <c r="I173" s="3"/>
      <c r="J173" s="3"/>
      <c r="K173" s="3"/>
      <c r="L173" s="3"/>
      <c r="M173" s="3"/>
      <c r="N173" s="9"/>
    </row>
    <row r="174" spans="1:14">
      <c r="A174" s="5"/>
      <c r="D174" s="3"/>
      <c r="E174" s="3"/>
      <c r="F174" s="3"/>
      <c r="G174" s="3"/>
      <c r="H174" s="3"/>
      <c r="I174" s="3"/>
      <c r="J174" s="3"/>
      <c r="K174" s="3"/>
      <c r="L174" s="3"/>
      <c r="M174" s="3"/>
      <c r="N174" s="9"/>
    </row>
    <row r="175" spans="1:14">
      <c r="A175" s="5"/>
      <c r="D175" s="3"/>
      <c r="E175" s="3"/>
      <c r="F175" s="3"/>
      <c r="G175" s="3"/>
      <c r="H175" s="3"/>
      <c r="I175" s="3"/>
      <c r="J175" s="3"/>
      <c r="K175" s="3"/>
      <c r="L175" s="3"/>
      <c r="M175" s="3"/>
      <c r="N175" s="9"/>
    </row>
    <row r="176" spans="1:14">
      <c r="A176" s="5"/>
      <c r="D176" s="3"/>
      <c r="E176" s="3"/>
      <c r="F176" s="3"/>
      <c r="G176" s="3"/>
      <c r="H176" s="3"/>
      <c r="I176" s="3"/>
      <c r="J176" s="3"/>
      <c r="K176" s="3"/>
      <c r="L176" s="3"/>
      <c r="M176" s="3"/>
      <c r="N176" s="9"/>
    </row>
    <row r="177" spans="1:14">
      <c r="A177" s="5"/>
      <c r="D177" s="3"/>
      <c r="E177" s="3"/>
      <c r="F177" s="3"/>
      <c r="G177" s="3"/>
      <c r="H177" s="3"/>
      <c r="I177" s="3"/>
      <c r="J177" s="3"/>
      <c r="K177" s="3"/>
      <c r="L177" s="3"/>
      <c r="M177" s="3"/>
      <c r="N177" s="9"/>
    </row>
    <row r="178" spans="1:14">
      <c r="A178" s="5"/>
      <c r="D178" s="3"/>
      <c r="E178" s="3"/>
      <c r="F178" s="3"/>
      <c r="G178" s="3"/>
      <c r="H178" s="3"/>
      <c r="I178" s="3"/>
      <c r="J178" s="3"/>
      <c r="K178" s="3"/>
      <c r="L178" s="3"/>
      <c r="M178" s="3"/>
      <c r="N178" s="9"/>
    </row>
    <row r="179" spans="1:14">
      <c r="A179" s="5"/>
      <c r="D179" s="3"/>
      <c r="E179" s="3"/>
      <c r="F179" s="3"/>
      <c r="G179" s="3"/>
      <c r="H179" s="3"/>
      <c r="I179" s="3"/>
      <c r="J179" s="3"/>
      <c r="K179" s="3"/>
      <c r="L179" s="3"/>
      <c r="M179" s="3"/>
      <c r="N179" s="9"/>
    </row>
    <row r="180" spans="1:14">
      <c r="A180" s="5"/>
      <c r="D180" s="3"/>
      <c r="E180" s="3"/>
      <c r="F180" s="3"/>
      <c r="G180" s="3"/>
      <c r="H180" s="3"/>
      <c r="I180" s="3"/>
      <c r="J180" s="3"/>
      <c r="K180" s="3"/>
      <c r="L180" s="3"/>
      <c r="M180" s="3"/>
      <c r="N180" s="9"/>
    </row>
    <row r="181" spans="1:14">
      <c r="A181" s="5"/>
      <c r="D181" s="3"/>
      <c r="E181" s="3"/>
      <c r="F181" s="3"/>
      <c r="G181" s="3"/>
      <c r="H181" s="3"/>
      <c r="I181" s="3"/>
      <c r="J181" s="3"/>
      <c r="K181" s="3"/>
      <c r="L181" s="3"/>
      <c r="M181" s="3"/>
      <c r="N181" s="9"/>
    </row>
    <row r="182" spans="1:14">
      <c r="A182" s="5"/>
      <c r="D182" s="3"/>
      <c r="E182" s="3"/>
      <c r="F182" s="3"/>
      <c r="G182" s="3"/>
      <c r="H182" s="3"/>
      <c r="I182" s="3"/>
      <c r="J182" s="3"/>
      <c r="K182" s="3"/>
      <c r="L182" s="3"/>
      <c r="M182" s="3"/>
      <c r="N182" s="9"/>
    </row>
    <row r="183" spans="1:14">
      <c r="A183" s="5"/>
      <c r="D183" s="3"/>
      <c r="E183" s="3"/>
      <c r="F183" s="3"/>
      <c r="G183" s="3"/>
      <c r="H183" s="3"/>
      <c r="I183" s="3"/>
      <c r="J183" s="3"/>
      <c r="K183" s="3"/>
      <c r="L183" s="3"/>
      <c r="M183" s="3"/>
      <c r="N183" s="9"/>
    </row>
    <row r="184" spans="1:14">
      <c r="A184" s="5"/>
      <c r="D184" s="3"/>
      <c r="E184" s="3"/>
      <c r="F184" s="3"/>
      <c r="G184" s="3"/>
      <c r="H184" s="3"/>
      <c r="I184" s="3"/>
      <c r="J184" s="3"/>
      <c r="K184" s="3"/>
      <c r="L184" s="3"/>
      <c r="M184" s="3"/>
      <c r="N184" s="9"/>
    </row>
    <row r="185" spans="1:14">
      <c r="A185" s="5"/>
      <c r="D185" s="3"/>
      <c r="E185" s="3"/>
      <c r="F185" s="3"/>
      <c r="G185" s="3"/>
      <c r="H185" s="3"/>
      <c r="I185" s="3"/>
      <c r="J185" s="3"/>
      <c r="K185" s="3"/>
      <c r="L185" s="3"/>
      <c r="M185" s="3"/>
      <c r="N185" s="9"/>
    </row>
    <row r="186" spans="1:14">
      <c r="A186" s="5"/>
      <c r="D186" s="3"/>
      <c r="E186" s="3"/>
      <c r="F186" s="3"/>
      <c r="G186" s="3"/>
      <c r="H186" s="3"/>
      <c r="I186" s="3"/>
      <c r="J186" s="3"/>
      <c r="K186" s="3"/>
      <c r="L186" s="3"/>
      <c r="M186" s="3"/>
      <c r="N186" s="9"/>
    </row>
    <row r="187" spans="1:14">
      <c r="A187" s="5"/>
      <c r="D187" s="3"/>
      <c r="E187" s="3"/>
      <c r="F187" s="3"/>
      <c r="G187" s="3"/>
      <c r="H187" s="3"/>
      <c r="I187" s="3"/>
      <c r="J187" s="3"/>
      <c r="K187" s="3"/>
      <c r="L187" s="3"/>
      <c r="M187" s="3"/>
      <c r="N187" s="9"/>
    </row>
    <row r="188" spans="1:14">
      <c r="A188" s="5"/>
      <c r="D188" s="3"/>
      <c r="E188" s="3"/>
      <c r="F188" s="3"/>
      <c r="G188" s="3"/>
      <c r="H188" s="3"/>
      <c r="I188" s="3"/>
      <c r="J188" s="3"/>
      <c r="K188" s="3"/>
      <c r="L188" s="3"/>
      <c r="M188" s="3"/>
      <c r="N188" s="9"/>
    </row>
    <row r="189" spans="1:14">
      <c r="A189" s="5"/>
      <c r="D189" s="3"/>
      <c r="E189" s="3"/>
      <c r="F189" s="3"/>
      <c r="G189" s="3"/>
      <c r="H189" s="3"/>
      <c r="I189" s="3"/>
      <c r="J189" s="3"/>
      <c r="K189" s="3"/>
      <c r="L189" s="3"/>
      <c r="M189" s="3"/>
      <c r="N189" s="9"/>
    </row>
    <row r="190" spans="1:14">
      <c r="A190" s="5"/>
      <c r="D190" s="3"/>
      <c r="E190" s="3"/>
      <c r="F190" s="3"/>
      <c r="G190" s="3"/>
      <c r="H190" s="3"/>
      <c r="I190" s="3"/>
      <c r="J190" s="3"/>
      <c r="K190" s="3"/>
      <c r="L190" s="3"/>
      <c r="M190" s="3"/>
      <c r="N190" s="9"/>
    </row>
    <row r="191" spans="1:14">
      <c r="A191" s="5"/>
      <c r="D191" s="3"/>
      <c r="E191" s="3"/>
      <c r="F191" s="3"/>
      <c r="G191" s="3"/>
      <c r="H191" s="3"/>
      <c r="I191" s="3"/>
      <c r="J191" s="3"/>
      <c r="K191" s="3"/>
      <c r="L191" s="3"/>
      <c r="M191" s="3"/>
      <c r="N191" s="9"/>
    </row>
    <row r="192" spans="1:14">
      <c r="A192" s="5"/>
      <c r="D192" s="3"/>
      <c r="E192" s="3"/>
      <c r="F192" s="3"/>
      <c r="G192" s="3"/>
      <c r="H192" s="3"/>
      <c r="I192" s="3"/>
      <c r="J192" s="3"/>
      <c r="K192" s="3"/>
      <c r="L192" s="3"/>
      <c r="M192" s="3"/>
      <c r="N192" s="9"/>
    </row>
    <row r="193" spans="1:14">
      <c r="A193" s="5"/>
      <c r="D193" s="3"/>
      <c r="E193" s="3"/>
      <c r="F193" s="3"/>
      <c r="G193" s="3"/>
      <c r="H193" s="3"/>
      <c r="I193" s="3"/>
      <c r="J193" s="3"/>
      <c r="K193" s="3"/>
      <c r="L193" s="3"/>
      <c r="M193" s="3"/>
      <c r="N193" s="9"/>
    </row>
    <row r="194" spans="1:14">
      <c r="A194" s="5"/>
      <c r="D194" s="3"/>
      <c r="E194" s="3"/>
      <c r="F194" s="3"/>
      <c r="G194" s="3"/>
      <c r="H194" s="3"/>
      <c r="I194" s="3"/>
      <c r="J194" s="3"/>
      <c r="K194" s="3"/>
      <c r="L194" s="3"/>
      <c r="M194" s="3"/>
      <c r="N194" s="9"/>
    </row>
    <row r="195" spans="1:14">
      <c r="A195" s="5"/>
      <c r="D195" s="3"/>
      <c r="E195" s="3"/>
      <c r="F195" s="3"/>
      <c r="G195" s="3"/>
      <c r="H195" s="3"/>
      <c r="I195" s="3"/>
      <c r="J195" s="3"/>
      <c r="K195" s="3"/>
      <c r="L195" s="3"/>
      <c r="M195" s="3"/>
      <c r="N195" s="9"/>
    </row>
    <row r="196" spans="1:14">
      <c r="A196" s="5"/>
      <c r="D196" s="3"/>
      <c r="E196" s="3"/>
      <c r="F196" s="3"/>
      <c r="G196" s="3"/>
      <c r="H196" s="3"/>
      <c r="I196" s="3"/>
      <c r="J196" s="3"/>
      <c r="K196" s="3"/>
      <c r="L196" s="3"/>
      <c r="M196" s="3"/>
      <c r="N196" s="9"/>
    </row>
    <row r="197" spans="1:14">
      <c r="A197" s="5"/>
      <c r="D197" s="3"/>
      <c r="E197" s="3"/>
      <c r="F197" s="3"/>
      <c r="G197" s="3"/>
      <c r="H197" s="3"/>
      <c r="I197" s="3"/>
      <c r="J197" s="3"/>
      <c r="K197" s="3"/>
      <c r="L197" s="3"/>
      <c r="M197" s="3"/>
      <c r="N197" s="9"/>
    </row>
    <row r="198" spans="1:14">
      <c r="A198" s="5"/>
      <c r="D198" s="3"/>
      <c r="E198" s="3"/>
      <c r="F198" s="3"/>
      <c r="G198" s="3"/>
      <c r="H198" s="3"/>
      <c r="I198" s="3"/>
      <c r="J198" s="3"/>
      <c r="K198" s="3"/>
      <c r="L198" s="3"/>
      <c r="M198" s="3"/>
      <c r="N198" s="9"/>
    </row>
    <row r="199" spans="1:14">
      <c r="A199" s="5"/>
      <c r="D199" s="3"/>
      <c r="E199" s="3"/>
      <c r="F199" s="3"/>
      <c r="G199" s="3"/>
      <c r="H199" s="3"/>
      <c r="I199" s="3"/>
      <c r="J199" s="3"/>
      <c r="K199" s="3"/>
      <c r="L199" s="3"/>
      <c r="M199" s="3"/>
      <c r="N199" s="9"/>
    </row>
    <row r="200" spans="1:14">
      <c r="A200" s="5"/>
      <c r="D200" s="3"/>
      <c r="E200" s="3"/>
      <c r="F200" s="3"/>
      <c r="G200" s="3"/>
      <c r="H200" s="3"/>
      <c r="I200" s="3"/>
      <c r="J200" s="3"/>
      <c r="K200" s="3"/>
      <c r="L200" s="3"/>
      <c r="M200" s="3"/>
      <c r="N200" s="9"/>
    </row>
    <row r="201" spans="1:14">
      <c r="A201" s="5"/>
      <c r="D201" s="3"/>
      <c r="E201" s="3"/>
      <c r="F201" s="3"/>
      <c r="G201" s="3"/>
      <c r="H201" s="3"/>
      <c r="I201" s="3"/>
      <c r="J201" s="3"/>
      <c r="K201" s="3"/>
      <c r="L201" s="3"/>
      <c r="M201" s="3"/>
      <c r="N201" s="9"/>
    </row>
    <row r="202" spans="1:14">
      <c r="A202" s="5"/>
      <c r="D202" s="3"/>
      <c r="E202" s="3"/>
      <c r="F202" s="3"/>
      <c r="G202" s="3"/>
      <c r="H202" s="3"/>
      <c r="I202" s="3"/>
      <c r="J202" s="3"/>
      <c r="K202" s="3"/>
      <c r="L202" s="3"/>
      <c r="M202" s="3"/>
      <c r="N202" s="9"/>
    </row>
    <row r="203" spans="1:14">
      <c r="A203" s="5"/>
      <c r="D203" s="3"/>
      <c r="E203" s="3"/>
      <c r="F203" s="3"/>
      <c r="G203" s="3"/>
      <c r="H203" s="3"/>
      <c r="I203" s="3"/>
      <c r="J203" s="3"/>
      <c r="K203" s="3"/>
      <c r="L203" s="3"/>
      <c r="M203" s="3"/>
      <c r="N203" s="9"/>
    </row>
    <row r="204" spans="1:14">
      <c r="A204" s="5"/>
      <c r="D204" s="3"/>
      <c r="E204" s="3"/>
      <c r="F204" s="3"/>
      <c r="G204" s="3"/>
      <c r="H204" s="3"/>
      <c r="I204" s="3"/>
      <c r="J204" s="3"/>
      <c r="K204" s="3"/>
      <c r="L204" s="3"/>
      <c r="M204" s="3"/>
      <c r="N204" s="9"/>
    </row>
    <row r="205" spans="1:14">
      <c r="A205" s="5"/>
      <c r="D205" s="3"/>
      <c r="E205" s="3"/>
      <c r="F205" s="3"/>
      <c r="G205" s="3"/>
      <c r="H205" s="3"/>
      <c r="I205" s="3"/>
      <c r="J205" s="3"/>
      <c r="K205" s="3"/>
      <c r="L205" s="3"/>
      <c r="M205" s="3"/>
      <c r="N205" s="9"/>
    </row>
    <row r="206" spans="1:14">
      <c r="A206" s="5"/>
      <c r="D206" s="3"/>
      <c r="E206" s="3"/>
      <c r="F206" s="3"/>
      <c r="G206" s="3"/>
      <c r="H206" s="3"/>
      <c r="I206" s="3"/>
      <c r="J206" s="3"/>
      <c r="K206" s="3"/>
      <c r="L206" s="3"/>
      <c r="M206" s="3"/>
      <c r="N206" s="9"/>
    </row>
    <row r="207" spans="1:14">
      <c r="A207" s="5"/>
      <c r="D207" s="3"/>
      <c r="E207" s="3"/>
      <c r="F207" s="3"/>
      <c r="G207" s="3"/>
      <c r="H207" s="3"/>
      <c r="I207" s="3"/>
      <c r="J207" s="3"/>
      <c r="K207" s="3"/>
      <c r="L207" s="3"/>
      <c r="M207" s="3"/>
      <c r="N207" s="9"/>
    </row>
    <row r="208" spans="1:14">
      <c r="A208" s="5"/>
      <c r="D208" s="3"/>
      <c r="E208" s="3"/>
      <c r="F208" s="3"/>
      <c r="G208" s="3"/>
      <c r="H208" s="3"/>
      <c r="I208" s="3"/>
      <c r="J208" s="3"/>
      <c r="K208" s="3"/>
      <c r="L208" s="3"/>
      <c r="M208" s="3"/>
      <c r="N208" s="9"/>
    </row>
    <row r="209" spans="1:14">
      <c r="A209" s="5"/>
      <c r="D209" s="3"/>
      <c r="E209" s="3"/>
      <c r="F209" s="3"/>
      <c r="G209" s="3"/>
      <c r="H209" s="3"/>
      <c r="I209" s="3"/>
      <c r="J209" s="3"/>
      <c r="K209" s="3"/>
      <c r="L209" s="3"/>
      <c r="M209" s="3"/>
      <c r="N209" s="9"/>
    </row>
    <row r="210" spans="1:14">
      <c r="A210" s="5"/>
      <c r="D210" s="3"/>
      <c r="E210" s="3"/>
      <c r="F210" s="3"/>
      <c r="G210" s="3"/>
      <c r="H210" s="3"/>
      <c r="I210" s="3"/>
      <c r="J210" s="3"/>
      <c r="K210" s="3"/>
      <c r="L210" s="3"/>
      <c r="M210" s="3"/>
      <c r="N210" s="9"/>
    </row>
    <row r="211" spans="1:14">
      <c r="A211" s="5"/>
      <c r="D211" s="3"/>
      <c r="E211" s="3"/>
      <c r="F211" s="3"/>
      <c r="G211" s="3"/>
      <c r="H211" s="3"/>
      <c r="I211" s="3"/>
      <c r="J211" s="3"/>
      <c r="K211" s="3"/>
      <c r="L211" s="3"/>
      <c r="M211" s="3"/>
      <c r="N211" s="9"/>
    </row>
    <row r="212" spans="1:14">
      <c r="A212" s="5"/>
      <c r="D212" s="3"/>
      <c r="E212" s="3"/>
      <c r="F212" s="3"/>
      <c r="G212" s="3"/>
      <c r="H212" s="3"/>
      <c r="I212" s="3"/>
      <c r="J212" s="3"/>
      <c r="K212" s="3"/>
      <c r="L212" s="3"/>
      <c r="M212" s="3"/>
      <c r="N212" s="9"/>
    </row>
    <row r="213" spans="1:14">
      <c r="A213" s="5"/>
      <c r="D213" s="3"/>
      <c r="E213" s="3"/>
      <c r="F213" s="3"/>
      <c r="G213" s="3"/>
      <c r="H213" s="3"/>
      <c r="I213" s="3"/>
      <c r="J213" s="3"/>
      <c r="K213" s="3"/>
      <c r="L213" s="3"/>
      <c r="M213" s="3"/>
      <c r="N213" s="9"/>
    </row>
    <row r="214" spans="1:14">
      <c r="A214" s="5"/>
      <c r="D214" s="3"/>
      <c r="E214" s="3"/>
      <c r="F214" s="3"/>
      <c r="G214" s="3"/>
      <c r="H214" s="3"/>
      <c r="I214" s="3"/>
      <c r="J214" s="3"/>
      <c r="K214" s="3"/>
      <c r="L214" s="3"/>
      <c r="M214" s="3"/>
      <c r="N214" s="9"/>
    </row>
    <row r="215" spans="1:14">
      <c r="A215" s="5"/>
      <c r="D215" s="3"/>
      <c r="E215" s="3"/>
      <c r="F215" s="3"/>
      <c r="G215" s="3"/>
      <c r="H215" s="3"/>
      <c r="I215" s="3"/>
      <c r="J215" s="3"/>
      <c r="K215" s="3"/>
      <c r="L215" s="3"/>
      <c r="M215" s="3"/>
      <c r="N215" s="9"/>
    </row>
    <row r="216" spans="1:14">
      <c r="A216" s="5"/>
      <c r="D216" s="3"/>
      <c r="E216" s="3"/>
      <c r="F216" s="3"/>
      <c r="G216" s="3"/>
      <c r="H216" s="3"/>
      <c r="I216" s="3"/>
      <c r="J216" s="3"/>
      <c r="K216" s="3"/>
      <c r="L216" s="3"/>
      <c r="M216" s="3"/>
      <c r="N216" s="9"/>
    </row>
    <row r="217" spans="1:14">
      <c r="A217" s="5"/>
      <c r="D217" s="3"/>
      <c r="E217" s="3"/>
      <c r="F217" s="3"/>
      <c r="G217" s="3"/>
      <c r="H217" s="3"/>
      <c r="I217" s="3"/>
      <c r="J217" s="3"/>
      <c r="K217" s="3"/>
      <c r="L217" s="3"/>
      <c r="M217" s="3"/>
      <c r="N217" s="9"/>
    </row>
    <row r="218" spans="1:14">
      <c r="A218" s="5"/>
      <c r="D218" s="3"/>
      <c r="E218" s="3"/>
      <c r="F218" s="3"/>
      <c r="G218" s="3"/>
      <c r="H218" s="3"/>
      <c r="I218" s="3"/>
      <c r="J218" s="3"/>
      <c r="K218" s="3"/>
      <c r="L218" s="3"/>
      <c r="M218" s="3"/>
      <c r="N218" s="9"/>
    </row>
    <row r="219" spans="1:14">
      <c r="A219" s="5"/>
      <c r="D219" s="3"/>
      <c r="E219" s="3"/>
      <c r="F219" s="3"/>
      <c r="G219" s="3"/>
      <c r="H219" s="3"/>
      <c r="I219" s="3"/>
      <c r="J219" s="3"/>
      <c r="K219" s="3"/>
      <c r="L219" s="3"/>
      <c r="M219" s="3"/>
      <c r="N219" s="9"/>
    </row>
    <row r="220" spans="1:14">
      <c r="A220" s="5"/>
      <c r="D220" s="3"/>
      <c r="E220" s="3"/>
      <c r="F220" s="3"/>
      <c r="G220" s="3"/>
      <c r="H220" s="3"/>
      <c r="I220" s="3"/>
      <c r="J220" s="3"/>
      <c r="K220" s="3"/>
      <c r="L220" s="3"/>
      <c r="M220" s="3"/>
      <c r="N220" s="9"/>
    </row>
    <row r="221" spans="1:14">
      <c r="A221" s="5"/>
      <c r="D221" s="3"/>
      <c r="E221" s="3"/>
      <c r="F221" s="3"/>
      <c r="G221" s="3"/>
      <c r="H221" s="3"/>
      <c r="I221" s="3"/>
      <c r="J221" s="3"/>
      <c r="K221" s="3"/>
      <c r="L221" s="3"/>
      <c r="M221" s="3"/>
      <c r="N221" s="9"/>
    </row>
    <row r="222" spans="1:14">
      <c r="A222" s="5"/>
      <c r="D222" s="3"/>
      <c r="E222" s="3"/>
      <c r="F222" s="3"/>
      <c r="G222" s="3"/>
      <c r="H222" s="3"/>
      <c r="I222" s="3"/>
      <c r="J222" s="3"/>
      <c r="K222" s="3"/>
      <c r="L222" s="3"/>
      <c r="M222" s="3"/>
      <c r="N222" s="9"/>
    </row>
    <row r="223" spans="1:14">
      <c r="A223" s="5"/>
      <c r="D223" s="3"/>
      <c r="E223" s="3"/>
      <c r="F223" s="3"/>
      <c r="G223" s="3"/>
      <c r="H223" s="3"/>
      <c r="I223" s="3"/>
      <c r="J223" s="3"/>
      <c r="K223" s="3"/>
      <c r="L223" s="3"/>
      <c r="M223" s="3"/>
      <c r="N223" s="9"/>
    </row>
    <row r="224" spans="1:14">
      <c r="A224" s="5"/>
      <c r="D224" s="3"/>
      <c r="E224" s="3"/>
      <c r="F224" s="3"/>
      <c r="G224" s="3"/>
      <c r="H224" s="3"/>
      <c r="I224" s="3"/>
      <c r="J224" s="3"/>
      <c r="K224" s="3"/>
      <c r="L224" s="3"/>
      <c r="M224" s="3"/>
      <c r="N224" s="9"/>
    </row>
    <row r="225" spans="1:14">
      <c r="A225" s="5"/>
      <c r="D225" s="3"/>
      <c r="E225" s="3"/>
      <c r="F225" s="3"/>
      <c r="G225" s="3"/>
      <c r="H225" s="3"/>
      <c r="I225" s="3"/>
      <c r="J225" s="3"/>
      <c r="K225" s="3"/>
      <c r="L225" s="3"/>
      <c r="M225" s="3"/>
      <c r="N225" s="9"/>
    </row>
    <row r="226" spans="1:14">
      <c r="A226" s="5"/>
      <c r="D226" s="3"/>
      <c r="E226" s="3"/>
      <c r="F226" s="3"/>
      <c r="G226" s="3"/>
      <c r="H226" s="3"/>
      <c r="I226" s="3"/>
      <c r="J226" s="3"/>
      <c r="K226" s="3"/>
      <c r="L226" s="3"/>
      <c r="M226" s="3"/>
      <c r="N226" s="9"/>
    </row>
    <row r="227" spans="1:14">
      <c r="A227" s="5"/>
      <c r="D227" s="3"/>
      <c r="E227" s="3"/>
      <c r="F227" s="3"/>
      <c r="G227" s="3"/>
      <c r="H227" s="3"/>
      <c r="I227" s="3"/>
      <c r="J227" s="3"/>
      <c r="K227" s="3"/>
      <c r="L227" s="3"/>
      <c r="M227" s="3"/>
      <c r="N227" s="9"/>
    </row>
    <row r="228" spans="1:14">
      <c r="A228" s="5"/>
      <c r="D228" s="3"/>
      <c r="E228" s="3"/>
      <c r="F228" s="3"/>
      <c r="G228" s="3"/>
      <c r="H228" s="3"/>
      <c r="I228" s="3"/>
      <c r="J228" s="3"/>
      <c r="K228" s="3"/>
      <c r="L228" s="3"/>
      <c r="M228" s="3"/>
      <c r="N228" s="9"/>
    </row>
    <row r="229" spans="1:14">
      <c r="A229" s="5"/>
      <c r="D229" s="3"/>
      <c r="E229" s="3"/>
      <c r="F229" s="3"/>
      <c r="G229" s="3"/>
      <c r="H229" s="3"/>
      <c r="I229" s="3"/>
      <c r="J229" s="3"/>
      <c r="K229" s="3"/>
      <c r="L229" s="3"/>
      <c r="M229" s="3"/>
      <c r="N229" s="9"/>
    </row>
    <row r="230" spans="1:14">
      <c r="A230" s="5"/>
      <c r="D230" s="3"/>
      <c r="E230" s="3"/>
      <c r="F230" s="3"/>
      <c r="G230" s="3"/>
      <c r="H230" s="3"/>
      <c r="I230" s="3"/>
      <c r="J230" s="3"/>
      <c r="K230" s="3"/>
      <c r="L230" s="3"/>
      <c r="M230" s="3"/>
      <c r="N230" s="9"/>
    </row>
    <row r="231" spans="1:14">
      <c r="A231" s="5"/>
      <c r="D231" s="3"/>
      <c r="E231" s="3"/>
      <c r="F231" s="3"/>
      <c r="G231" s="3"/>
      <c r="H231" s="3"/>
      <c r="I231" s="3"/>
      <c r="J231" s="3"/>
      <c r="K231" s="3"/>
      <c r="L231" s="3"/>
      <c r="M231" s="3"/>
      <c r="N231" s="9"/>
    </row>
    <row r="232" spans="1:14">
      <c r="A232" s="5"/>
      <c r="D232" s="3"/>
      <c r="E232" s="3"/>
      <c r="F232" s="3"/>
      <c r="G232" s="3"/>
      <c r="H232" s="3"/>
      <c r="I232" s="3"/>
      <c r="J232" s="3"/>
      <c r="K232" s="3"/>
      <c r="L232" s="3"/>
      <c r="M232" s="3"/>
      <c r="N232" s="9"/>
    </row>
    <row r="233" spans="1:14">
      <c r="A233" s="5"/>
      <c r="D233" s="3"/>
      <c r="E233" s="3"/>
      <c r="F233" s="3"/>
      <c r="G233" s="3"/>
      <c r="H233" s="3"/>
      <c r="I233" s="3"/>
      <c r="J233" s="3"/>
      <c r="K233" s="3"/>
      <c r="L233" s="3"/>
      <c r="M233" s="3"/>
      <c r="N233" s="9"/>
    </row>
    <row r="234" spans="1:14">
      <c r="A234" s="5"/>
      <c r="D234" s="3"/>
      <c r="E234" s="3"/>
      <c r="F234" s="3"/>
      <c r="G234" s="3"/>
      <c r="H234" s="3"/>
      <c r="I234" s="3"/>
      <c r="J234" s="3"/>
      <c r="K234" s="3"/>
      <c r="L234" s="3"/>
      <c r="M234" s="3"/>
      <c r="N234" s="9"/>
    </row>
    <row r="235" spans="1:14">
      <c r="A235" s="5"/>
      <c r="D235" s="3"/>
      <c r="E235" s="3"/>
      <c r="F235" s="3"/>
      <c r="G235" s="3"/>
      <c r="H235" s="3"/>
      <c r="I235" s="3"/>
      <c r="J235" s="3"/>
      <c r="K235" s="3"/>
      <c r="L235" s="3"/>
      <c r="M235" s="3"/>
      <c r="N235" s="9"/>
    </row>
    <row r="236" spans="1:14">
      <c r="A236" s="5"/>
      <c r="D236" s="3"/>
      <c r="E236" s="3"/>
      <c r="F236" s="3"/>
      <c r="G236" s="3"/>
      <c r="H236" s="3"/>
      <c r="I236" s="3"/>
      <c r="J236" s="3"/>
      <c r="K236" s="3"/>
      <c r="L236" s="3"/>
      <c r="M236" s="3"/>
      <c r="N236" s="9"/>
    </row>
    <row r="237" spans="1:14">
      <c r="A237" s="5"/>
      <c r="D237" s="3"/>
      <c r="E237" s="3"/>
      <c r="F237" s="3"/>
      <c r="G237" s="3"/>
      <c r="H237" s="3"/>
      <c r="I237" s="3"/>
      <c r="J237" s="3"/>
      <c r="K237" s="3"/>
      <c r="L237" s="3"/>
      <c r="M237" s="3"/>
      <c r="N237" s="9"/>
    </row>
    <row r="238" spans="1:14">
      <c r="A238" s="5"/>
      <c r="D238" s="3"/>
      <c r="E238" s="3"/>
      <c r="F238" s="3"/>
      <c r="G238" s="3"/>
      <c r="H238" s="3"/>
      <c r="I238" s="3"/>
      <c r="J238" s="3"/>
      <c r="K238" s="3"/>
      <c r="L238" s="3"/>
      <c r="M238" s="3"/>
      <c r="N238" s="9"/>
    </row>
    <row r="239" spans="1:14">
      <c r="A239" s="5"/>
      <c r="D239" s="3"/>
      <c r="E239" s="3"/>
      <c r="F239" s="3"/>
      <c r="G239" s="3"/>
      <c r="H239" s="3"/>
      <c r="I239" s="3"/>
      <c r="J239" s="3"/>
      <c r="K239" s="3"/>
      <c r="L239" s="3"/>
      <c r="M239" s="3"/>
      <c r="N239" s="9"/>
    </row>
    <row r="240" spans="1:14">
      <c r="A240" s="5"/>
      <c r="D240" s="3"/>
      <c r="E240" s="3"/>
      <c r="F240" s="3"/>
      <c r="G240" s="3"/>
      <c r="H240" s="3"/>
      <c r="I240" s="3"/>
      <c r="J240" s="3"/>
      <c r="K240" s="3"/>
      <c r="L240" s="3"/>
      <c r="M240" s="3"/>
      <c r="N240" s="9"/>
    </row>
    <row r="241" spans="1:14">
      <c r="A241" s="5"/>
      <c r="D241" s="3"/>
      <c r="E241" s="3"/>
      <c r="F241" s="3"/>
      <c r="G241" s="3"/>
      <c r="H241" s="3"/>
      <c r="I241" s="3"/>
      <c r="J241" s="3"/>
      <c r="K241" s="3"/>
      <c r="L241" s="3"/>
      <c r="M241" s="3"/>
      <c r="N241" s="9"/>
    </row>
    <row r="242" spans="1:14">
      <c r="A242" s="5"/>
      <c r="D242" s="3"/>
      <c r="E242" s="3"/>
      <c r="F242" s="3"/>
      <c r="G242" s="3"/>
      <c r="H242" s="3"/>
      <c r="I242" s="3"/>
      <c r="J242" s="3"/>
      <c r="K242" s="3"/>
      <c r="L242" s="3"/>
      <c r="M242" s="3"/>
      <c r="N242" s="9"/>
    </row>
    <row r="243" spans="1:14">
      <c r="A243" s="5"/>
      <c r="D243" s="3"/>
      <c r="E243" s="3"/>
      <c r="F243" s="3"/>
      <c r="G243" s="3"/>
      <c r="H243" s="3"/>
      <c r="I243" s="3"/>
      <c r="J243" s="3"/>
      <c r="K243" s="3"/>
      <c r="L243" s="3"/>
      <c r="M243" s="3"/>
      <c r="N243" s="9"/>
    </row>
    <row r="244" spans="1:14">
      <c r="A244" s="5"/>
      <c r="D244" s="3"/>
      <c r="E244" s="3"/>
      <c r="F244" s="3"/>
      <c r="G244" s="3"/>
      <c r="H244" s="3"/>
      <c r="I244" s="3"/>
      <c r="J244" s="3"/>
      <c r="K244" s="3"/>
      <c r="L244" s="3"/>
      <c r="M244" s="3"/>
      <c r="N244" s="9"/>
    </row>
    <row r="245" spans="1:14">
      <c r="A245" s="5"/>
      <c r="D245" s="3"/>
      <c r="E245" s="3"/>
      <c r="F245" s="3"/>
      <c r="G245" s="3"/>
      <c r="H245" s="3"/>
      <c r="I245" s="3"/>
      <c r="J245" s="3"/>
      <c r="K245" s="3"/>
      <c r="L245" s="3"/>
      <c r="M245" s="3"/>
      <c r="N245" s="9"/>
    </row>
    <row r="246" spans="1:14">
      <c r="A246" s="5"/>
      <c r="D246" s="3"/>
      <c r="E246" s="3"/>
      <c r="F246" s="3"/>
      <c r="G246" s="3"/>
      <c r="H246" s="3"/>
      <c r="I246" s="3"/>
      <c r="J246" s="3"/>
      <c r="K246" s="3"/>
      <c r="L246" s="3"/>
      <c r="M246" s="3"/>
      <c r="N246" s="9"/>
    </row>
    <row r="247" spans="1:14">
      <c r="A247" s="5"/>
      <c r="D247" s="3"/>
      <c r="E247" s="3"/>
      <c r="F247" s="3"/>
      <c r="G247" s="3"/>
      <c r="H247" s="3"/>
      <c r="I247" s="3"/>
      <c r="J247" s="3"/>
      <c r="K247" s="3"/>
      <c r="L247" s="3"/>
      <c r="M247" s="3"/>
      <c r="N247" s="9"/>
    </row>
    <row r="248" spans="1:14">
      <c r="A248" s="5"/>
      <c r="D248" s="3"/>
      <c r="E248" s="3"/>
      <c r="F248" s="3"/>
      <c r="G248" s="3"/>
      <c r="H248" s="3"/>
      <c r="I248" s="3"/>
      <c r="J248" s="3"/>
      <c r="K248" s="3"/>
      <c r="L248" s="3"/>
      <c r="M248" s="3"/>
      <c r="N248" s="9"/>
    </row>
    <row r="249" spans="1:14">
      <c r="A249" s="5"/>
      <c r="D249" s="3"/>
      <c r="E249" s="3"/>
      <c r="F249" s="3"/>
      <c r="G249" s="3"/>
      <c r="H249" s="3"/>
      <c r="I249" s="3"/>
      <c r="J249" s="3"/>
      <c r="K249" s="3"/>
      <c r="L249" s="3"/>
      <c r="M249" s="3"/>
      <c r="N249" s="9"/>
    </row>
    <row r="250" spans="1:14">
      <c r="A250" s="5"/>
      <c r="D250" s="3"/>
      <c r="E250" s="3"/>
      <c r="F250" s="3"/>
      <c r="G250" s="3"/>
      <c r="H250" s="3"/>
      <c r="I250" s="3"/>
      <c r="J250" s="3"/>
      <c r="K250" s="3"/>
      <c r="L250" s="3"/>
      <c r="M250" s="3"/>
      <c r="N250" s="9"/>
    </row>
    <row r="251" spans="1:14">
      <c r="A251" s="5"/>
      <c r="D251" s="3"/>
      <c r="E251" s="3"/>
      <c r="F251" s="3"/>
      <c r="G251" s="3"/>
      <c r="H251" s="3"/>
      <c r="I251" s="3"/>
      <c r="J251" s="3"/>
      <c r="K251" s="3"/>
      <c r="L251" s="3"/>
      <c r="M251" s="3"/>
      <c r="N251" s="9"/>
    </row>
    <row r="252" spans="1:14">
      <c r="A252" s="5"/>
      <c r="D252" s="3"/>
      <c r="E252" s="3"/>
      <c r="F252" s="3"/>
      <c r="G252" s="3"/>
      <c r="H252" s="3"/>
      <c r="I252" s="3"/>
      <c r="J252" s="3"/>
      <c r="K252" s="3"/>
      <c r="L252" s="3"/>
      <c r="M252" s="3"/>
      <c r="N252" s="9"/>
    </row>
    <row r="253" spans="1:14">
      <c r="A253" s="5"/>
      <c r="D253" s="3"/>
      <c r="E253" s="3"/>
      <c r="F253" s="3"/>
      <c r="G253" s="3"/>
      <c r="H253" s="3"/>
      <c r="I253" s="3"/>
      <c r="J253" s="3"/>
      <c r="K253" s="3"/>
      <c r="L253" s="3"/>
      <c r="M253" s="3"/>
      <c r="N253" s="9"/>
    </row>
    <row r="254" spans="1:14">
      <c r="A254" s="5"/>
      <c r="D254" s="3"/>
      <c r="E254" s="3"/>
      <c r="F254" s="3"/>
      <c r="G254" s="3"/>
      <c r="H254" s="3"/>
      <c r="I254" s="3"/>
      <c r="J254" s="3"/>
      <c r="K254" s="3"/>
      <c r="L254" s="3"/>
      <c r="M254" s="3"/>
      <c r="N254" s="9"/>
    </row>
    <row r="255" spans="1:14">
      <c r="A255" s="5"/>
      <c r="D255" s="3"/>
      <c r="E255" s="3"/>
      <c r="F255" s="3"/>
      <c r="G255" s="3"/>
      <c r="H255" s="3"/>
      <c r="I255" s="3"/>
      <c r="J255" s="3"/>
      <c r="K255" s="3"/>
      <c r="L255" s="3"/>
      <c r="M255" s="3"/>
      <c r="N255" s="9"/>
    </row>
    <row r="256" spans="1:14">
      <c r="A256" s="5"/>
      <c r="D256" s="3"/>
      <c r="E256" s="3"/>
      <c r="F256" s="3"/>
      <c r="G256" s="3"/>
      <c r="H256" s="3"/>
      <c r="I256" s="3"/>
      <c r="J256" s="3"/>
      <c r="K256" s="3"/>
      <c r="L256" s="3"/>
      <c r="M256" s="3"/>
      <c r="N256" s="9"/>
    </row>
    <row r="260" spans="1:14">
      <c r="A260" s="5"/>
      <c r="D260" s="3"/>
      <c r="E260" s="3"/>
      <c r="F260" s="3"/>
      <c r="G260" s="3"/>
      <c r="H260" s="3"/>
      <c r="I260" s="3"/>
      <c r="J260" s="3"/>
      <c r="K260" s="3"/>
      <c r="L260" s="3"/>
      <c r="M260" s="3"/>
      <c r="N260" s="9"/>
    </row>
    <row r="261" spans="1:14">
      <c r="A261" s="5"/>
      <c r="D261" s="3"/>
      <c r="E261" s="3"/>
      <c r="F261" s="3"/>
      <c r="G261" s="3"/>
      <c r="H261" s="3"/>
      <c r="I261" s="3"/>
      <c r="J261" s="3"/>
      <c r="K261" s="3"/>
      <c r="L261" s="3"/>
      <c r="M261" s="3"/>
      <c r="N261" s="9"/>
    </row>
    <row r="262" spans="1:14">
      <c r="A262" s="5"/>
      <c r="D262" s="3"/>
      <c r="E262" s="3"/>
      <c r="F262" s="3"/>
      <c r="G262" s="3"/>
      <c r="H262" s="3"/>
      <c r="I262" s="3"/>
      <c r="J262" s="3"/>
      <c r="K262" s="3"/>
      <c r="L262" s="3"/>
      <c r="M262" s="3"/>
      <c r="N262" s="9"/>
    </row>
    <row r="263" spans="1:14">
      <c r="A263" s="5"/>
      <c r="D263" s="3"/>
      <c r="E263" s="3"/>
      <c r="F263" s="3"/>
      <c r="G263" s="3"/>
      <c r="H263" s="3"/>
      <c r="I263" s="3"/>
      <c r="J263" s="3"/>
      <c r="K263" s="3"/>
      <c r="L263" s="3"/>
      <c r="M263" s="3"/>
      <c r="N263" s="9"/>
    </row>
    <row r="264" spans="1:14">
      <c r="A264" s="5"/>
      <c r="D264" s="3"/>
      <c r="E264" s="3"/>
      <c r="F264" s="3"/>
      <c r="G264" s="3"/>
      <c r="H264" s="3"/>
      <c r="I264" s="3"/>
      <c r="J264" s="3"/>
      <c r="K264" s="3"/>
      <c r="L264" s="3"/>
      <c r="M264" s="3"/>
      <c r="N264" s="9"/>
    </row>
    <row r="265" spans="1:14">
      <c r="A265" s="5"/>
      <c r="D265" s="3"/>
      <c r="E265" s="3"/>
      <c r="F265" s="3"/>
      <c r="G265" s="3"/>
      <c r="H265" s="3"/>
      <c r="I265" s="3"/>
      <c r="J265" s="3"/>
      <c r="K265" s="3"/>
      <c r="L265" s="3"/>
      <c r="M265" s="3"/>
      <c r="N265" s="9"/>
    </row>
    <row r="266" spans="1:14">
      <c r="A266" s="5"/>
      <c r="D266" s="3"/>
      <c r="E266" s="3"/>
      <c r="F266" s="3"/>
      <c r="G266" s="3"/>
      <c r="H266" s="3"/>
      <c r="I266" s="3"/>
      <c r="J266" s="3"/>
      <c r="K266" s="3"/>
      <c r="L266" s="3"/>
      <c r="M266" s="3"/>
      <c r="N266" s="9"/>
    </row>
    <row r="267" spans="1:14">
      <c r="A267" s="5"/>
      <c r="D267" s="3"/>
      <c r="E267" s="3"/>
      <c r="F267" s="3"/>
      <c r="G267" s="3"/>
      <c r="H267" s="3"/>
      <c r="I267" s="3"/>
      <c r="J267" s="3"/>
      <c r="K267" s="3"/>
      <c r="L267" s="3"/>
      <c r="M267" s="3"/>
      <c r="N267" s="9"/>
    </row>
    <row r="268" spans="1:14">
      <c r="A268" s="5"/>
      <c r="D268" s="3"/>
      <c r="E268" s="3"/>
      <c r="F268" s="3"/>
      <c r="G268" s="3"/>
      <c r="H268" s="3"/>
      <c r="I268" s="3"/>
      <c r="J268" s="3"/>
      <c r="K268" s="3"/>
      <c r="L268" s="3"/>
      <c r="M268" s="3"/>
      <c r="N268" s="9"/>
    </row>
    <row r="269" spans="1:14">
      <c r="A269" s="5"/>
      <c r="D269" s="3"/>
      <c r="E269" s="3"/>
      <c r="F269" s="3"/>
      <c r="G269" s="3"/>
      <c r="H269" s="3"/>
      <c r="I269" s="3"/>
      <c r="J269" s="3"/>
      <c r="K269" s="3"/>
      <c r="L269" s="3"/>
      <c r="M269" s="3"/>
      <c r="N269" s="9"/>
    </row>
    <row r="270" spans="1:14">
      <c r="D270" s="3"/>
      <c r="E270" s="3"/>
      <c r="F270" s="3"/>
      <c r="G270" s="3"/>
      <c r="H270" s="3"/>
      <c r="I270" s="3"/>
      <c r="J270" s="3"/>
      <c r="K270" s="3"/>
      <c r="L270" s="3"/>
      <c r="M270" s="3"/>
      <c r="N270" s="9">
        <f t="shared" si="0"/>
        <v>0</v>
      </c>
    </row>
  </sheetData>
  <mergeCells count="10">
    <mergeCell ref="A71:N71"/>
    <mergeCell ref="A72:N72"/>
    <mergeCell ref="A73:N73"/>
    <mergeCell ref="A74:N74"/>
    <mergeCell ref="A75:N75"/>
    <mergeCell ref="A81:N81"/>
    <mergeCell ref="A80:N80"/>
    <mergeCell ref="A79:N79"/>
    <mergeCell ref="A78:N78"/>
    <mergeCell ref="A77:N77"/>
  </mergeCells>
  <pageMargins left="0.2" right="0.2" top="0.75" bottom="0.75" header="0.3" footer="0.3"/>
  <pageSetup scale="70" orientation="landscape" r:id="rId1"/>
  <legacyDrawing r:id="rId2"/>
</worksheet>
</file>

<file path=xl/worksheets/sheet5.xml><?xml version="1.0" encoding="utf-8"?>
<worksheet xmlns="http://schemas.openxmlformats.org/spreadsheetml/2006/main" xmlns:r="http://schemas.openxmlformats.org/officeDocument/2006/relationships">
  <sheetPr>
    <tabColor theme="7" tint="0.39997558519241921"/>
  </sheetPr>
  <dimension ref="A2:BD119"/>
  <sheetViews>
    <sheetView workbookViewId="0">
      <pane xSplit="2" ySplit="4" topLeftCell="J97" activePane="bottomRight" state="frozen"/>
      <selection activeCell="C34" sqref="C34"/>
      <selection pane="topRight" activeCell="C34" sqref="C34"/>
      <selection pane="bottomLeft" activeCell="C34" sqref="C34"/>
      <selection pane="bottomRight" activeCell="B103" sqref="B103"/>
    </sheetView>
  </sheetViews>
  <sheetFormatPr defaultRowHeight="15"/>
  <cols>
    <col min="1" max="1" width="10.28515625" bestFit="1" customWidth="1"/>
    <col min="2" max="2" width="43.28515625" customWidth="1"/>
    <col min="3" max="3" width="11.42578125" style="14" bestFit="1" customWidth="1"/>
    <col min="4" max="4" width="12.42578125" style="14" bestFit="1" customWidth="1"/>
    <col min="5" max="5" width="11.42578125" style="14" bestFit="1" customWidth="1"/>
    <col min="6" max="14" width="9.85546875" style="14" bestFit="1" customWidth="1"/>
    <col min="15" max="15" width="11.28515625" style="14" bestFit="1" customWidth="1"/>
    <col min="16" max="28" width="11.7109375" style="14" hidden="1" customWidth="1"/>
    <col min="29" max="34" width="11.7109375" style="14" customWidth="1"/>
    <col min="35" max="56" width="11.7109375" style="7" customWidth="1"/>
  </cols>
  <sheetData>
    <row r="2" spans="1:28">
      <c r="B2" s="63" t="s">
        <v>12</v>
      </c>
    </row>
    <row r="3" spans="1:28">
      <c r="B3" s="5" t="s">
        <v>50</v>
      </c>
      <c r="C3" s="15">
        <v>2010</v>
      </c>
      <c r="D3" s="15">
        <v>2010</v>
      </c>
      <c r="E3" s="15">
        <v>2010</v>
      </c>
      <c r="F3" s="15">
        <v>2010</v>
      </c>
      <c r="G3" s="15">
        <v>2010</v>
      </c>
      <c r="H3" s="15">
        <v>2010</v>
      </c>
      <c r="I3" s="15">
        <v>2010</v>
      </c>
      <c r="J3" s="15">
        <v>2010</v>
      </c>
      <c r="K3" s="15">
        <v>2010</v>
      </c>
      <c r="L3" s="15">
        <v>2010</v>
      </c>
      <c r="M3" s="15">
        <v>2010</v>
      </c>
      <c r="N3" s="15">
        <v>2010</v>
      </c>
      <c r="O3" s="15" t="s">
        <v>34</v>
      </c>
      <c r="P3" s="15">
        <v>2011</v>
      </c>
      <c r="Q3" s="15">
        <v>2011</v>
      </c>
      <c r="R3" s="15">
        <v>2011</v>
      </c>
      <c r="S3" s="15">
        <v>2011</v>
      </c>
      <c r="T3" s="15">
        <v>2011</v>
      </c>
      <c r="U3" s="15">
        <v>2011</v>
      </c>
      <c r="V3" s="15">
        <v>2011</v>
      </c>
      <c r="W3" s="15">
        <v>2011</v>
      </c>
      <c r="X3" s="15">
        <v>2011</v>
      </c>
      <c r="Y3" s="15">
        <v>2011</v>
      </c>
      <c r="Z3" s="15">
        <v>2011</v>
      </c>
      <c r="AA3" s="15">
        <v>2011</v>
      </c>
      <c r="AB3" s="15" t="s">
        <v>35</v>
      </c>
    </row>
    <row r="4" spans="1:28">
      <c r="C4" s="18" t="s">
        <v>0</v>
      </c>
      <c r="D4" s="18" t="s">
        <v>1</v>
      </c>
      <c r="E4" s="18" t="s">
        <v>2</v>
      </c>
      <c r="F4" s="18" t="s">
        <v>3</v>
      </c>
      <c r="G4" s="18" t="s">
        <v>4</v>
      </c>
      <c r="H4" s="18" t="s">
        <v>5</v>
      </c>
      <c r="I4" s="18" t="s">
        <v>6</v>
      </c>
      <c r="J4" s="18" t="s">
        <v>7</v>
      </c>
      <c r="K4" s="18" t="s">
        <v>8</v>
      </c>
      <c r="L4" s="18" t="s">
        <v>9</v>
      </c>
      <c r="M4" s="18" t="s">
        <v>10</v>
      </c>
      <c r="N4" s="18" t="s">
        <v>11</v>
      </c>
      <c r="O4" s="18"/>
      <c r="P4" s="15" t="s">
        <v>0</v>
      </c>
      <c r="Q4" s="15" t="s">
        <v>1</v>
      </c>
      <c r="R4" s="15" t="s">
        <v>2</v>
      </c>
      <c r="S4" s="15" t="s">
        <v>3</v>
      </c>
      <c r="T4" s="15" t="s">
        <v>4</v>
      </c>
      <c r="U4" s="15" t="s">
        <v>5</v>
      </c>
      <c r="V4" s="15" t="s">
        <v>6</v>
      </c>
      <c r="W4" s="15" t="s">
        <v>7</v>
      </c>
      <c r="X4" s="15" t="s">
        <v>8</v>
      </c>
      <c r="Y4" s="15" t="s">
        <v>9</v>
      </c>
      <c r="Z4" s="15" t="s">
        <v>10</v>
      </c>
      <c r="AA4" s="15" t="s">
        <v>11</v>
      </c>
      <c r="AB4" s="15"/>
    </row>
    <row r="5" spans="1:28">
      <c r="E5" s="16"/>
      <c r="F5" s="16"/>
      <c r="G5" s="16"/>
      <c r="H5" s="16"/>
      <c r="I5" s="16"/>
      <c r="J5" s="16"/>
      <c r="K5" s="16"/>
      <c r="L5" s="16"/>
      <c r="M5" s="16"/>
      <c r="N5" s="16"/>
    </row>
    <row r="6" spans="1:28">
      <c r="B6" s="10" t="s">
        <v>116</v>
      </c>
      <c r="E6" s="16"/>
      <c r="F6" s="16"/>
      <c r="G6" s="16"/>
      <c r="H6" s="16"/>
      <c r="I6" s="16"/>
      <c r="J6" s="16"/>
      <c r="K6" s="16"/>
      <c r="L6" s="16"/>
      <c r="M6" s="16"/>
      <c r="N6" s="16"/>
      <c r="O6" s="17"/>
    </row>
    <row r="7" spans="1:28">
      <c r="B7" s="5" t="s">
        <v>37</v>
      </c>
      <c r="C7" s="21">
        <f>4832969/12</f>
        <v>402747.41666666669</v>
      </c>
      <c r="D7" s="19">
        <f t="shared" ref="D7:M7" si="0">4832969/12</f>
        <v>402747.41666666669</v>
      </c>
      <c r="E7" s="19">
        <f t="shared" si="0"/>
        <v>402747.41666666669</v>
      </c>
      <c r="F7" s="19">
        <f t="shared" si="0"/>
        <v>402747.41666666669</v>
      </c>
      <c r="G7" s="19">
        <f t="shared" si="0"/>
        <v>402747.41666666669</v>
      </c>
      <c r="H7" s="19">
        <f t="shared" si="0"/>
        <v>402747.41666666669</v>
      </c>
      <c r="I7" s="19">
        <f t="shared" si="0"/>
        <v>402747.41666666669</v>
      </c>
      <c r="J7" s="19">
        <f t="shared" si="0"/>
        <v>402747.41666666669</v>
      </c>
      <c r="K7" s="19">
        <f t="shared" si="0"/>
        <v>402747.41666666669</v>
      </c>
      <c r="L7" s="19">
        <f t="shared" si="0"/>
        <v>402747.41666666669</v>
      </c>
      <c r="M7" s="19">
        <f t="shared" si="0"/>
        <v>402747.41666666669</v>
      </c>
      <c r="N7" s="19">
        <f>(4832969/12)-0.33</f>
        <v>402747.08666666667</v>
      </c>
      <c r="O7" s="17">
        <f t="shared" ref="O7:O13" si="1">SUM(C7:N7)</f>
        <v>4832968.67</v>
      </c>
    </row>
    <row r="8" spans="1:28">
      <c r="B8" s="5" t="s">
        <v>38</v>
      </c>
      <c r="C8" s="19">
        <f>2127260/12</f>
        <v>177271.66666666666</v>
      </c>
      <c r="D8" s="19">
        <f t="shared" ref="D8:N8" si="2">2127260/12</f>
        <v>177271.66666666666</v>
      </c>
      <c r="E8" s="19">
        <f t="shared" si="2"/>
        <v>177271.66666666666</v>
      </c>
      <c r="F8" s="19">
        <f t="shared" si="2"/>
        <v>177271.66666666666</v>
      </c>
      <c r="G8" s="19">
        <f t="shared" si="2"/>
        <v>177271.66666666666</v>
      </c>
      <c r="H8" s="19">
        <f t="shared" si="2"/>
        <v>177271.66666666666</v>
      </c>
      <c r="I8" s="19">
        <f t="shared" si="2"/>
        <v>177271.66666666666</v>
      </c>
      <c r="J8" s="19">
        <f t="shared" si="2"/>
        <v>177271.66666666666</v>
      </c>
      <c r="K8" s="19">
        <f t="shared" si="2"/>
        <v>177271.66666666666</v>
      </c>
      <c r="L8" s="19">
        <f t="shared" si="2"/>
        <v>177271.66666666666</v>
      </c>
      <c r="M8" s="19">
        <f t="shared" si="2"/>
        <v>177271.66666666666</v>
      </c>
      <c r="N8" s="19">
        <f t="shared" si="2"/>
        <v>177271.66666666666</v>
      </c>
      <c r="O8" s="17">
        <f t="shared" si="1"/>
        <v>2127260.0000000005</v>
      </c>
    </row>
    <row r="9" spans="1:28">
      <c r="B9" s="5" t="s">
        <v>242</v>
      </c>
      <c r="C9" s="19">
        <f>695890/12</f>
        <v>57990.833333333336</v>
      </c>
      <c r="D9" s="19">
        <f t="shared" ref="D9:N9" si="3">695890/12</f>
        <v>57990.833333333336</v>
      </c>
      <c r="E9" s="19">
        <f t="shared" si="3"/>
        <v>57990.833333333336</v>
      </c>
      <c r="F9" s="19">
        <f t="shared" si="3"/>
        <v>57990.833333333336</v>
      </c>
      <c r="G9" s="19">
        <f t="shared" si="3"/>
        <v>57990.833333333336</v>
      </c>
      <c r="H9" s="19">
        <f t="shared" si="3"/>
        <v>57990.833333333336</v>
      </c>
      <c r="I9" s="19">
        <f t="shared" si="3"/>
        <v>57990.833333333336</v>
      </c>
      <c r="J9" s="19">
        <f t="shared" si="3"/>
        <v>57990.833333333336</v>
      </c>
      <c r="K9" s="19">
        <f t="shared" si="3"/>
        <v>57990.833333333336</v>
      </c>
      <c r="L9" s="19">
        <f t="shared" si="3"/>
        <v>57990.833333333336</v>
      </c>
      <c r="M9" s="19">
        <f t="shared" si="3"/>
        <v>57990.833333333336</v>
      </c>
      <c r="N9" s="19">
        <f t="shared" si="3"/>
        <v>57990.833333333336</v>
      </c>
      <c r="O9" s="17">
        <f t="shared" si="1"/>
        <v>695890</v>
      </c>
    </row>
    <row r="10" spans="1:28" hidden="1">
      <c r="B10" s="5" t="s">
        <v>40</v>
      </c>
      <c r="E10" s="16"/>
      <c r="F10" s="16"/>
      <c r="G10" s="16"/>
      <c r="H10" s="16"/>
      <c r="I10" s="16"/>
      <c r="J10" s="16"/>
      <c r="K10" s="16"/>
      <c r="L10" s="16"/>
      <c r="M10" s="16"/>
      <c r="N10" s="16"/>
      <c r="O10" s="17">
        <f t="shared" si="1"/>
        <v>0</v>
      </c>
    </row>
    <row r="11" spans="1:28" hidden="1">
      <c r="B11" s="5" t="s">
        <v>41</v>
      </c>
      <c r="E11" s="16"/>
      <c r="F11" s="16"/>
      <c r="G11" s="16"/>
      <c r="H11" s="16"/>
      <c r="I11" s="16"/>
      <c r="J11" s="16"/>
      <c r="K11" s="16"/>
      <c r="L11" s="16"/>
      <c r="M11" s="16"/>
      <c r="N11" s="16"/>
      <c r="O11" s="17">
        <f t="shared" si="1"/>
        <v>0</v>
      </c>
    </row>
    <row r="12" spans="1:28" hidden="1">
      <c r="B12" s="5" t="s">
        <v>42</v>
      </c>
      <c r="E12" s="16"/>
      <c r="F12" s="16"/>
      <c r="G12" s="16"/>
      <c r="H12" s="16"/>
      <c r="I12" s="16"/>
      <c r="J12" s="16"/>
      <c r="K12" s="16"/>
      <c r="L12" s="16"/>
      <c r="M12" s="16"/>
      <c r="N12" s="16"/>
      <c r="O12" s="17">
        <f t="shared" si="1"/>
        <v>0</v>
      </c>
    </row>
    <row r="13" spans="1:28" hidden="1">
      <c r="B13" s="5" t="s">
        <v>43</v>
      </c>
      <c r="E13" s="16"/>
      <c r="F13" s="16"/>
      <c r="G13" s="16"/>
      <c r="H13" s="16"/>
      <c r="I13" s="16"/>
      <c r="J13" s="16"/>
      <c r="K13" s="16"/>
      <c r="L13" s="16"/>
      <c r="M13" s="16"/>
      <c r="N13" s="16"/>
      <c r="O13" s="17">
        <f t="shared" si="1"/>
        <v>0</v>
      </c>
    </row>
    <row r="14" spans="1:28">
      <c r="A14" t="s">
        <v>22</v>
      </c>
      <c r="B14" s="10" t="s">
        <v>44</v>
      </c>
      <c r="C14" s="20">
        <f>SUM(C7:C13)</f>
        <v>638009.91666666674</v>
      </c>
      <c r="D14" s="20">
        <f t="shared" ref="D14:N14" si="4">SUM(D7:D13)</f>
        <v>638009.91666666674</v>
      </c>
      <c r="E14" s="20">
        <f t="shared" si="4"/>
        <v>638009.91666666674</v>
      </c>
      <c r="F14" s="20">
        <f t="shared" si="4"/>
        <v>638009.91666666674</v>
      </c>
      <c r="G14" s="20">
        <f t="shared" si="4"/>
        <v>638009.91666666674</v>
      </c>
      <c r="H14" s="20">
        <f t="shared" si="4"/>
        <v>638009.91666666674</v>
      </c>
      <c r="I14" s="20">
        <f t="shared" si="4"/>
        <v>638009.91666666674</v>
      </c>
      <c r="J14" s="20">
        <f t="shared" si="4"/>
        <v>638009.91666666674</v>
      </c>
      <c r="K14" s="20">
        <f t="shared" si="4"/>
        <v>638009.91666666674</v>
      </c>
      <c r="L14" s="20">
        <f t="shared" si="4"/>
        <v>638009.91666666674</v>
      </c>
      <c r="M14" s="20">
        <f t="shared" si="4"/>
        <v>638009.91666666674</v>
      </c>
      <c r="N14" s="20">
        <f t="shared" si="4"/>
        <v>638009.58666666667</v>
      </c>
      <c r="O14" s="20">
        <f>SUM(O7:O13)</f>
        <v>7656118.6699999999</v>
      </c>
    </row>
    <row r="15" spans="1:28">
      <c r="B15" s="10"/>
      <c r="E15" s="16"/>
      <c r="F15" s="16"/>
      <c r="G15" s="16"/>
      <c r="H15" s="16"/>
      <c r="I15" s="16"/>
      <c r="J15" s="16"/>
      <c r="K15" s="16"/>
      <c r="L15" s="16"/>
      <c r="M15" s="16"/>
      <c r="N15" s="16"/>
      <c r="O15" s="17"/>
    </row>
    <row r="16" spans="1:28">
      <c r="B16" s="10" t="s">
        <v>117</v>
      </c>
      <c r="E16" s="16"/>
      <c r="F16" s="16"/>
      <c r="G16" s="16"/>
      <c r="H16" s="16"/>
      <c r="I16" s="16"/>
      <c r="J16" s="16"/>
      <c r="K16" s="16"/>
      <c r="L16" s="16"/>
      <c r="M16" s="16"/>
      <c r="N16" s="16"/>
      <c r="O16" s="17"/>
    </row>
    <row r="17" spans="1:15">
      <c r="B17" s="5" t="s">
        <v>37</v>
      </c>
      <c r="C17" s="21">
        <f>43582/12</f>
        <v>3631.8333333333335</v>
      </c>
      <c r="D17" s="21">
        <f t="shared" ref="D17:N17" si="5">43582/12</f>
        <v>3631.8333333333335</v>
      </c>
      <c r="E17" s="21">
        <f t="shared" si="5"/>
        <v>3631.8333333333335</v>
      </c>
      <c r="F17" s="21">
        <f t="shared" si="5"/>
        <v>3631.8333333333335</v>
      </c>
      <c r="G17" s="21">
        <f t="shared" si="5"/>
        <v>3631.8333333333335</v>
      </c>
      <c r="H17" s="21">
        <f t="shared" si="5"/>
        <v>3631.8333333333335</v>
      </c>
      <c r="I17" s="21">
        <f t="shared" si="5"/>
        <v>3631.8333333333335</v>
      </c>
      <c r="J17" s="21">
        <f t="shared" si="5"/>
        <v>3631.8333333333335</v>
      </c>
      <c r="K17" s="21">
        <f t="shared" si="5"/>
        <v>3631.8333333333335</v>
      </c>
      <c r="L17" s="21">
        <f t="shared" si="5"/>
        <v>3631.8333333333335</v>
      </c>
      <c r="M17" s="21">
        <f t="shared" si="5"/>
        <v>3631.8333333333335</v>
      </c>
      <c r="N17" s="21">
        <f t="shared" si="5"/>
        <v>3631.8333333333335</v>
      </c>
      <c r="O17" s="17">
        <f t="shared" ref="O17:O23" si="6">SUM(C17:N17)</f>
        <v>43582</v>
      </c>
    </row>
    <row r="18" spans="1:15">
      <c r="B18" s="5" t="s">
        <v>38</v>
      </c>
      <c r="C18" s="19">
        <f>440821/12</f>
        <v>36735.083333333336</v>
      </c>
      <c r="D18" s="19">
        <f t="shared" ref="D18:N18" si="7">440821/12</f>
        <v>36735.083333333336</v>
      </c>
      <c r="E18" s="19">
        <f t="shared" si="7"/>
        <v>36735.083333333336</v>
      </c>
      <c r="F18" s="19">
        <f t="shared" si="7"/>
        <v>36735.083333333336</v>
      </c>
      <c r="G18" s="19">
        <f t="shared" si="7"/>
        <v>36735.083333333336</v>
      </c>
      <c r="H18" s="19">
        <f t="shared" si="7"/>
        <v>36735.083333333336</v>
      </c>
      <c r="I18" s="19">
        <f t="shared" si="7"/>
        <v>36735.083333333336</v>
      </c>
      <c r="J18" s="19">
        <f t="shared" si="7"/>
        <v>36735.083333333336</v>
      </c>
      <c r="K18" s="19">
        <f t="shared" si="7"/>
        <v>36735.083333333336</v>
      </c>
      <c r="L18" s="19">
        <f t="shared" si="7"/>
        <v>36735.083333333336</v>
      </c>
      <c r="M18" s="19">
        <f t="shared" si="7"/>
        <v>36735.083333333336</v>
      </c>
      <c r="N18" s="19">
        <f t="shared" si="7"/>
        <v>36735.083333333336</v>
      </c>
      <c r="O18" s="17">
        <f t="shared" si="6"/>
        <v>440820.99999999994</v>
      </c>
    </row>
    <row r="19" spans="1:15" hidden="1">
      <c r="B19" s="5" t="s">
        <v>39</v>
      </c>
      <c r="E19" s="16"/>
      <c r="F19" s="16"/>
      <c r="G19" s="16"/>
      <c r="H19" s="16"/>
      <c r="I19" s="16"/>
      <c r="J19" s="16"/>
      <c r="K19" s="16"/>
      <c r="L19" s="16"/>
      <c r="M19" s="16"/>
      <c r="N19" s="16"/>
      <c r="O19" s="17">
        <f t="shared" si="6"/>
        <v>0</v>
      </c>
    </row>
    <row r="20" spans="1:15" hidden="1">
      <c r="B20" s="5" t="s">
        <v>40</v>
      </c>
      <c r="E20" s="16"/>
      <c r="F20" s="16"/>
      <c r="G20" s="16"/>
      <c r="H20" s="16"/>
      <c r="I20" s="16"/>
      <c r="J20" s="16"/>
      <c r="K20" s="16"/>
      <c r="L20" s="16"/>
      <c r="M20" s="16"/>
      <c r="N20" s="16"/>
      <c r="O20" s="17">
        <f t="shared" si="6"/>
        <v>0</v>
      </c>
    </row>
    <row r="21" spans="1:15" hidden="1">
      <c r="B21" s="5" t="s">
        <v>41</v>
      </c>
      <c r="E21" s="16"/>
      <c r="F21" s="16"/>
      <c r="G21" s="16"/>
      <c r="H21" s="16"/>
      <c r="I21" s="16"/>
      <c r="J21" s="16"/>
      <c r="K21" s="16"/>
      <c r="L21" s="16"/>
      <c r="M21" s="16"/>
      <c r="N21" s="16"/>
      <c r="O21" s="17">
        <f t="shared" si="6"/>
        <v>0</v>
      </c>
    </row>
    <row r="22" spans="1:15">
      <c r="B22" s="5" t="s">
        <v>42</v>
      </c>
      <c r="C22" s="19">
        <f>1459651/12</f>
        <v>121637.58333333333</v>
      </c>
      <c r="D22" s="19">
        <f t="shared" ref="D22:M22" si="8">1459651/12</f>
        <v>121637.58333333333</v>
      </c>
      <c r="E22" s="19">
        <f t="shared" si="8"/>
        <v>121637.58333333333</v>
      </c>
      <c r="F22" s="19">
        <f t="shared" si="8"/>
        <v>121637.58333333333</v>
      </c>
      <c r="G22" s="19">
        <f t="shared" si="8"/>
        <v>121637.58333333333</v>
      </c>
      <c r="H22" s="19">
        <f t="shared" si="8"/>
        <v>121637.58333333333</v>
      </c>
      <c r="I22" s="19">
        <f t="shared" si="8"/>
        <v>121637.58333333333</v>
      </c>
      <c r="J22" s="19">
        <f t="shared" si="8"/>
        <v>121637.58333333333</v>
      </c>
      <c r="K22" s="19">
        <f t="shared" si="8"/>
        <v>121637.58333333333</v>
      </c>
      <c r="L22" s="19">
        <f t="shared" si="8"/>
        <v>121637.58333333333</v>
      </c>
      <c r="M22" s="19">
        <f t="shared" si="8"/>
        <v>121637.58333333333</v>
      </c>
      <c r="N22" s="19">
        <f>(1459651/12)-0.33</f>
        <v>121637.25333333333</v>
      </c>
      <c r="O22" s="17">
        <f t="shared" si="6"/>
        <v>1459650.67</v>
      </c>
    </row>
    <row r="23" spans="1:15">
      <c r="B23" s="5" t="s">
        <v>43</v>
      </c>
      <c r="C23" s="19">
        <f>1025555/12</f>
        <v>85462.916666666672</v>
      </c>
      <c r="D23" s="19">
        <f t="shared" ref="D23:N23" si="9">1025555/12</f>
        <v>85462.916666666672</v>
      </c>
      <c r="E23" s="19">
        <f t="shared" si="9"/>
        <v>85462.916666666672</v>
      </c>
      <c r="F23" s="19">
        <f t="shared" si="9"/>
        <v>85462.916666666672</v>
      </c>
      <c r="G23" s="19">
        <f t="shared" si="9"/>
        <v>85462.916666666672</v>
      </c>
      <c r="H23" s="19">
        <f t="shared" si="9"/>
        <v>85462.916666666672</v>
      </c>
      <c r="I23" s="19">
        <f t="shared" si="9"/>
        <v>85462.916666666672</v>
      </c>
      <c r="J23" s="19">
        <f t="shared" si="9"/>
        <v>85462.916666666672</v>
      </c>
      <c r="K23" s="19">
        <f t="shared" si="9"/>
        <v>85462.916666666672</v>
      </c>
      <c r="L23" s="19">
        <f t="shared" si="9"/>
        <v>85462.916666666672</v>
      </c>
      <c r="M23" s="19">
        <f t="shared" si="9"/>
        <v>85462.916666666672</v>
      </c>
      <c r="N23" s="19">
        <f t="shared" si="9"/>
        <v>85462.916666666672</v>
      </c>
      <c r="O23" s="17">
        <f t="shared" si="6"/>
        <v>1025554.9999999999</v>
      </c>
    </row>
    <row r="24" spans="1:15">
      <c r="A24" t="s">
        <v>21</v>
      </c>
      <c r="B24" s="10" t="s">
        <v>52</v>
      </c>
      <c r="C24" s="20">
        <f t="shared" ref="C24:N24" si="10">SUM(C17:C23)</f>
        <v>247467.41666666669</v>
      </c>
      <c r="D24" s="20">
        <f t="shared" si="10"/>
        <v>247467.41666666669</v>
      </c>
      <c r="E24" s="20">
        <f t="shared" si="10"/>
        <v>247467.41666666669</v>
      </c>
      <c r="F24" s="20">
        <f t="shared" si="10"/>
        <v>247467.41666666669</v>
      </c>
      <c r="G24" s="20">
        <f t="shared" si="10"/>
        <v>247467.41666666669</v>
      </c>
      <c r="H24" s="20">
        <f t="shared" si="10"/>
        <v>247467.41666666669</v>
      </c>
      <c r="I24" s="20">
        <f t="shared" si="10"/>
        <v>247467.41666666669</v>
      </c>
      <c r="J24" s="20">
        <f t="shared" si="10"/>
        <v>247467.41666666669</v>
      </c>
      <c r="K24" s="20">
        <f t="shared" si="10"/>
        <v>247467.41666666669</v>
      </c>
      <c r="L24" s="20">
        <f t="shared" si="10"/>
        <v>247467.41666666669</v>
      </c>
      <c r="M24" s="20">
        <f t="shared" si="10"/>
        <v>247467.41666666669</v>
      </c>
      <c r="N24" s="20">
        <f t="shared" si="10"/>
        <v>247467.08666666667</v>
      </c>
      <c r="O24" s="20">
        <f>SUM(O17:O23)</f>
        <v>2969608.67</v>
      </c>
    </row>
    <row r="25" spans="1:15" ht="16.149999999999999" customHeight="1">
      <c r="B25" s="10"/>
      <c r="E25" s="16"/>
      <c r="F25" s="16"/>
      <c r="G25" s="16"/>
      <c r="H25" s="16"/>
      <c r="I25" s="16"/>
      <c r="J25" s="16"/>
      <c r="K25" s="16"/>
      <c r="L25" s="16"/>
      <c r="M25" s="16"/>
      <c r="N25" s="16"/>
      <c r="O25" s="17"/>
    </row>
    <row r="26" spans="1:15">
      <c r="B26" s="10" t="s">
        <v>118</v>
      </c>
      <c r="E26" s="16"/>
      <c r="F26" s="16"/>
      <c r="G26" s="16"/>
      <c r="H26" s="16"/>
      <c r="I26" s="16"/>
      <c r="J26" s="16"/>
      <c r="K26" s="16"/>
      <c r="L26" s="16"/>
      <c r="M26" s="16"/>
      <c r="N26" s="16"/>
      <c r="O26" s="17"/>
    </row>
    <row r="27" spans="1:15">
      <c r="B27" s="5" t="s">
        <v>37</v>
      </c>
      <c r="C27" s="19">
        <f>711562/12</f>
        <v>59296.833333333336</v>
      </c>
      <c r="D27" s="19">
        <f t="shared" ref="D27:N27" si="11">711562/12</f>
        <v>59296.833333333336</v>
      </c>
      <c r="E27" s="19">
        <f t="shared" si="11"/>
        <v>59296.833333333336</v>
      </c>
      <c r="F27" s="19">
        <f t="shared" si="11"/>
        <v>59296.833333333336</v>
      </c>
      <c r="G27" s="19">
        <f t="shared" si="11"/>
        <v>59296.833333333336</v>
      </c>
      <c r="H27" s="19">
        <f t="shared" si="11"/>
        <v>59296.833333333336</v>
      </c>
      <c r="I27" s="19">
        <f t="shared" si="11"/>
        <v>59296.833333333336</v>
      </c>
      <c r="J27" s="19">
        <f t="shared" si="11"/>
        <v>59296.833333333336</v>
      </c>
      <c r="K27" s="19">
        <f t="shared" si="11"/>
        <v>59296.833333333336</v>
      </c>
      <c r="L27" s="19">
        <f t="shared" si="11"/>
        <v>59296.833333333336</v>
      </c>
      <c r="M27" s="19">
        <f t="shared" si="11"/>
        <v>59296.833333333336</v>
      </c>
      <c r="N27" s="19">
        <f t="shared" si="11"/>
        <v>59296.833333333336</v>
      </c>
      <c r="O27" s="17">
        <f t="shared" ref="O27:O33" si="12">SUM(C27:N27)</f>
        <v>711562.00000000012</v>
      </c>
    </row>
    <row r="28" spans="1:15">
      <c r="B28" s="5" t="s">
        <v>38</v>
      </c>
      <c r="C28" s="19">
        <f>453120/12</f>
        <v>37760</v>
      </c>
      <c r="D28" s="19">
        <f t="shared" ref="D28:N28" si="13">453120/12</f>
        <v>37760</v>
      </c>
      <c r="E28" s="19">
        <f t="shared" si="13"/>
        <v>37760</v>
      </c>
      <c r="F28" s="19">
        <f t="shared" si="13"/>
        <v>37760</v>
      </c>
      <c r="G28" s="19">
        <f t="shared" si="13"/>
        <v>37760</v>
      </c>
      <c r="H28" s="19">
        <f t="shared" si="13"/>
        <v>37760</v>
      </c>
      <c r="I28" s="19">
        <f t="shared" si="13"/>
        <v>37760</v>
      </c>
      <c r="J28" s="19">
        <f t="shared" si="13"/>
        <v>37760</v>
      </c>
      <c r="K28" s="19">
        <f t="shared" si="13"/>
        <v>37760</v>
      </c>
      <c r="L28" s="19">
        <f t="shared" si="13"/>
        <v>37760</v>
      </c>
      <c r="M28" s="19">
        <f t="shared" si="13"/>
        <v>37760</v>
      </c>
      <c r="N28" s="19">
        <f t="shared" si="13"/>
        <v>37760</v>
      </c>
      <c r="O28" s="17">
        <f t="shared" si="12"/>
        <v>453120</v>
      </c>
    </row>
    <row r="29" spans="1:15">
      <c r="B29" s="5" t="s">
        <v>242</v>
      </c>
      <c r="C29" s="19">
        <f>32934/12</f>
        <v>2744.5</v>
      </c>
      <c r="D29" s="19">
        <f t="shared" ref="D29:N29" si="14">32934/12</f>
        <v>2744.5</v>
      </c>
      <c r="E29" s="19">
        <f t="shared" si="14"/>
        <v>2744.5</v>
      </c>
      <c r="F29" s="19">
        <f t="shared" si="14"/>
        <v>2744.5</v>
      </c>
      <c r="G29" s="19">
        <f t="shared" si="14"/>
        <v>2744.5</v>
      </c>
      <c r="H29" s="19">
        <f t="shared" si="14"/>
        <v>2744.5</v>
      </c>
      <c r="I29" s="19">
        <f t="shared" si="14"/>
        <v>2744.5</v>
      </c>
      <c r="J29" s="19">
        <f t="shared" si="14"/>
        <v>2744.5</v>
      </c>
      <c r="K29" s="19">
        <f t="shared" si="14"/>
        <v>2744.5</v>
      </c>
      <c r="L29" s="19">
        <f t="shared" si="14"/>
        <v>2744.5</v>
      </c>
      <c r="M29" s="19">
        <f t="shared" si="14"/>
        <v>2744.5</v>
      </c>
      <c r="N29" s="19">
        <f t="shared" si="14"/>
        <v>2744.5</v>
      </c>
      <c r="O29" s="17">
        <f t="shared" si="12"/>
        <v>32934</v>
      </c>
    </row>
    <row r="30" spans="1:15" hidden="1">
      <c r="B30" s="5" t="s">
        <v>40</v>
      </c>
      <c r="E30" s="16"/>
      <c r="F30" s="16"/>
      <c r="G30" s="16"/>
      <c r="H30" s="16"/>
      <c r="I30" s="16"/>
      <c r="J30" s="16"/>
      <c r="K30" s="16"/>
      <c r="L30" s="16"/>
      <c r="M30" s="16"/>
      <c r="N30" s="16"/>
      <c r="O30" s="17">
        <f t="shared" si="12"/>
        <v>0</v>
      </c>
    </row>
    <row r="31" spans="1:15" hidden="1">
      <c r="B31" s="5" t="s">
        <v>41</v>
      </c>
      <c r="E31" s="16"/>
      <c r="F31" s="16"/>
      <c r="G31" s="16"/>
      <c r="H31" s="16"/>
      <c r="I31" s="16"/>
      <c r="J31" s="16"/>
      <c r="K31" s="16"/>
      <c r="L31" s="16"/>
      <c r="M31" s="16"/>
      <c r="N31" s="16"/>
      <c r="O31" s="17">
        <f t="shared" si="12"/>
        <v>0</v>
      </c>
    </row>
    <row r="32" spans="1:15" hidden="1">
      <c r="B32" s="5" t="s">
        <v>42</v>
      </c>
      <c r="E32" s="16"/>
      <c r="F32" s="16"/>
      <c r="G32" s="16"/>
      <c r="H32" s="16"/>
      <c r="I32" s="16"/>
      <c r="J32" s="16"/>
      <c r="K32" s="16"/>
      <c r="L32" s="16"/>
      <c r="M32" s="16"/>
      <c r="N32" s="16"/>
      <c r="O32" s="17">
        <f t="shared" si="12"/>
        <v>0</v>
      </c>
    </row>
    <row r="33" spans="1:16">
      <c r="B33" s="5" t="s">
        <v>43</v>
      </c>
      <c r="C33" s="19">
        <f>562007/12</f>
        <v>46833.916666666664</v>
      </c>
      <c r="D33" s="19">
        <f t="shared" ref="D33:N33" si="15">562007/12</f>
        <v>46833.916666666664</v>
      </c>
      <c r="E33" s="19">
        <f t="shared" si="15"/>
        <v>46833.916666666664</v>
      </c>
      <c r="F33" s="19">
        <f t="shared" si="15"/>
        <v>46833.916666666664</v>
      </c>
      <c r="G33" s="19">
        <f t="shared" si="15"/>
        <v>46833.916666666664</v>
      </c>
      <c r="H33" s="19">
        <f t="shared" si="15"/>
        <v>46833.916666666664</v>
      </c>
      <c r="I33" s="19">
        <f t="shared" si="15"/>
        <v>46833.916666666664</v>
      </c>
      <c r="J33" s="19">
        <f t="shared" si="15"/>
        <v>46833.916666666664</v>
      </c>
      <c r="K33" s="19">
        <f t="shared" si="15"/>
        <v>46833.916666666664</v>
      </c>
      <c r="L33" s="19">
        <f t="shared" si="15"/>
        <v>46833.916666666664</v>
      </c>
      <c r="M33" s="19">
        <f t="shared" si="15"/>
        <v>46833.916666666664</v>
      </c>
      <c r="N33" s="19">
        <f t="shared" si="15"/>
        <v>46833.916666666664</v>
      </c>
      <c r="O33" s="17">
        <f t="shared" si="12"/>
        <v>562007.00000000012</v>
      </c>
    </row>
    <row r="34" spans="1:16">
      <c r="A34" t="s">
        <v>20</v>
      </c>
      <c r="B34" s="10" t="s">
        <v>51</v>
      </c>
      <c r="C34" s="20">
        <f t="shared" ref="C34:O34" si="16">SUM(C27:C33)</f>
        <v>146635.25</v>
      </c>
      <c r="D34" s="20">
        <f t="shared" si="16"/>
        <v>146635.25</v>
      </c>
      <c r="E34" s="20">
        <f t="shared" si="16"/>
        <v>146635.25</v>
      </c>
      <c r="F34" s="20">
        <f t="shared" si="16"/>
        <v>146635.25</v>
      </c>
      <c r="G34" s="20">
        <f t="shared" si="16"/>
        <v>146635.25</v>
      </c>
      <c r="H34" s="20">
        <f t="shared" si="16"/>
        <v>146635.25</v>
      </c>
      <c r="I34" s="20">
        <f t="shared" si="16"/>
        <v>146635.25</v>
      </c>
      <c r="J34" s="20">
        <f t="shared" si="16"/>
        <v>146635.25</v>
      </c>
      <c r="K34" s="20">
        <f t="shared" si="16"/>
        <v>146635.25</v>
      </c>
      <c r="L34" s="20">
        <f t="shared" si="16"/>
        <v>146635.25</v>
      </c>
      <c r="M34" s="20">
        <f t="shared" si="16"/>
        <v>146635.25</v>
      </c>
      <c r="N34" s="20">
        <f t="shared" si="16"/>
        <v>146635.25</v>
      </c>
      <c r="O34" s="20">
        <f t="shared" si="16"/>
        <v>1759623</v>
      </c>
    </row>
    <row r="35" spans="1:16">
      <c r="B35" s="10"/>
    </row>
    <row r="36" spans="1:16" ht="15.75" thickBot="1">
      <c r="A36" t="s">
        <v>128</v>
      </c>
      <c r="B36" s="10" t="s">
        <v>119</v>
      </c>
      <c r="C36" s="22">
        <f>C34+C24+C14</f>
        <v>1032112.5833333335</v>
      </c>
      <c r="D36" s="22">
        <f t="shared" ref="D36:O36" si="17">D34+D24+D14</f>
        <v>1032112.5833333335</v>
      </c>
      <c r="E36" s="22">
        <f t="shared" si="17"/>
        <v>1032112.5833333335</v>
      </c>
      <c r="F36" s="22">
        <f t="shared" si="17"/>
        <v>1032112.5833333335</v>
      </c>
      <c r="G36" s="22">
        <f t="shared" si="17"/>
        <v>1032112.5833333335</v>
      </c>
      <c r="H36" s="22">
        <f t="shared" si="17"/>
        <v>1032112.5833333335</v>
      </c>
      <c r="I36" s="22">
        <f t="shared" si="17"/>
        <v>1032112.5833333335</v>
      </c>
      <c r="J36" s="22">
        <f t="shared" si="17"/>
        <v>1032112.5833333335</v>
      </c>
      <c r="K36" s="22">
        <f t="shared" si="17"/>
        <v>1032112.5833333335</v>
      </c>
      <c r="L36" s="22">
        <f t="shared" si="17"/>
        <v>1032112.5833333335</v>
      </c>
      <c r="M36" s="22">
        <f t="shared" si="17"/>
        <v>1032112.5833333335</v>
      </c>
      <c r="N36" s="22">
        <f t="shared" si="17"/>
        <v>1032111.9233333333</v>
      </c>
      <c r="O36" s="22">
        <f t="shared" si="17"/>
        <v>12385350.34</v>
      </c>
    </row>
    <row r="37" spans="1:16" ht="15.75" thickTop="1">
      <c r="B37" s="10"/>
    </row>
    <row r="38" spans="1:16">
      <c r="B38" s="11" t="s">
        <v>120</v>
      </c>
    </row>
    <row r="39" spans="1:16">
      <c r="B39" s="6" t="s">
        <v>37</v>
      </c>
      <c r="C39" s="19">
        <v>488162.18</v>
      </c>
      <c r="D39" s="19">
        <v>434112.33</v>
      </c>
      <c r="E39" s="19">
        <v>459542.42</v>
      </c>
      <c r="F39" s="19">
        <v>940307</v>
      </c>
      <c r="G39" s="19">
        <v>225832</v>
      </c>
      <c r="H39" s="19">
        <v>353147</v>
      </c>
      <c r="I39" s="19">
        <v>309855</v>
      </c>
      <c r="J39" s="19">
        <v>723636</v>
      </c>
      <c r="K39" s="19">
        <v>744087</v>
      </c>
      <c r="L39" s="19">
        <v>578913</v>
      </c>
      <c r="M39" s="19">
        <v>158012.18</v>
      </c>
      <c r="N39" s="19">
        <v>318157.40000000002</v>
      </c>
      <c r="O39" s="17">
        <f t="shared" ref="O39:O45" si="18">SUM(C39:N39)</f>
        <v>5733763.5099999998</v>
      </c>
      <c r="P39" s="17">
        <f t="shared" ref="P39:P45" si="19">SUM(D39:O39)</f>
        <v>10979364.84</v>
      </c>
    </row>
    <row r="40" spans="1:16">
      <c r="B40" s="6" t="s">
        <v>38</v>
      </c>
      <c r="C40" s="19">
        <v>264080.46999999997</v>
      </c>
      <c r="D40" s="19">
        <v>254836.25</v>
      </c>
      <c r="E40" s="19">
        <v>172869.82</v>
      </c>
      <c r="F40" s="19">
        <v>126205</v>
      </c>
      <c r="G40" s="19">
        <v>122462</v>
      </c>
      <c r="H40" s="19">
        <v>127181</v>
      </c>
      <c r="I40" s="19">
        <v>112823</v>
      </c>
      <c r="J40" s="19">
        <v>106283</v>
      </c>
      <c r="K40" s="19">
        <v>115536</v>
      </c>
      <c r="L40" s="19">
        <v>227017</v>
      </c>
      <c r="M40" s="19">
        <v>220931.13999999998</v>
      </c>
      <c r="N40" s="19">
        <v>244993.7</v>
      </c>
      <c r="O40" s="17">
        <f t="shared" si="18"/>
        <v>2095218.38</v>
      </c>
      <c r="P40" s="17">
        <f t="shared" si="19"/>
        <v>3926356.29</v>
      </c>
    </row>
    <row r="41" spans="1:16">
      <c r="B41" s="6" t="s">
        <v>242</v>
      </c>
      <c r="C41" s="19">
        <v>13490.45</v>
      </c>
      <c r="D41" s="19">
        <v>18130.919999999998</v>
      </c>
      <c r="E41" s="19">
        <v>231753.28</v>
      </c>
      <c r="F41" s="19">
        <v>41520</v>
      </c>
      <c r="G41" s="19">
        <v>97763</v>
      </c>
      <c r="H41" s="19">
        <v>96412</v>
      </c>
      <c r="I41" s="19">
        <v>8810</v>
      </c>
      <c r="J41" s="19">
        <v>22451</v>
      </c>
      <c r="K41" s="19">
        <v>151123</v>
      </c>
      <c r="L41" s="19">
        <v>12065</v>
      </c>
      <c r="M41" s="19">
        <v>164566.65</v>
      </c>
      <c r="N41" s="19">
        <v>187189.49000000002</v>
      </c>
      <c r="O41" s="17">
        <f t="shared" si="18"/>
        <v>1045274.79</v>
      </c>
      <c r="P41" s="17">
        <f t="shared" si="19"/>
        <v>2077059.13</v>
      </c>
    </row>
    <row r="42" spans="1:16" hidden="1">
      <c r="B42" s="6" t="s">
        <v>40</v>
      </c>
      <c r="C42" s="19"/>
      <c r="D42" s="19"/>
      <c r="E42" s="19"/>
      <c r="F42" s="19"/>
      <c r="G42" s="19"/>
      <c r="H42" s="19"/>
      <c r="I42" s="19"/>
      <c r="J42" s="19"/>
      <c r="K42" s="19"/>
      <c r="L42" s="19"/>
      <c r="M42" s="19"/>
      <c r="N42" s="19"/>
      <c r="O42" s="17">
        <f t="shared" si="18"/>
        <v>0</v>
      </c>
      <c r="P42" s="17">
        <f t="shared" si="19"/>
        <v>0</v>
      </c>
    </row>
    <row r="43" spans="1:16" hidden="1">
      <c r="B43" s="6" t="s">
        <v>41</v>
      </c>
      <c r="C43" s="19"/>
      <c r="D43" s="19"/>
      <c r="E43" s="19"/>
      <c r="F43" s="19"/>
      <c r="G43" s="19"/>
      <c r="H43" s="19"/>
      <c r="I43" s="19"/>
      <c r="J43" s="19"/>
      <c r="K43" s="19"/>
      <c r="L43" s="19"/>
      <c r="M43" s="19"/>
      <c r="N43" s="19"/>
      <c r="O43" s="17">
        <f t="shared" si="18"/>
        <v>0</v>
      </c>
      <c r="P43" s="17">
        <f t="shared" si="19"/>
        <v>0</v>
      </c>
    </row>
    <row r="44" spans="1:16" hidden="1">
      <c r="B44" s="6" t="s">
        <v>42</v>
      </c>
      <c r="C44" s="19"/>
      <c r="D44" s="19"/>
      <c r="E44" s="19"/>
      <c r="F44" s="19"/>
      <c r="G44" s="19"/>
      <c r="H44" s="19"/>
      <c r="I44" s="19"/>
      <c r="J44" s="19"/>
      <c r="K44" s="19"/>
      <c r="L44" s="19"/>
      <c r="M44" s="19"/>
      <c r="N44" s="19"/>
      <c r="O44" s="17">
        <f t="shared" si="18"/>
        <v>0</v>
      </c>
      <c r="P44" s="17">
        <f t="shared" si="19"/>
        <v>0</v>
      </c>
    </row>
    <row r="45" spans="1:16" hidden="1">
      <c r="B45" s="6" t="s">
        <v>43</v>
      </c>
      <c r="C45" s="19"/>
      <c r="D45" s="19"/>
      <c r="E45" s="19"/>
      <c r="F45" s="19"/>
      <c r="G45" s="19"/>
      <c r="H45" s="19"/>
      <c r="I45" s="19"/>
      <c r="J45" s="19"/>
      <c r="K45" s="19"/>
      <c r="L45" s="19"/>
      <c r="M45" s="19"/>
      <c r="N45" s="19"/>
      <c r="O45" s="17">
        <f t="shared" si="18"/>
        <v>0</v>
      </c>
      <c r="P45" s="17">
        <f t="shared" si="19"/>
        <v>0</v>
      </c>
    </row>
    <row r="46" spans="1:16">
      <c r="A46" t="s">
        <v>24</v>
      </c>
      <c r="B46" s="11" t="s">
        <v>45</v>
      </c>
      <c r="C46" s="20">
        <f>SUM(C39:C45)</f>
        <v>765733.09999999986</v>
      </c>
      <c r="D46" s="20">
        <f t="shared" ref="D46:E46" si="20">SUM(D39:D45)</f>
        <v>707079.50000000012</v>
      </c>
      <c r="E46" s="20">
        <f t="shared" si="20"/>
        <v>864165.52</v>
      </c>
      <c r="F46" s="20">
        <f t="shared" ref="F46:N46" si="21">SUM(F39:F45)</f>
        <v>1108032</v>
      </c>
      <c r="G46" s="20">
        <f t="shared" si="21"/>
        <v>446057</v>
      </c>
      <c r="H46" s="20">
        <f t="shared" si="21"/>
        <v>576740</v>
      </c>
      <c r="I46" s="20">
        <f t="shared" si="21"/>
        <v>431488</v>
      </c>
      <c r="J46" s="20">
        <f t="shared" si="21"/>
        <v>852370</v>
      </c>
      <c r="K46" s="20">
        <f t="shared" si="21"/>
        <v>1010746</v>
      </c>
      <c r="L46" s="20">
        <f t="shared" si="21"/>
        <v>817995</v>
      </c>
      <c r="M46" s="20">
        <f t="shared" si="21"/>
        <v>543509.97</v>
      </c>
      <c r="N46" s="20">
        <f t="shared" si="21"/>
        <v>750340.59000000008</v>
      </c>
      <c r="O46" s="20">
        <f t="shared" ref="O46" si="22">SUM(O39:O45)</f>
        <v>8874256.6799999997</v>
      </c>
      <c r="P46" s="20">
        <f>SUM(P39:P45)</f>
        <v>16982780.259999998</v>
      </c>
    </row>
    <row r="47" spans="1:16">
      <c r="B47" s="11"/>
      <c r="C47" s="19"/>
      <c r="D47" s="19"/>
      <c r="E47" s="19"/>
      <c r="F47" s="19"/>
      <c r="G47" s="19"/>
      <c r="H47" s="19"/>
      <c r="I47" s="19"/>
      <c r="J47" s="19"/>
      <c r="K47" s="19"/>
      <c r="L47" s="19"/>
      <c r="M47" s="19"/>
      <c r="N47" s="19"/>
      <c r="O47" s="19"/>
      <c r="P47" s="19"/>
    </row>
    <row r="48" spans="1:16">
      <c r="B48" s="11" t="s">
        <v>121</v>
      </c>
      <c r="C48" s="19"/>
      <c r="D48" s="19"/>
      <c r="E48" s="19"/>
      <c r="F48" s="19"/>
      <c r="G48" s="19"/>
      <c r="H48" s="19"/>
      <c r="I48" s="19"/>
      <c r="J48" s="19"/>
      <c r="K48" s="19"/>
      <c r="L48" s="19"/>
      <c r="M48" s="19"/>
      <c r="N48" s="19"/>
      <c r="O48" s="17"/>
      <c r="P48" s="19"/>
    </row>
    <row r="49" spans="1:16">
      <c r="B49" s="6" t="s">
        <v>37</v>
      </c>
      <c r="C49" s="19">
        <v>252108</v>
      </c>
      <c r="D49" s="19">
        <v>18129.96</v>
      </c>
      <c r="E49" s="19">
        <v>89534.39</v>
      </c>
      <c r="F49" s="19">
        <v>22257</v>
      </c>
      <c r="G49" s="19">
        <v>17154</v>
      </c>
      <c r="H49" s="19">
        <v>15290</v>
      </c>
      <c r="I49" s="19">
        <v>29450</v>
      </c>
      <c r="J49" s="19">
        <v>21475</v>
      </c>
      <c r="K49" s="19">
        <v>11479</v>
      </c>
      <c r="L49" s="19">
        <v>53593</v>
      </c>
      <c r="M49" s="19">
        <v>18046.820000000003</v>
      </c>
      <c r="N49" s="19">
        <v>48133.1</v>
      </c>
      <c r="O49" s="17">
        <f t="shared" ref="O49:O55" si="23">SUM(C49:N49)</f>
        <v>596650.27</v>
      </c>
      <c r="P49" s="17">
        <f t="shared" ref="P49:P55" si="24">SUM(D49:O49)</f>
        <v>941192.54</v>
      </c>
    </row>
    <row r="50" spans="1:16">
      <c r="B50" s="6" t="s">
        <v>38</v>
      </c>
      <c r="C50" s="19">
        <v>71030.92</v>
      </c>
      <c r="D50" s="19">
        <v>34450.18</v>
      </c>
      <c r="E50" s="19">
        <v>62245.01</v>
      </c>
      <c r="F50" s="19">
        <v>29124</v>
      </c>
      <c r="G50" s="19">
        <v>44640</v>
      </c>
      <c r="H50" s="19">
        <v>25945</v>
      </c>
      <c r="I50" s="19">
        <v>55620</v>
      </c>
      <c r="J50" s="19">
        <v>51103</v>
      </c>
      <c r="K50" s="19">
        <v>3428</v>
      </c>
      <c r="L50" s="19">
        <v>104792</v>
      </c>
      <c r="M50" s="19">
        <v>159822.03</v>
      </c>
      <c r="N50" s="19">
        <v>84960.27</v>
      </c>
      <c r="O50" s="17">
        <f t="shared" si="23"/>
        <v>727160.41</v>
      </c>
      <c r="P50" s="17">
        <f t="shared" si="24"/>
        <v>1383289.9</v>
      </c>
    </row>
    <row r="51" spans="1:16">
      <c r="B51" s="6" t="s">
        <v>242</v>
      </c>
      <c r="C51" s="19">
        <v>-69378.509999999995</v>
      </c>
      <c r="D51" s="19">
        <v>2981.95</v>
      </c>
      <c r="E51" s="19">
        <v>46077.66</v>
      </c>
      <c r="F51" s="19">
        <v>-23923</v>
      </c>
      <c r="G51" s="19">
        <v>77</v>
      </c>
      <c r="H51" s="19">
        <v>16537</v>
      </c>
      <c r="I51" s="19">
        <v>10237</v>
      </c>
      <c r="J51" s="19">
        <v>-15048</v>
      </c>
      <c r="K51" s="19">
        <v>20977</v>
      </c>
      <c r="L51" s="19">
        <v>4073</v>
      </c>
      <c r="M51" s="19">
        <v>17575.760000000002</v>
      </c>
      <c r="N51" s="19">
        <v>2288.25</v>
      </c>
      <c r="O51" s="17">
        <f t="shared" si="23"/>
        <v>12475.110000000008</v>
      </c>
      <c r="P51" s="17">
        <f t="shared" si="24"/>
        <v>94328.73000000001</v>
      </c>
    </row>
    <row r="52" spans="1:16">
      <c r="B52" s="6" t="s">
        <v>40</v>
      </c>
      <c r="C52" s="19">
        <v>0</v>
      </c>
      <c r="D52" s="19"/>
      <c r="E52" s="19"/>
      <c r="F52" s="19"/>
      <c r="G52" s="19"/>
      <c r="H52" s="19"/>
      <c r="I52" s="19"/>
      <c r="J52" s="19"/>
      <c r="K52" s="19"/>
      <c r="L52" s="19"/>
      <c r="M52" s="19"/>
      <c r="N52" s="19"/>
      <c r="O52" s="17">
        <f t="shared" si="23"/>
        <v>0</v>
      </c>
      <c r="P52" s="17">
        <f t="shared" si="24"/>
        <v>0</v>
      </c>
    </row>
    <row r="53" spans="1:16">
      <c r="B53" s="6" t="s">
        <v>41</v>
      </c>
      <c r="C53" s="19">
        <v>0</v>
      </c>
      <c r="D53" s="19"/>
      <c r="E53" s="19"/>
      <c r="F53" s="19"/>
      <c r="G53" s="19"/>
      <c r="H53" s="19"/>
      <c r="I53" s="19"/>
      <c r="J53" s="19"/>
      <c r="K53" s="19"/>
      <c r="L53" s="19"/>
      <c r="M53" s="19"/>
      <c r="N53" s="19"/>
      <c r="O53" s="17">
        <f t="shared" si="23"/>
        <v>0</v>
      </c>
      <c r="P53" s="17">
        <f t="shared" si="24"/>
        <v>0</v>
      </c>
    </row>
    <row r="54" spans="1:16">
      <c r="B54" s="6" t="s">
        <v>42</v>
      </c>
      <c r="C54" s="19">
        <v>477.26</v>
      </c>
      <c r="D54" s="19">
        <v>521.16999999999996</v>
      </c>
      <c r="E54" s="19">
        <v>301654.65999999997</v>
      </c>
      <c r="F54" s="19">
        <v>746</v>
      </c>
      <c r="G54" s="19">
        <v>333</v>
      </c>
      <c r="H54" s="19">
        <v>284157</v>
      </c>
      <c r="I54" s="19">
        <v>590</v>
      </c>
      <c r="J54" s="19">
        <v>534</v>
      </c>
      <c r="K54" s="19">
        <v>1580</v>
      </c>
      <c r="L54" s="19">
        <v>769</v>
      </c>
      <c r="M54" s="19">
        <v>320788.92</v>
      </c>
      <c r="N54" s="19">
        <v>239212.26</v>
      </c>
      <c r="O54" s="17">
        <f t="shared" si="23"/>
        <v>1151363.27</v>
      </c>
      <c r="P54" s="17">
        <f t="shared" si="24"/>
        <v>2302249.2800000003</v>
      </c>
    </row>
    <row r="55" spans="1:16">
      <c r="B55" s="6" t="s">
        <v>43</v>
      </c>
      <c r="C55" s="19">
        <v>80662.33</v>
      </c>
      <c r="D55" s="19">
        <v>85328.25</v>
      </c>
      <c r="E55" s="19">
        <v>105625.93</v>
      </c>
      <c r="F55" s="19">
        <v>104347</v>
      </c>
      <c r="G55" s="19">
        <v>30873</v>
      </c>
      <c r="H55" s="19">
        <v>79793</v>
      </c>
      <c r="I55" s="19">
        <v>100992</v>
      </c>
      <c r="J55" s="19">
        <v>87625</v>
      </c>
      <c r="K55" s="19">
        <v>59544</v>
      </c>
      <c r="L55" s="19">
        <v>34246</v>
      </c>
      <c r="M55" s="19">
        <v>139797.36000000002</v>
      </c>
      <c r="N55" s="19">
        <v>107192.68999999999</v>
      </c>
      <c r="O55" s="17">
        <f t="shared" si="23"/>
        <v>1016026.5599999999</v>
      </c>
      <c r="P55" s="17">
        <f t="shared" si="24"/>
        <v>1951390.7899999998</v>
      </c>
    </row>
    <row r="56" spans="1:16">
      <c r="A56" t="s">
        <v>129</v>
      </c>
      <c r="B56" s="11" t="s">
        <v>122</v>
      </c>
      <c r="C56" s="20">
        <f t="shared" ref="C56:E56" si="25">SUM(C49:C55)</f>
        <v>334900</v>
      </c>
      <c r="D56" s="20">
        <f t="shared" si="25"/>
        <v>141411.51</v>
      </c>
      <c r="E56" s="20">
        <f t="shared" si="25"/>
        <v>605137.64999999991</v>
      </c>
      <c r="F56" s="20">
        <f t="shared" ref="F56:O56" si="26">SUM(F49:F55)</f>
        <v>132551</v>
      </c>
      <c r="G56" s="20">
        <f t="shared" si="26"/>
        <v>93077</v>
      </c>
      <c r="H56" s="20">
        <f t="shared" si="26"/>
        <v>421722</v>
      </c>
      <c r="I56" s="20">
        <f t="shared" si="26"/>
        <v>196889</v>
      </c>
      <c r="J56" s="20">
        <f t="shared" si="26"/>
        <v>145689</v>
      </c>
      <c r="K56" s="20">
        <f t="shared" si="26"/>
        <v>97008</v>
      </c>
      <c r="L56" s="20">
        <f t="shared" si="26"/>
        <v>197473</v>
      </c>
      <c r="M56" s="20">
        <f t="shared" si="26"/>
        <v>656030.89</v>
      </c>
      <c r="N56" s="20">
        <f t="shared" si="26"/>
        <v>481786.57</v>
      </c>
      <c r="O56" s="20">
        <f t="shared" si="26"/>
        <v>3503675.6200000006</v>
      </c>
      <c r="P56" s="20">
        <f>SUM(P49:P55)</f>
        <v>6672451.2400000002</v>
      </c>
    </row>
    <row r="57" spans="1:16">
      <c r="B57" s="11"/>
      <c r="C57" s="19"/>
      <c r="D57" s="19"/>
      <c r="E57" s="19"/>
      <c r="F57" s="19"/>
      <c r="G57" s="19"/>
      <c r="H57" s="19"/>
      <c r="I57" s="19"/>
      <c r="J57" s="19"/>
      <c r="K57" s="19"/>
      <c r="L57" s="19"/>
      <c r="M57" s="19"/>
      <c r="N57" s="19"/>
      <c r="O57" s="19"/>
      <c r="P57" s="19"/>
    </row>
    <row r="58" spans="1:16">
      <c r="B58" s="11" t="s">
        <v>123</v>
      </c>
      <c r="C58" s="19"/>
      <c r="D58" s="19"/>
      <c r="E58" s="19"/>
      <c r="F58" s="19"/>
      <c r="G58" s="19"/>
      <c r="H58" s="19"/>
      <c r="I58" s="19"/>
      <c r="J58" s="19"/>
      <c r="K58" s="19"/>
      <c r="L58" s="19"/>
      <c r="M58" s="19"/>
      <c r="N58" s="19"/>
      <c r="O58" s="19"/>
      <c r="P58" s="19"/>
    </row>
    <row r="59" spans="1:16">
      <c r="B59" s="6" t="s">
        <v>37</v>
      </c>
      <c r="C59" s="19">
        <v>8113.02</v>
      </c>
      <c r="D59" s="19">
        <v>10261.23</v>
      </c>
      <c r="E59" s="19">
        <v>9344.85</v>
      </c>
      <c r="F59" s="19">
        <v>5592</v>
      </c>
      <c r="G59" s="19">
        <v>8622</v>
      </c>
      <c r="H59" s="19">
        <v>6899</v>
      </c>
      <c r="I59" s="19">
        <v>5257</v>
      </c>
      <c r="J59" s="19">
        <v>7174</v>
      </c>
      <c r="K59" s="19">
        <v>6895</v>
      </c>
      <c r="L59" s="19">
        <v>7643</v>
      </c>
      <c r="M59" s="19">
        <v>7149.55</v>
      </c>
      <c r="N59" s="19">
        <v>5696.2499999999991</v>
      </c>
      <c r="O59" s="17">
        <f t="shared" ref="O59:O65" si="27">SUM(C59:N59)</f>
        <v>88646.900000000009</v>
      </c>
      <c r="P59" s="17">
        <f t="shared" ref="P59:P65" si="28">SUM(D59:O59)</f>
        <v>169180.78000000003</v>
      </c>
    </row>
    <row r="60" spans="1:16">
      <c r="B60" s="6" t="s">
        <v>38</v>
      </c>
      <c r="C60" s="19">
        <v>116.22</v>
      </c>
      <c r="D60" s="19">
        <v>144.19999999999999</v>
      </c>
      <c r="E60" s="19"/>
      <c r="F60" s="19">
        <v>3169</v>
      </c>
      <c r="G60" s="19">
        <v>8475</v>
      </c>
      <c r="H60" s="19">
        <v>7212</v>
      </c>
      <c r="I60" s="19">
        <v>2341</v>
      </c>
      <c r="J60" s="19">
        <v>2449</v>
      </c>
      <c r="K60" s="19">
        <v>2052</v>
      </c>
      <c r="L60" s="19">
        <v>735</v>
      </c>
      <c r="M60" s="19">
        <v>1368.06</v>
      </c>
      <c r="N60" s="19">
        <v>1250.0999999999999</v>
      </c>
      <c r="O60" s="17">
        <f t="shared" si="27"/>
        <v>29311.579999999998</v>
      </c>
      <c r="P60" s="17">
        <f t="shared" si="28"/>
        <v>58506.94</v>
      </c>
    </row>
    <row r="61" spans="1:16">
      <c r="B61" s="6" t="s">
        <v>242</v>
      </c>
      <c r="D61" s="19"/>
      <c r="E61" s="19"/>
      <c r="F61" s="19"/>
      <c r="G61" s="19"/>
      <c r="H61" s="19"/>
      <c r="I61" s="19"/>
      <c r="J61" s="19"/>
      <c r="K61" s="19"/>
      <c r="L61" s="19"/>
      <c r="M61" s="19"/>
      <c r="N61" s="19"/>
      <c r="O61" s="17">
        <f t="shared" si="27"/>
        <v>0</v>
      </c>
      <c r="P61" s="17">
        <f t="shared" si="28"/>
        <v>0</v>
      </c>
    </row>
    <row r="62" spans="1:16" hidden="1">
      <c r="B62" s="6" t="s">
        <v>40</v>
      </c>
      <c r="D62" s="19"/>
      <c r="E62" s="19"/>
      <c r="F62" s="19"/>
      <c r="G62" s="19"/>
      <c r="H62" s="19"/>
      <c r="I62" s="19"/>
      <c r="J62" s="19"/>
      <c r="K62" s="19"/>
      <c r="L62" s="19"/>
      <c r="M62" s="19"/>
      <c r="N62" s="19"/>
      <c r="O62" s="17">
        <f t="shared" si="27"/>
        <v>0</v>
      </c>
      <c r="P62" s="17">
        <f t="shared" si="28"/>
        <v>0</v>
      </c>
    </row>
    <row r="63" spans="1:16" hidden="1">
      <c r="B63" s="6" t="s">
        <v>41</v>
      </c>
      <c r="D63" s="19"/>
      <c r="E63" s="19"/>
      <c r="F63" s="19"/>
      <c r="G63" s="19"/>
      <c r="H63" s="19"/>
      <c r="I63" s="19"/>
      <c r="J63" s="19"/>
      <c r="K63" s="19"/>
      <c r="L63" s="19"/>
      <c r="M63" s="19"/>
      <c r="N63" s="19"/>
      <c r="O63" s="17">
        <f t="shared" si="27"/>
        <v>0</v>
      </c>
      <c r="P63" s="17">
        <f t="shared" si="28"/>
        <v>0</v>
      </c>
    </row>
    <row r="64" spans="1:16">
      <c r="B64" s="6" t="s">
        <v>42</v>
      </c>
      <c r="D64" s="19"/>
      <c r="E64" s="19"/>
      <c r="F64" s="19"/>
      <c r="G64" s="19"/>
      <c r="H64" s="19"/>
      <c r="I64" s="19"/>
      <c r="J64" s="19"/>
      <c r="K64" s="19"/>
      <c r="L64" s="19"/>
      <c r="M64" s="19"/>
      <c r="N64" s="19"/>
      <c r="O64" s="17">
        <f t="shared" si="27"/>
        <v>0</v>
      </c>
      <c r="P64" s="17">
        <f t="shared" si="28"/>
        <v>0</v>
      </c>
    </row>
    <row r="65" spans="1:16">
      <c r="B65" s="6" t="s">
        <v>43</v>
      </c>
      <c r="D65" s="19"/>
      <c r="E65" s="19"/>
      <c r="F65" s="19">
        <v>591</v>
      </c>
      <c r="G65" s="19">
        <v>4234</v>
      </c>
      <c r="H65" s="19">
        <v>3906</v>
      </c>
      <c r="I65" s="19">
        <v>4039</v>
      </c>
      <c r="J65" s="19">
        <v>1138</v>
      </c>
      <c r="K65" s="19">
        <v>2473</v>
      </c>
      <c r="L65" s="19">
        <v>2848</v>
      </c>
      <c r="M65" s="19">
        <v>983.34</v>
      </c>
      <c r="N65" s="19">
        <v>0</v>
      </c>
      <c r="O65" s="17">
        <f t="shared" si="27"/>
        <v>20212.34</v>
      </c>
      <c r="P65" s="17">
        <f t="shared" si="28"/>
        <v>40424.68</v>
      </c>
    </row>
    <row r="66" spans="1:16">
      <c r="A66" t="s">
        <v>130</v>
      </c>
      <c r="B66" s="11" t="s">
        <v>46</v>
      </c>
      <c r="C66" s="20">
        <f t="shared" ref="C66" si="29">SUM(C59:C65)</f>
        <v>8229.24</v>
      </c>
      <c r="D66" s="20">
        <f t="shared" ref="D66:P66" si="30">SUM(D59:D65)</f>
        <v>10405.43</v>
      </c>
      <c r="E66" s="20">
        <f t="shared" si="30"/>
        <v>9344.85</v>
      </c>
      <c r="F66" s="20">
        <f t="shared" si="30"/>
        <v>9352</v>
      </c>
      <c r="G66" s="20">
        <f t="shared" si="30"/>
        <v>21331</v>
      </c>
      <c r="H66" s="20">
        <f t="shared" si="30"/>
        <v>18017</v>
      </c>
      <c r="I66" s="20">
        <f t="shared" si="30"/>
        <v>11637</v>
      </c>
      <c r="J66" s="20">
        <f t="shared" si="30"/>
        <v>10761</v>
      </c>
      <c r="K66" s="20">
        <f t="shared" si="30"/>
        <v>11420</v>
      </c>
      <c r="L66" s="20">
        <f t="shared" si="30"/>
        <v>11226</v>
      </c>
      <c r="M66" s="20">
        <f t="shared" si="30"/>
        <v>9500.9500000000007</v>
      </c>
      <c r="N66" s="20">
        <f t="shared" si="30"/>
        <v>6946.3499999999985</v>
      </c>
      <c r="O66" s="20">
        <f t="shared" si="30"/>
        <v>138170.82</v>
      </c>
      <c r="P66" s="20">
        <f t="shared" si="30"/>
        <v>268112.40000000002</v>
      </c>
    </row>
    <row r="67" spans="1:16">
      <c r="B67" s="11"/>
      <c r="C67" s="19"/>
      <c r="D67" s="19"/>
      <c r="E67" s="19"/>
      <c r="F67" s="19"/>
      <c r="G67" s="19"/>
      <c r="H67" s="19"/>
      <c r="I67" s="19"/>
      <c r="J67" s="19"/>
      <c r="K67" s="19"/>
      <c r="L67" s="19"/>
      <c r="M67" s="19"/>
      <c r="N67" s="19"/>
      <c r="O67" s="19"/>
      <c r="P67" s="19"/>
    </row>
    <row r="68" spans="1:16" ht="15.75" thickBot="1">
      <c r="A68" t="s">
        <v>131</v>
      </c>
      <c r="B68" s="11" t="s">
        <v>124</v>
      </c>
      <c r="C68" s="22">
        <f>C66+C56+C46</f>
        <v>1108862.3399999999</v>
      </c>
      <c r="D68" s="22">
        <f>D66+D56+D46</f>
        <v>858896.44000000018</v>
      </c>
      <c r="E68" s="22">
        <f t="shared" ref="E68:P68" si="31">E66+E56+E46</f>
        <v>1478648.02</v>
      </c>
      <c r="F68" s="22">
        <f t="shared" si="31"/>
        <v>1249935</v>
      </c>
      <c r="G68" s="22">
        <f t="shared" si="31"/>
        <v>560465</v>
      </c>
      <c r="H68" s="22">
        <f t="shared" si="31"/>
        <v>1016479</v>
      </c>
      <c r="I68" s="22">
        <f t="shared" si="31"/>
        <v>640014</v>
      </c>
      <c r="J68" s="22">
        <f t="shared" si="31"/>
        <v>1008820</v>
      </c>
      <c r="K68" s="22">
        <f t="shared" si="31"/>
        <v>1119174</v>
      </c>
      <c r="L68" s="22">
        <f t="shared" si="31"/>
        <v>1026694</v>
      </c>
      <c r="M68" s="22">
        <f t="shared" si="31"/>
        <v>1209041.81</v>
      </c>
      <c r="N68" s="22">
        <f t="shared" si="31"/>
        <v>1239073.51</v>
      </c>
      <c r="O68" s="22">
        <f t="shared" si="31"/>
        <v>12516103.120000001</v>
      </c>
      <c r="P68" s="22">
        <f t="shared" si="31"/>
        <v>23923343.899999999</v>
      </c>
    </row>
    <row r="69" spans="1:16" ht="15.75" thickTop="1">
      <c r="B69" s="10"/>
    </row>
    <row r="70" spans="1:16">
      <c r="B70" s="69" t="s">
        <v>47</v>
      </c>
    </row>
    <row r="71" spans="1:16">
      <c r="B71" s="69" t="s">
        <v>125</v>
      </c>
    </row>
    <row r="72" spans="1:16">
      <c r="B72" s="68" t="s">
        <v>37</v>
      </c>
      <c r="C72" s="60">
        <f>C7-C39</f>
        <v>-85414.763333333307</v>
      </c>
      <c r="D72" s="60">
        <f t="shared" ref="D72:E72" si="32">D7-D39</f>
        <v>-31364.91333333333</v>
      </c>
      <c r="E72" s="60">
        <f t="shared" si="32"/>
        <v>-56795.003333333298</v>
      </c>
      <c r="F72" s="60">
        <f t="shared" ref="F72:G72" si="33">F7-F39</f>
        <v>-537559.58333333326</v>
      </c>
      <c r="G72" s="60">
        <f t="shared" si="33"/>
        <v>176915.41666666669</v>
      </c>
      <c r="H72" s="60">
        <f t="shared" ref="H72:I72" si="34">H7-H39</f>
        <v>49600.416666666686</v>
      </c>
      <c r="I72" s="60">
        <f t="shared" si="34"/>
        <v>92892.416666666686</v>
      </c>
      <c r="J72" s="60">
        <f t="shared" ref="J72:K72" si="35">J7-J39</f>
        <v>-320888.58333333331</v>
      </c>
      <c r="K72" s="60">
        <f t="shared" si="35"/>
        <v>-341339.58333333331</v>
      </c>
      <c r="L72" s="60">
        <f t="shared" ref="L72:N72" si="36">L7-L39</f>
        <v>-176165.58333333331</v>
      </c>
      <c r="M72" s="60">
        <f t="shared" si="36"/>
        <v>244735.23666666669</v>
      </c>
      <c r="N72" s="60">
        <f t="shared" si="36"/>
        <v>84589.686666666646</v>
      </c>
      <c r="O72" s="17">
        <f t="shared" ref="O72:O78" si="37">SUM(C72:N72)</f>
        <v>-900794.83999999962</v>
      </c>
    </row>
    <row r="73" spans="1:16">
      <c r="B73" s="68" t="s">
        <v>38</v>
      </c>
      <c r="C73" s="60">
        <f t="shared" ref="C73:E79" si="38">C8-C40</f>
        <v>-86808.803333333315</v>
      </c>
      <c r="D73" s="60">
        <f t="shared" si="38"/>
        <v>-77564.583333333343</v>
      </c>
      <c r="E73" s="60">
        <f t="shared" si="38"/>
        <v>4401.84666666665</v>
      </c>
      <c r="F73" s="60">
        <f t="shared" ref="F73:G73" si="39">F8-F40</f>
        <v>51066.666666666657</v>
      </c>
      <c r="G73" s="60">
        <f t="shared" si="39"/>
        <v>54809.666666666657</v>
      </c>
      <c r="H73" s="60">
        <f t="shared" ref="H73:I73" si="40">H8-H40</f>
        <v>50090.666666666657</v>
      </c>
      <c r="I73" s="60">
        <f t="shared" si="40"/>
        <v>64448.666666666657</v>
      </c>
      <c r="J73" s="60">
        <f t="shared" ref="J73:K73" si="41">J8-J40</f>
        <v>70988.666666666657</v>
      </c>
      <c r="K73" s="60">
        <f t="shared" si="41"/>
        <v>61735.666666666657</v>
      </c>
      <c r="L73" s="60">
        <f t="shared" ref="L73:N73" si="42">L8-L40</f>
        <v>-49745.333333333343</v>
      </c>
      <c r="M73" s="60">
        <f t="shared" si="42"/>
        <v>-43659.473333333328</v>
      </c>
      <c r="N73" s="60">
        <f t="shared" si="42"/>
        <v>-67722.033333333355</v>
      </c>
      <c r="O73" s="17">
        <f t="shared" si="37"/>
        <v>32041.619999999908</v>
      </c>
    </row>
    <row r="74" spans="1:16">
      <c r="B74" s="68" t="s">
        <v>242</v>
      </c>
      <c r="C74" s="60">
        <f t="shared" si="38"/>
        <v>44500.383333333331</v>
      </c>
      <c r="D74" s="60">
        <f t="shared" si="38"/>
        <v>39859.913333333338</v>
      </c>
      <c r="E74" s="60">
        <f t="shared" si="38"/>
        <v>-173762.44666666666</v>
      </c>
      <c r="F74" s="60">
        <f t="shared" ref="F74:G74" si="43">F9-F41</f>
        <v>16470.833333333336</v>
      </c>
      <c r="G74" s="60">
        <f t="shared" si="43"/>
        <v>-39772.166666666664</v>
      </c>
      <c r="H74" s="60">
        <f t="shared" ref="H74:I74" si="44">H9-H41</f>
        <v>-38421.166666666664</v>
      </c>
      <c r="I74" s="60">
        <f t="shared" si="44"/>
        <v>49180.833333333336</v>
      </c>
      <c r="J74" s="60">
        <f t="shared" ref="J74:K74" si="45">J9-J41</f>
        <v>35539.833333333336</v>
      </c>
      <c r="K74" s="60">
        <f t="shared" si="45"/>
        <v>-93132.166666666657</v>
      </c>
      <c r="L74" s="60">
        <f t="shared" ref="L74:N74" si="46">L9-L41</f>
        <v>45925.833333333336</v>
      </c>
      <c r="M74" s="60">
        <f t="shared" si="46"/>
        <v>-106575.81666666665</v>
      </c>
      <c r="N74" s="60">
        <f t="shared" si="46"/>
        <v>-129198.65666666668</v>
      </c>
      <c r="O74" s="17">
        <f t="shared" si="37"/>
        <v>-349384.78999999992</v>
      </c>
    </row>
    <row r="75" spans="1:16" hidden="1">
      <c r="B75" s="68" t="s">
        <v>40</v>
      </c>
      <c r="C75" s="60">
        <f t="shared" si="38"/>
        <v>0</v>
      </c>
      <c r="D75" s="60">
        <f t="shared" si="38"/>
        <v>0</v>
      </c>
      <c r="E75" s="60">
        <f t="shared" si="38"/>
        <v>0</v>
      </c>
      <c r="F75" s="60">
        <f t="shared" ref="F75:G75" si="47">F10-F42</f>
        <v>0</v>
      </c>
      <c r="G75" s="60">
        <f t="shared" si="47"/>
        <v>0</v>
      </c>
      <c r="H75" s="60">
        <f t="shared" ref="H75:I75" si="48">H10-H42</f>
        <v>0</v>
      </c>
      <c r="I75" s="60">
        <f t="shared" si="48"/>
        <v>0</v>
      </c>
      <c r="J75" s="60">
        <f t="shared" ref="J75:K75" si="49">J10-J42</f>
        <v>0</v>
      </c>
      <c r="K75" s="60">
        <f t="shared" si="49"/>
        <v>0</v>
      </c>
      <c r="L75" s="60">
        <f t="shared" ref="L75:N75" si="50">L10-L42</f>
        <v>0</v>
      </c>
      <c r="M75" s="60">
        <f t="shared" si="50"/>
        <v>0</v>
      </c>
      <c r="N75" s="60">
        <f t="shared" si="50"/>
        <v>0</v>
      </c>
      <c r="O75" s="17">
        <f t="shared" si="37"/>
        <v>0</v>
      </c>
    </row>
    <row r="76" spans="1:16" hidden="1">
      <c r="B76" s="68" t="s">
        <v>41</v>
      </c>
      <c r="C76" s="60">
        <f t="shared" si="38"/>
        <v>0</v>
      </c>
      <c r="D76" s="60">
        <f t="shared" si="38"/>
        <v>0</v>
      </c>
      <c r="E76" s="60">
        <f t="shared" si="38"/>
        <v>0</v>
      </c>
      <c r="F76" s="60">
        <f t="shared" ref="F76:G76" si="51">F11-F43</f>
        <v>0</v>
      </c>
      <c r="G76" s="60">
        <f t="shared" si="51"/>
        <v>0</v>
      </c>
      <c r="H76" s="60">
        <f t="shared" ref="H76:I76" si="52">H11-H43</f>
        <v>0</v>
      </c>
      <c r="I76" s="60">
        <f t="shared" si="52"/>
        <v>0</v>
      </c>
      <c r="J76" s="60">
        <f t="shared" ref="J76:K76" si="53">J11-J43</f>
        <v>0</v>
      </c>
      <c r="K76" s="60">
        <f t="shared" si="53"/>
        <v>0</v>
      </c>
      <c r="L76" s="60">
        <f t="shared" ref="L76:N76" si="54">L11-L43</f>
        <v>0</v>
      </c>
      <c r="M76" s="60">
        <f t="shared" si="54"/>
        <v>0</v>
      </c>
      <c r="N76" s="60">
        <f t="shared" si="54"/>
        <v>0</v>
      </c>
      <c r="O76" s="17">
        <f t="shared" si="37"/>
        <v>0</v>
      </c>
    </row>
    <row r="77" spans="1:16" hidden="1">
      <c r="B77" s="68" t="s">
        <v>42</v>
      </c>
      <c r="C77" s="60">
        <f t="shared" si="38"/>
        <v>0</v>
      </c>
      <c r="D77" s="60">
        <f t="shared" si="38"/>
        <v>0</v>
      </c>
      <c r="E77" s="60">
        <f t="shared" si="38"/>
        <v>0</v>
      </c>
      <c r="F77" s="60">
        <f t="shared" ref="F77:G77" si="55">F12-F44</f>
        <v>0</v>
      </c>
      <c r="G77" s="60">
        <f t="shared" si="55"/>
        <v>0</v>
      </c>
      <c r="H77" s="60">
        <f t="shared" ref="H77:I77" si="56">H12-H44</f>
        <v>0</v>
      </c>
      <c r="I77" s="60">
        <f t="shared" si="56"/>
        <v>0</v>
      </c>
      <c r="J77" s="60">
        <f t="shared" ref="J77:K77" si="57">J12-J44</f>
        <v>0</v>
      </c>
      <c r="K77" s="60">
        <f t="shared" si="57"/>
        <v>0</v>
      </c>
      <c r="L77" s="60">
        <f t="shared" ref="L77:N77" si="58">L12-L44</f>
        <v>0</v>
      </c>
      <c r="M77" s="60">
        <f t="shared" si="58"/>
        <v>0</v>
      </c>
      <c r="N77" s="60">
        <f t="shared" si="58"/>
        <v>0</v>
      </c>
      <c r="O77" s="17">
        <f t="shared" si="37"/>
        <v>0</v>
      </c>
    </row>
    <row r="78" spans="1:16" hidden="1">
      <c r="B78" s="68" t="s">
        <v>43</v>
      </c>
      <c r="C78" s="60">
        <f t="shared" si="38"/>
        <v>0</v>
      </c>
      <c r="D78" s="60">
        <f t="shared" si="38"/>
        <v>0</v>
      </c>
      <c r="E78" s="60">
        <f t="shared" si="38"/>
        <v>0</v>
      </c>
      <c r="F78" s="60">
        <f t="shared" ref="F78:G78" si="59">F13-F45</f>
        <v>0</v>
      </c>
      <c r="G78" s="60">
        <f t="shared" si="59"/>
        <v>0</v>
      </c>
      <c r="H78" s="60">
        <f t="shared" ref="H78:I78" si="60">H13-H45</f>
        <v>0</v>
      </c>
      <c r="I78" s="60">
        <f t="shared" si="60"/>
        <v>0</v>
      </c>
      <c r="J78" s="60">
        <f t="shared" ref="J78:K78" si="61">J13-J45</f>
        <v>0</v>
      </c>
      <c r="K78" s="60">
        <f t="shared" si="61"/>
        <v>0</v>
      </c>
      <c r="L78" s="60">
        <f t="shared" ref="L78:N78" si="62">L13-L45</f>
        <v>0</v>
      </c>
      <c r="M78" s="60">
        <f t="shared" si="62"/>
        <v>0</v>
      </c>
      <c r="N78" s="60">
        <f t="shared" si="62"/>
        <v>0</v>
      </c>
      <c r="O78" s="17">
        <f t="shared" si="37"/>
        <v>0</v>
      </c>
    </row>
    <row r="79" spans="1:16">
      <c r="A79" t="s">
        <v>132</v>
      </c>
      <c r="B79" s="69" t="s">
        <v>48</v>
      </c>
      <c r="C79" s="20">
        <f t="shared" si="38"/>
        <v>-127723.18333333312</v>
      </c>
      <c r="D79" s="20">
        <f t="shared" si="38"/>
        <v>-69069.583333333372</v>
      </c>
      <c r="E79" s="20">
        <f t="shared" si="38"/>
        <v>-226155.60333333327</v>
      </c>
      <c r="F79" s="20">
        <f t="shared" ref="F79:G79" si="63">F14-F46</f>
        <v>-470022.08333333326</v>
      </c>
      <c r="G79" s="20">
        <f t="shared" si="63"/>
        <v>191952.91666666674</v>
      </c>
      <c r="H79" s="20">
        <f t="shared" ref="H79:I79" si="64">H14-H46</f>
        <v>61269.916666666744</v>
      </c>
      <c r="I79" s="20">
        <f t="shared" si="64"/>
        <v>206521.91666666674</v>
      </c>
      <c r="J79" s="20">
        <f t="shared" ref="J79:K79" si="65">J14-J46</f>
        <v>-214360.08333333326</v>
      </c>
      <c r="K79" s="20">
        <f t="shared" si="65"/>
        <v>-372736.08333333326</v>
      </c>
      <c r="L79" s="20">
        <f t="shared" ref="L79:N79" si="66">L14-L46</f>
        <v>-179985.08333333326</v>
      </c>
      <c r="M79" s="20">
        <f t="shared" si="66"/>
        <v>94499.946666666772</v>
      </c>
      <c r="N79" s="20">
        <f t="shared" si="66"/>
        <v>-112331.00333333341</v>
      </c>
      <c r="O79" s="20">
        <f t="shared" ref="O79" si="67">SUM(O72:O78)</f>
        <v>-1218138.0099999998</v>
      </c>
    </row>
    <row r="80" spans="1:16">
      <c r="B80" s="69"/>
      <c r="C80" s="59"/>
      <c r="D80" s="59"/>
      <c r="E80" s="59"/>
      <c r="F80" s="59"/>
      <c r="G80" s="59"/>
      <c r="H80" s="59"/>
      <c r="I80" s="59"/>
      <c r="J80" s="59"/>
      <c r="K80" s="59"/>
      <c r="L80" s="59"/>
      <c r="M80" s="59"/>
      <c r="N80" s="59"/>
      <c r="O80" s="19"/>
    </row>
    <row r="81" spans="1:15">
      <c r="B81" s="69" t="s">
        <v>126</v>
      </c>
      <c r="C81" s="59"/>
      <c r="D81" s="59"/>
      <c r="E81" s="59"/>
      <c r="F81" s="59"/>
      <c r="G81" s="59"/>
      <c r="H81" s="59"/>
      <c r="I81" s="59"/>
      <c r="J81" s="59"/>
      <c r="K81" s="59"/>
      <c r="L81" s="59"/>
      <c r="M81" s="59"/>
      <c r="N81" s="59"/>
      <c r="O81" s="17"/>
    </row>
    <row r="82" spans="1:15">
      <c r="B82" s="68" t="s">
        <v>37</v>
      </c>
      <c r="C82" s="60">
        <f t="shared" ref="C82:E82" si="68">C17-C49</f>
        <v>-248476.16666666666</v>
      </c>
      <c r="D82" s="60">
        <f t="shared" si="68"/>
        <v>-14498.126666666665</v>
      </c>
      <c r="E82" s="60">
        <f t="shared" si="68"/>
        <v>-85902.556666666671</v>
      </c>
      <c r="F82" s="60">
        <f t="shared" ref="F82:G82" si="69">F17-F49</f>
        <v>-18625.166666666668</v>
      </c>
      <c r="G82" s="60">
        <f t="shared" si="69"/>
        <v>-13522.166666666666</v>
      </c>
      <c r="H82" s="60">
        <f t="shared" ref="H82:I82" si="70">H17-H49</f>
        <v>-11658.166666666666</v>
      </c>
      <c r="I82" s="60">
        <f t="shared" si="70"/>
        <v>-25818.166666666668</v>
      </c>
      <c r="J82" s="60">
        <f t="shared" ref="J82:K82" si="71">J17-J49</f>
        <v>-17843.166666666668</v>
      </c>
      <c r="K82" s="60">
        <f t="shared" si="71"/>
        <v>-7847.1666666666661</v>
      </c>
      <c r="L82" s="60">
        <f t="shared" ref="L82:N82" si="72">L17-L49</f>
        <v>-49961.166666666664</v>
      </c>
      <c r="M82" s="60">
        <f t="shared" si="72"/>
        <v>-14414.986666666669</v>
      </c>
      <c r="N82" s="60">
        <f t="shared" si="72"/>
        <v>-44501.266666666663</v>
      </c>
      <c r="O82" s="17">
        <f t="shared" ref="O82:O88" si="73">SUM(C82:N82)</f>
        <v>-553068.27000000014</v>
      </c>
    </row>
    <row r="83" spans="1:15">
      <c r="B83" s="68" t="s">
        <v>38</v>
      </c>
      <c r="C83" s="60">
        <f t="shared" ref="C83:E83" si="74">C18-C50</f>
        <v>-34295.836666666662</v>
      </c>
      <c r="D83" s="60">
        <f t="shared" si="74"/>
        <v>2284.9033333333355</v>
      </c>
      <c r="E83" s="60">
        <f t="shared" si="74"/>
        <v>-25509.926666666666</v>
      </c>
      <c r="F83" s="60">
        <f t="shared" ref="F83:G83" si="75">F18-F50</f>
        <v>7611.0833333333358</v>
      </c>
      <c r="G83" s="60">
        <f t="shared" si="75"/>
        <v>-7904.9166666666642</v>
      </c>
      <c r="H83" s="60">
        <f t="shared" ref="H83:I83" si="76">H18-H50</f>
        <v>10790.083333333336</v>
      </c>
      <c r="I83" s="60">
        <f t="shared" si="76"/>
        <v>-18884.916666666664</v>
      </c>
      <c r="J83" s="60">
        <f t="shared" ref="J83:K83" si="77">J18-J50</f>
        <v>-14367.916666666664</v>
      </c>
      <c r="K83" s="60">
        <f t="shared" si="77"/>
        <v>33307.083333333336</v>
      </c>
      <c r="L83" s="60">
        <f t="shared" ref="L83:N83" si="78">L18-L50</f>
        <v>-68056.916666666657</v>
      </c>
      <c r="M83" s="60">
        <f t="shared" si="78"/>
        <v>-123086.94666666666</v>
      </c>
      <c r="N83" s="60">
        <f t="shared" si="78"/>
        <v>-48225.186666666668</v>
      </c>
      <c r="O83" s="17">
        <f t="shared" si="73"/>
        <v>-286339.40999999992</v>
      </c>
    </row>
    <row r="84" spans="1:15">
      <c r="B84" s="68" t="s">
        <v>242</v>
      </c>
      <c r="C84" s="60">
        <f t="shared" ref="C84:E84" si="79">C19-C51</f>
        <v>69378.509999999995</v>
      </c>
      <c r="D84" s="60">
        <f t="shared" si="79"/>
        <v>-2981.95</v>
      </c>
      <c r="E84" s="60">
        <f t="shared" si="79"/>
        <v>-46077.66</v>
      </c>
      <c r="F84" s="60">
        <f t="shared" ref="F84:G84" si="80">F19-F51</f>
        <v>23923</v>
      </c>
      <c r="G84" s="60">
        <f t="shared" si="80"/>
        <v>-77</v>
      </c>
      <c r="H84" s="60">
        <f t="shared" ref="H84:I84" si="81">H19-H51</f>
        <v>-16537</v>
      </c>
      <c r="I84" s="60">
        <f t="shared" si="81"/>
        <v>-10237</v>
      </c>
      <c r="J84" s="60">
        <f t="shared" ref="J84:K84" si="82">J19-J51</f>
        <v>15048</v>
      </c>
      <c r="K84" s="60">
        <f t="shared" si="82"/>
        <v>-20977</v>
      </c>
      <c r="L84" s="60">
        <f t="shared" ref="L84:N84" si="83">L19-L51</f>
        <v>-4073</v>
      </c>
      <c r="M84" s="60">
        <f t="shared" si="83"/>
        <v>-17575.760000000002</v>
      </c>
      <c r="N84" s="60">
        <f t="shared" si="83"/>
        <v>-2288.25</v>
      </c>
      <c r="O84" s="17">
        <f t="shared" si="73"/>
        <v>-12475.110000000008</v>
      </c>
    </row>
    <row r="85" spans="1:15" hidden="1">
      <c r="B85" s="68" t="s">
        <v>40</v>
      </c>
      <c r="C85" s="60">
        <f t="shared" ref="C85:E85" si="84">C20-C52</f>
        <v>0</v>
      </c>
      <c r="D85" s="60">
        <f t="shared" si="84"/>
        <v>0</v>
      </c>
      <c r="E85" s="60">
        <f t="shared" si="84"/>
        <v>0</v>
      </c>
      <c r="F85" s="60">
        <f t="shared" ref="F85:G85" si="85">F20-F52</f>
        <v>0</v>
      </c>
      <c r="G85" s="60">
        <f t="shared" si="85"/>
        <v>0</v>
      </c>
      <c r="H85" s="60">
        <f t="shared" ref="H85:I85" si="86">H20-H52</f>
        <v>0</v>
      </c>
      <c r="I85" s="60">
        <f t="shared" si="86"/>
        <v>0</v>
      </c>
      <c r="J85" s="60">
        <f t="shared" ref="J85:K85" si="87">J20-J52</f>
        <v>0</v>
      </c>
      <c r="K85" s="60">
        <f t="shared" si="87"/>
        <v>0</v>
      </c>
      <c r="L85" s="60">
        <f t="shared" ref="L85:N85" si="88">L20-L52</f>
        <v>0</v>
      </c>
      <c r="M85" s="60">
        <f t="shared" si="88"/>
        <v>0</v>
      </c>
      <c r="N85" s="60">
        <f t="shared" si="88"/>
        <v>0</v>
      </c>
      <c r="O85" s="17">
        <f t="shared" si="73"/>
        <v>0</v>
      </c>
    </row>
    <row r="86" spans="1:15" hidden="1">
      <c r="B86" s="68" t="s">
        <v>41</v>
      </c>
      <c r="C86" s="60">
        <f t="shared" ref="C86:E86" si="89">C21-C53</f>
        <v>0</v>
      </c>
      <c r="D86" s="60">
        <f t="shared" si="89"/>
        <v>0</v>
      </c>
      <c r="E86" s="60">
        <f t="shared" si="89"/>
        <v>0</v>
      </c>
      <c r="F86" s="60">
        <f t="shared" ref="F86:G86" si="90">F21-F53</f>
        <v>0</v>
      </c>
      <c r="G86" s="60">
        <f t="shared" si="90"/>
        <v>0</v>
      </c>
      <c r="H86" s="60">
        <f t="shared" ref="H86:I86" si="91">H21-H53</f>
        <v>0</v>
      </c>
      <c r="I86" s="60">
        <f t="shared" si="91"/>
        <v>0</v>
      </c>
      <c r="J86" s="60">
        <f t="shared" ref="J86:K86" si="92">J21-J53</f>
        <v>0</v>
      </c>
      <c r="K86" s="60">
        <f t="shared" si="92"/>
        <v>0</v>
      </c>
      <c r="L86" s="60">
        <f t="shared" ref="L86:N86" si="93">L21-L53</f>
        <v>0</v>
      </c>
      <c r="M86" s="60">
        <f t="shared" si="93"/>
        <v>0</v>
      </c>
      <c r="N86" s="60">
        <f t="shared" si="93"/>
        <v>0</v>
      </c>
      <c r="O86" s="17">
        <f t="shared" si="73"/>
        <v>0</v>
      </c>
    </row>
    <row r="87" spans="1:15">
      <c r="B87" s="68" t="s">
        <v>42</v>
      </c>
      <c r="C87" s="60">
        <f t="shared" ref="C87:E87" si="94">C22-C54</f>
        <v>121160.32333333333</v>
      </c>
      <c r="D87" s="60">
        <f t="shared" si="94"/>
        <v>121116.41333333333</v>
      </c>
      <c r="E87" s="60">
        <f t="shared" si="94"/>
        <v>-180017.07666666666</v>
      </c>
      <c r="F87" s="60">
        <f t="shared" ref="F87:G87" si="95">F22-F54</f>
        <v>120891.58333333333</v>
      </c>
      <c r="G87" s="60">
        <f t="shared" si="95"/>
        <v>121304.58333333333</v>
      </c>
      <c r="H87" s="60">
        <f t="shared" ref="H87:I87" si="96">H22-H54</f>
        <v>-162519.41666666669</v>
      </c>
      <c r="I87" s="60">
        <f t="shared" si="96"/>
        <v>121047.58333333333</v>
      </c>
      <c r="J87" s="60">
        <f t="shared" ref="J87:K87" si="97">J22-J54</f>
        <v>121103.58333333333</v>
      </c>
      <c r="K87" s="60">
        <f t="shared" si="97"/>
        <v>120057.58333333333</v>
      </c>
      <c r="L87" s="60">
        <f t="shared" ref="L87:N87" si="98">L22-L54</f>
        <v>120868.58333333333</v>
      </c>
      <c r="M87" s="60">
        <f t="shared" si="98"/>
        <v>-199151.33666666667</v>
      </c>
      <c r="N87" s="60">
        <f t="shared" si="98"/>
        <v>-117575.00666666668</v>
      </c>
      <c r="O87" s="17">
        <f t="shared" si="73"/>
        <v>308287.39999999991</v>
      </c>
    </row>
    <row r="88" spans="1:15">
      <c r="B88" s="68" t="s">
        <v>43</v>
      </c>
      <c r="C88" s="60">
        <f t="shared" ref="C88:E88" si="99">C23-C55</f>
        <v>4800.5866666666698</v>
      </c>
      <c r="D88" s="60">
        <f t="shared" si="99"/>
        <v>134.66666666667152</v>
      </c>
      <c r="E88" s="60">
        <f t="shared" si="99"/>
        <v>-20163.013333333321</v>
      </c>
      <c r="F88" s="60">
        <f t="shared" ref="F88:G88" si="100">F23-F55</f>
        <v>-18884.083333333328</v>
      </c>
      <c r="G88" s="60">
        <f t="shared" si="100"/>
        <v>54589.916666666672</v>
      </c>
      <c r="H88" s="60">
        <f t="shared" ref="H88:I88" si="101">H23-H55</f>
        <v>5669.9166666666715</v>
      </c>
      <c r="I88" s="60">
        <f t="shared" si="101"/>
        <v>-15529.083333333328</v>
      </c>
      <c r="J88" s="60">
        <f t="shared" ref="J88:K88" si="102">J23-J55</f>
        <v>-2162.0833333333285</v>
      </c>
      <c r="K88" s="60">
        <f t="shared" si="102"/>
        <v>25918.916666666672</v>
      </c>
      <c r="L88" s="60">
        <f t="shared" ref="L88:N88" si="103">L23-L55</f>
        <v>51216.916666666672</v>
      </c>
      <c r="M88" s="60">
        <f t="shared" si="103"/>
        <v>-54334.443333333344</v>
      </c>
      <c r="N88" s="60">
        <f t="shared" si="103"/>
        <v>-21729.773333333316</v>
      </c>
      <c r="O88" s="17">
        <f t="shared" si="73"/>
        <v>9528.4400000000605</v>
      </c>
    </row>
    <row r="89" spans="1:15">
      <c r="A89" t="s">
        <v>133</v>
      </c>
      <c r="B89" s="69" t="s">
        <v>48</v>
      </c>
      <c r="C89" s="20">
        <f t="shared" ref="C89:E89" si="104">C24-C56</f>
        <v>-87432.583333333314</v>
      </c>
      <c r="D89" s="20">
        <f t="shared" si="104"/>
        <v>106055.90666666668</v>
      </c>
      <c r="E89" s="20">
        <f t="shared" si="104"/>
        <v>-357670.23333333322</v>
      </c>
      <c r="F89" s="20">
        <f t="shared" ref="F89:G89" si="105">F24-F56</f>
        <v>114916.41666666669</v>
      </c>
      <c r="G89" s="20">
        <f t="shared" si="105"/>
        <v>154390.41666666669</v>
      </c>
      <c r="H89" s="20">
        <f t="shared" ref="H89:I89" si="106">H24-H56</f>
        <v>-174254.58333333331</v>
      </c>
      <c r="I89" s="20">
        <f t="shared" si="106"/>
        <v>50578.416666666686</v>
      </c>
      <c r="J89" s="20">
        <f t="shared" ref="J89:K89" si="107">J24-J56</f>
        <v>101778.41666666669</v>
      </c>
      <c r="K89" s="20">
        <f t="shared" si="107"/>
        <v>150459.41666666669</v>
      </c>
      <c r="L89" s="20">
        <f t="shared" ref="L89:N89" si="108">L24-L56</f>
        <v>49994.416666666686</v>
      </c>
      <c r="M89" s="20">
        <f t="shared" si="108"/>
        <v>-408563.47333333333</v>
      </c>
      <c r="N89" s="20">
        <f t="shared" si="108"/>
        <v>-234319.48333333334</v>
      </c>
      <c r="O89" s="20">
        <f t="shared" ref="O89" si="109">SUM(O82:O88)</f>
        <v>-534066.95000000007</v>
      </c>
    </row>
    <row r="90" spans="1:15">
      <c r="B90" s="69"/>
      <c r="C90" s="59"/>
      <c r="D90" s="59"/>
      <c r="E90" s="59"/>
      <c r="F90" s="59"/>
      <c r="G90" s="59"/>
      <c r="H90" s="59"/>
      <c r="I90" s="59"/>
      <c r="J90" s="59"/>
      <c r="K90" s="59"/>
      <c r="L90" s="59"/>
      <c r="M90" s="59"/>
      <c r="N90" s="59"/>
      <c r="O90" s="19"/>
    </row>
    <row r="91" spans="1:15">
      <c r="B91" s="69" t="s">
        <v>127</v>
      </c>
      <c r="C91" s="59"/>
      <c r="D91" s="59"/>
      <c r="E91" s="59"/>
      <c r="F91" s="59"/>
      <c r="G91" s="59"/>
      <c r="H91" s="59"/>
      <c r="I91" s="59"/>
      <c r="J91" s="59"/>
      <c r="K91" s="59"/>
      <c r="L91" s="59"/>
      <c r="M91" s="59"/>
      <c r="N91" s="59"/>
      <c r="O91" s="19"/>
    </row>
    <row r="92" spans="1:15">
      <c r="B92" s="68" t="s">
        <v>37</v>
      </c>
      <c r="C92" s="60">
        <f t="shared" ref="C92:E92" si="110">C27-C59</f>
        <v>51183.813333333339</v>
      </c>
      <c r="D92" s="60">
        <f t="shared" si="110"/>
        <v>49035.603333333333</v>
      </c>
      <c r="E92" s="60">
        <f t="shared" si="110"/>
        <v>49951.983333333337</v>
      </c>
      <c r="F92" s="60">
        <f t="shared" ref="F92:G92" si="111">F27-F59</f>
        <v>53704.833333333336</v>
      </c>
      <c r="G92" s="60">
        <f t="shared" si="111"/>
        <v>50674.833333333336</v>
      </c>
      <c r="H92" s="60">
        <f t="shared" ref="H92:I92" si="112">H27-H59</f>
        <v>52397.833333333336</v>
      </c>
      <c r="I92" s="60">
        <f t="shared" si="112"/>
        <v>54039.833333333336</v>
      </c>
      <c r="J92" s="60">
        <f t="shared" ref="J92:K92" si="113">J27-J59</f>
        <v>52122.833333333336</v>
      </c>
      <c r="K92" s="60">
        <f t="shared" si="113"/>
        <v>52401.833333333336</v>
      </c>
      <c r="L92" s="60">
        <f t="shared" ref="L92:N92" si="114">L27-L59</f>
        <v>51653.833333333336</v>
      </c>
      <c r="M92" s="60">
        <f t="shared" si="114"/>
        <v>52147.283333333333</v>
      </c>
      <c r="N92" s="60">
        <f t="shared" si="114"/>
        <v>53600.583333333336</v>
      </c>
      <c r="O92" s="17">
        <f t="shared" ref="O92:O98" si="115">SUM(C92:N92)</f>
        <v>622915.1</v>
      </c>
    </row>
    <row r="93" spans="1:15">
      <c r="B93" s="68" t="s">
        <v>38</v>
      </c>
      <c r="C93" s="60">
        <f t="shared" ref="C93:E93" si="116">C28-C60</f>
        <v>37643.78</v>
      </c>
      <c r="D93" s="60">
        <f t="shared" si="116"/>
        <v>37615.800000000003</v>
      </c>
      <c r="E93" s="60">
        <f t="shared" si="116"/>
        <v>37760</v>
      </c>
      <c r="F93" s="60">
        <f t="shared" ref="F93:G93" si="117">F28-F60</f>
        <v>34591</v>
      </c>
      <c r="G93" s="60">
        <f t="shared" si="117"/>
        <v>29285</v>
      </c>
      <c r="H93" s="60">
        <f t="shared" ref="H93:I93" si="118">H28-H60</f>
        <v>30548</v>
      </c>
      <c r="I93" s="60">
        <f t="shared" si="118"/>
        <v>35419</v>
      </c>
      <c r="J93" s="60">
        <f t="shared" ref="J93:K93" si="119">J28-J60</f>
        <v>35311</v>
      </c>
      <c r="K93" s="60">
        <f t="shared" si="119"/>
        <v>35708</v>
      </c>
      <c r="L93" s="60">
        <f t="shared" ref="L93:N93" si="120">L28-L60</f>
        <v>37025</v>
      </c>
      <c r="M93" s="60">
        <f t="shared" si="120"/>
        <v>36391.94</v>
      </c>
      <c r="N93" s="60">
        <f t="shared" si="120"/>
        <v>36509.9</v>
      </c>
      <c r="O93" s="17">
        <f t="shared" si="115"/>
        <v>423808.42000000004</v>
      </c>
    </row>
    <row r="94" spans="1:15">
      <c r="B94" s="68" t="s">
        <v>242</v>
      </c>
      <c r="C94" s="60">
        <f t="shared" ref="C94:E94" si="121">C29-C61</f>
        <v>2744.5</v>
      </c>
      <c r="D94" s="60">
        <f t="shared" si="121"/>
        <v>2744.5</v>
      </c>
      <c r="E94" s="60">
        <f t="shared" si="121"/>
        <v>2744.5</v>
      </c>
      <c r="F94" s="60">
        <f t="shared" ref="F94:G94" si="122">F29-F61</f>
        <v>2744.5</v>
      </c>
      <c r="G94" s="60">
        <f t="shared" si="122"/>
        <v>2744.5</v>
      </c>
      <c r="H94" s="60">
        <f t="shared" ref="H94:I94" si="123">H29-H61</f>
        <v>2744.5</v>
      </c>
      <c r="I94" s="60">
        <f t="shared" si="123"/>
        <v>2744.5</v>
      </c>
      <c r="J94" s="60">
        <f t="shared" ref="J94:K94" si="124">J29-J61</f>
        <v>2744.5</v>
      </c>
      <c r="K94" s="60">
        <f t="shared" si="124"/>
        <v>2744.5</v>
      </c>
      <c r="L94" s="60">
        <f t="shared" ref="L94:N94" si="125">L29-L61</f>
        <v>2744.5</v>
      </c>
      <c r="M94" s="60">
        <f t="shared" si="125"/>
        <v>2744.5</v>
      </c>
      <c r="N94" s="60">
        <f t="shared" si="125"/>
        <v>2744.5</v>
      </c>
      <c r="O94" s="17">
        <f t="shared" si="115"/>
        <v>32934</v>
      </c>
    </row>
    <row r="95" spans="1:15">
      <c r="B95" s="68" t="s">
        <v>40</v>
      </c>
      <c r="C95" s="60">
        <f t="shared" ref="C95:E95" si="126">C30-C62</f>
        <v>0</v>
      </c>
      <c r="D95" s="60">
        <f t="shared" si="126"/>
        <v>0</v>
      </c>
      <c r="E95" s="60">
        <f t="shared" si="126"/>
        <v>0</v>
      </c>
      <c r="F95" s="60">
        <f t="shared" ref="F95:G95" si="127">F30-F62</f>
        <v>0</v>
      </c>
      <c r="G95" s="60">
        <f t="shared" si="127"/>
        <v>0</v>
      </c>
      <c r="H95" s="60">
        <f t="shared" ref="H95:I95" si="128">H30-H62</f>
        <v>0</v>
      </c>
      <c r="I95" s="60">
        <f t="shared" si="128"/>
        <v>0</v>
      </c>
      <c r="J95" s="60">
        <f t="shared" ref="J95:K95" si="129">J30-J62</f>
        <v>0</v>
      </c>
      <c r="K95" s="60">
        <f t="shared" si="129"/>
        <v>0</v>
      </c>
      <c r="L95" s="60">
        <f t="shared" ref="L95:N95" si="130">L30-L62</f>
        <v>0</v>
      </c>
      <c r="M95" s="60">
        <f t="shared" si="130"/>
        <v>0</v>
      </c>
      <c r="N95" s="60">
        <f t="shared" si="130"/>
        <v>0</v>
      </c>
      <c r="O95" s="17">
        <f t="shared" si="115"/>
        <v>0</v>
      </c>
    </row>
    <row r="96" spans="1:15">
      <c r="B96" s="68" t="s">
        <v>41</v>
      </c>
      <c r="C96" s="60">
        <f t="shared" ref="C96:E96" si="131">C31-C63</f>
        <v>0</v>
      </c>
      <c r="D96" s="60">
        <f t="shared" si="131"/>
        <v>0</v>
      </c>
      <c r="E96" s="60">
        <f t="shared" si="131"/>
        <v>0</v>
      </c>
      <c r="F96" s="60">
        <f t="shared" ref="F96:G96" si="132">F31-F63</f>
        <v>0</v>
      </c>
      <c r="G96" s="60">
        <f t="shared" si="132"/>
        <v>0</v>
      </c>
      <c r="H96" s="60">
        <f t="shared" ref="H96:I96" si="133">H31-H63</f>
        <v>0</v>
      </c>
      <c r="I96" s="60">
        <f t="shared" si="133"/>
        <v>0</v>
      </c>
      <c r="J96" s="60">
        <f t="shared" ref="J96:K96" si="134">J31-J63</f>
        <v>0</v>
      </c>
      <c r="K96" s="60">
        <f t="shared" si="134"/>
        <v>0</v>
      </c>
      <c r="L96" s="60">
        <f t="shared" ref="L96:N96" si="135">L31-L63</f>
        <v>0</v>
      </c>
      <c r="M96" s="60">
        <f t="shared" si="135"/>
        <v>0</v>
      </c>
      <c r="N96" s="60">
        <f t="shared" si="135"/>
        <v>0</v>
      </c>
      <c r="O96" s="17">
        <f t="shared" si="115"/>
        <v>0</v>
      </c>
    </row>
    <row r="97" spans="1:15">
      <c r="B97" s="68" t="s">
        <v>42</v>
      </c>
      <c r="C97" s="60">
        <f t="shared" ref="C97:E97" si="136">C32-C64</f>
        <v>0</v>
      </c>
      <c r="D97" s="60">
        <f t="shared" si="136"/>
        <v>0</v>
      </c>
      <c r="E97" s="60">
        <f t="shared" si="136"/>
        <v>0</v>
      </c>
      <c r="F97" s="60">
        <f t="shared" ref="F97:G97" si="137">F32-F64</f>
        <v>0</v>
      </c>
      <c r="G97" s="60">
        <f t="shared" si="137"/>
        <v>0</v>
      </c>
      <c r="H97" s="60">
        <f t="shared" ref="H97:I97" si="138">H32-H64</f>
        <v>0</v>
      </c>
      <c r="I97" s="60">
        <f t="shared" si="138"/>
        <v>0</v>
      </c>
      <c r="J97" s="60">
        <f t="shared" ref="J97:K97" si="139">J32-J64</f>
        <v>0</v>
      </c>
      <c r="K97" s="60">
        <f t="shared" si="139"/>
        <v>0</v>
      </c>
      <c r="L97" s="60">
        <f t="shared" ref="L97:N97" si="140">L32-L64</f>
        <v>0</v>
      </c>
      <c r="M97" s="60">
        <f t="shared" si="140"/>
        <v>0</v>
      </c>
      <c r="N97" s="60">
        <f t="shared" si="140"/>
        <v>0</v>
      </c>
      <c r="O97" s="17">
        <f t="shared" si="115"/>
        <v>0</v>
      </c>
    </row>
    <row r="98" spans="1:15">
      <c r="B98" s="68" t="s">
        <v>43</v>
      </c>
      <c r="C98" s="60">
        <f t="shared" ref="C98:E98" si="141">C33-C65</f>
        <v>46833.916666666664</v>
      </c>
      <c r="D98" s="60">
        <f t="shared" si="141"/>
        <v>46833.916666666664</v>
      </c>
      <c r="E98" s="60">
        <f t="shared" si="141"/>
        <v>46833.916666666664</v>
      </c>
      <c r="F98" s="60">
        <f t="shared" ref="F98:G98" si="142">F33-F65</f>
        <v>46242.916666666664</v>
      </c>
      <c r="G98" s="60">
        <f t="shared" si="142"/>
        <v>42599.916666666664</v>
      </c>
      <c r="H98" s="60">
        <f t="shared" ref="H98:I98" si="143">H33-H65</f>
        <v>42927.916666666664</v>
      </c>
      <c r="I98" s="60">
        <f t="shared" si="143"/>
        <v>42794.916666666664</v>
      </c>
      <c r="J98" s="60">
        <f t="shared" ref="J98:K98" si="144">J33-J65</f>
        <v>45695.916666666664</v>
      </c>
      <c r="K98" s="60">
        <f t="shared" si="144"/>
        <v>44360.916666666664</v>
      </c>
      <c r="L98" s="60">
        <f t="shared" ref="L98:N98" si="145">L33-L65</f>
        <v>43985.916666666664</v>
      </c>
      <c r="M98" s="60">
        <f t="shared" si="145"/>
        <v>45850.576666666668</v>
      </c>
      <c r="N98" s="60">
        <f t="shared" si="145"/>
        <v>46833.916666666664</v>
      </c>
      <c r="O98" s="17">
        <f t="shared" si="115"/>
        <v>541794.66</v>
      </c>
    </row>
    <row r="99" spans="1:15">
      <c r="A99" t="s">
        <v>134</v>
      </c>
      <c r="B99" s="69" t="s">
        <v>48</v>
      </c>
      <c r="C99" s="20">
        <f t="shared" ref="C99:E99" si="146">C34-C66</f>
        <v>138406.01</v>
      </c>
      <c r="D99" s="20">
        <f t="shared" si="146"/>
        <v>136229.82</v>
      </c>
      <c r="E99" s="20">
        <f t="shared" si="146"/>
        <v>137290.4</v>
      </c>
      <c r="F99" s="20">
        <f t="shared" ref="F99:G99" si="147">F34-F66</f>
        <v>137283.25</v>
      </c>
      <c r="G99" s="20">
        <f t="shared" si="147"/>
        <v>125304.25</v>
      </c>
      <c r="H99" s="20">
        <f t="shared" ref="H99:I99" si="148">H34-H66</f>
        <v>128618.25</v>
      </c>
      <c r="I99" s="20">
        <f t="shared" si="148"/>
        <v>134998.25</v>
      </c>
      <c r="J99" s="20">
        <f t="shared" ref="J99:K99" si="149">J34-J66</f>
        <v>135874.25</v>
      </c>
      <c r="K99" s="20">
        <f t="shared" si="149"/>
        <v>135215.25</v>
      </c>
      <c r="L99" s="20">
        <f t="shared" ref="L99:N99" si="150">L34-L66</f>
        <v>135409.25</v>
      </c>
      <c r="M99" s="20">
        <f t="shared" si="150"/>
        <v>137134.29999999999</v>
      </c>
      <c r="N99" s="20">
        <f t="shared" si="150"/>
        <v>139688.9</v>
      </c>
      <c r="O99" s="20">
        <f t="shared" ref="O99" si="151">SUM(O92:O98)</f>
        <v>1621452.1800000002</v>
      </c>
    </row>
    <row r="100" spans="1:15">
      <c r="B100" s="69"/>
      <c r="C100" s="59"/>
      <c r="D100" s="59"/>
      <c r="E100" s="59"/>
      <c r="F100" s="59"/>
      <c r="G100" s="59"/>
      <c r="H100" s="59"/>
      <c r="I100" s="59"/>
      <c r="J100" s="59"/>
      <c r="K100" s="59"/>
      <c r="L100" s="59"/>
      <c r="M100" s="59"/>
      <c r="N100" s="59"/>
      <c r="O100" s="19"/>
    </row>
    <row r="101" spans="1:15" ht="15.75" thickBot="1">
      <c r="B101" s="69" t="s">
        <v>48</v>
      </c>
      <c r="C101" s="62">
        <f>C36-C68</f>
        <v>-76749.756666666362</v>
      </c>
      <c r="D101" s="62">
        <f t="shared" ref="D101:E101" si="152">D36-D68</f>
        <v>173216.14333333331</v>
      </c>
      <c r="E101" s="62">
        <f t="shared" si="152"/>
        <v>-446535.43666666653</v>
      </c>
      <c r="F101" s="62">
        <f t="shared" ref="F101:G101" si="153">F36-F68</f>
        <v>-217822.41666666651</v>
      </c>
      <c r="G101" s="62">
        <f t="shared" si="153"/>
        <v>471647.58333333349</v>
      </c>
      <c r="H101" s="62">
        <f t="shared" ref="H101:I101" si="154">H36-H68</f>
        <v>15633.583333333489</v>
      </c>
      <c r="I101" s="62">
        <f t="shared" si="154"/>
        <v>392098.58333333349</v>
      </c>
      <c r="J101" s="62">
        <f t="shared" ref="J101:N101" si="155">J36-J68</f>
        <v>23292.583333333489</v>
      </c>
      <c r="K101" s="62">
        <f t="shared" si="155"/>
        <v>-87061.416666666511</v>
      </c>
      <c r="L101" s="62">
        <f t="shared" si="155"/>
        <v>5418.5833333334886</v>
      </c>
      <c r="M101" s="62">
        <f t="shared" si="155"/>
        <v>-176929.22666666657</v>
      </c>
      <c r="N101" s="62">
        <f t="shared" si="155"/>
        <v>-206961.58666666667</v>
      </c>
      <c r="O101" s="62">
        <f t="shared" ref="O101" si="156">O99+O89+O79</f>
        <v>-130752.7799999998</v>
      </c>
    </row>
    <row r="102" spans="1:15" ht="15.75" thickTop="1">
      <c r="B102" s="10"/>
    </row>
    <row r="103" spans="1:15">
      <c r="B103" s="10"/>
    </row>
    <row r="104" spans="1:15">
      <c r="B104" s="56" t="s">
        <v>77</v>
      </c>
      <c r="C104" s="19"/>
      <c r="D104" s="19"/>
      <c r="E104" s="19"/>
      <c r="F104" s="19"/>
      <c r="G104" s="19"/>
      <c r="H104" s="19"/>
      <c r="I104" s="19"/>
      <c r="J104" s="19"/>
      <c r="K104" s="19"/>
      <c r="L104" s="19"/>
      <c r="M104" s="19"/>
      <c r="N104" s="19"/>
      <c r="O104" s="19"/>
    </row>
    <row r="105" spans="1:15" ht="31.5" customHeight="1">
      <c r="B105" s="149" t="s">
        <v>86</v>
      </c>
      <c r="C105" s="149"/>
      <c r="D105" s="149"/>
      <c r="E105" s="149"/>
      <c r="F105" s="149"/>
      <c r="G105" s="149"/>
      <c r="H105" s="149"/>
      <c r="I105" s="149"/>
      <c r="J105" s="149"/>
      <c r="K105" s="149"/>
      <c r="L105" s="149"/>
      <c r="M105" s="149"/>
      <c r="N105" s="149"/>
      <c r="O105" s="149"/>
    </row>
    <row r="106" spans="1:15" ht="31.5" customHeight="1">
      <c r="B106" s="149" t="s">
        <v>87</v>
      </c>
      <c r="C106" s="149"/>
      <c r="D106" s="149"/>
      <c r="E106" s="149"/>
      <c r="F106" s="149"/>
      <c r="G106" s="149"/>
      <c r="H106" s="149"/>
      <c r="I106" s="149"/>
      <c r="J106" s="149"/>
      <c r="K106" s="149"/>
      <c r="L106" s="149"/>
      <c r="M106" s="149"/>
      <c r="N106" s="149"/>
      <c r="O106" s="149"/>
    </row>
    <row r="108" spans="1:15">
      <c r="B108" s="112" t="s">
        <v>79</v>
      </c>
    </row>
    <row r="109" spans="1:15">
      <c r="B109" s="148" t="s">
        <v>104</v>
      </c>
      <c r="C109" s="148"/>
      <c r="D109" s="148"/>
      <c r="E109" s="148"/>
      <c r="F109" s="148"/>
      <c r="G109" s="148"/>
      <c r="H109" s="148"/>
      <c r="I109" s="148"/>
      <c r="J109" s="148"/>
      <c r="K109" s="148"/>
      <c r="L109" s="148"/>
      <c r="M109" s="148"/>
      <c r="N109" s="148"/>
      <c r="O109" s="148"/>
    </row>
    <row r="110" spans="1:15">
      <c r="B110" s="148" t="s">
        <v>82</v>
      </c>
      <c r="C110" s="148"/>
      <c r="D110" s="148"/>
      <c r="E110" s="148"/>
      <c r="F110" s="148"/>
      <c r="G110" s="148"/>
      <c r="H110" s="148"/>
      <c r="I110" s="148"/>
      <c r="J110" s="148"/>
      <c r="K110" s="148"/>
      <c r="L110" s="148"/>
      <c r="M110" s="148"/>
      <c r="N110" s="148"/>
      <c r="O110" s="148"/>
    </row>
    <row r="111" spans="1:15" ht="30.75" customHeight="1">
      <c r="B111" s="144" t="s">
        <v>83</v>
      </c>
      <c r="C111" s="144"/>
      <c r="D111" s="144"/>
      <c r="E111" s="144"/>
      <c r="F111" s="144"/>
      <c r="G111" s="144"/>
      <c r="H111" s="144"/>
      <c r="I111" s="144"/>
      <c r="J111" s="144"/>
      <c r="K111" s="144"/>
      <c r="L111" s="144"/>
      <c r="M111" s="144"/>
      <c r="N111" s="144"/>
      <c r="O111" s="144"/>
    </row>
    <row r="112" spans="1:15" ht="29.25" customHeight="1">
      <c r="B112" s="144" t="s">
        <v>178</v>
      </c>
      <c r="C112" s="144"/>
      <c r="D112" s="144"/>
      <c r="E112" s="144"/>
      <c r="F112" s="144"/>
      <c r="G112" s="144"/>
      <c r="H112" s="144"/>
      <c r="I112" s="144"/>
      <c r="J112" s="144"/>
      <c r="K112" s="144"/>
      <c r="L112" s="144"/>
      <c r="M112" s="144"/>
      <c r="N112" s="144"/>
      <c r="O112" s="144"/>
    </row>
    <row r="113" spans="2:15">
      <c r="B113" s="144" t="s">
        <v>179</v>
      </c>
      <c r="C113" s="144"/>
      <c r="D113" s="144"/>
      <c r="E113" s="144"/>
      <c r="F113" s="144"/>
      <c r="G113" s="144"/>
      <c r="H113" s="144"/>
      <c r="I113" s="144"/>
      <c r="J113" s="144"/>
      <c r="K113" s="144"/>
      <c r="L113" s="144"/>
      <c r="M113" s="144"/>
      <c r="N113" s="144"/>
      <c r="O113" s="144"/>
    </row>
    <row r="114" spans="2:15">
      <c r="B114" s="144" t="s">
        <v>189</v>
      </c>
      <c r="C114" s="144"/>
      <c r="D114" s="144"/>
      <c r="E114" s="144"/>
      <c r="F114" s="144"/>
      <c r="G114" s="144"/>
      <c r="H114" s="144"/>
      <c r="I114" s="144"/>
      <c r="J114" s="144"/>
      <c r="K114" s="144"/>
      <c r="L114" s="144"/>
      <c r="M114" s="144"/>
      <c r="N114" s="144"/>
      <c r="O114" s="144"/>
    </row>
    <row r="115" spans="2:15" ht="29.25" customHeight="1">
      <c r="B115" s="144" t="s">
        <v>208</v>
      </c>
      <c r="C115" s="144"/>
      <c r="D115" s="144"/>
      <c r="E115" s="144"/>
      <c r="F115" s="144"/>
      <c r="G115" s="144"/>
      <c r="H115" s="144"/>
      <c r="I115" s="144"/>
      <c r="J115" s="144"/>
      <c r="K115" s="144"/>
      <c r="L115" s="144"/>
      <c r="M115" s="144"/>
      <c r="N115" s="144"/>
      <c r="O115" s="144"/>
    </row>
    <row r="116" spans="2:15">
      <c r="B116" s="144" t="s">
        <v>215</v>
      </c>
      <c r="C116" s="144"/>
      <c r="D116" s="144"/>
      <c r="E116" s="144"/>
      <c r="F116" s="144"/>
      <c r="G116" s="144"/>
      <c r="H116" s="144"/>
      <c r="I116" s="144"/>
      <c r="J116" s="144"/>
      <c r="K116" s="144"/>
      <c r="L116" s="144"/>
      <c r="M116" s="144"/>
      <c r="N116" s="144"/>
      <c r="O116" s="144"/>
    </row>
    <row r="117" spans="2:15">
      <c r="B117" s="144" t="s">
        <v>231</v>
      </c>
      <c r="C117" s="144"/>
      <c r="D117" s="144"/>
      <c r="E117" s="144"/>
      <c r="F117" s="144"/>
      <c r="G117" s="144"/>
      <c r="H117" s="144"/>
      <c r="I117" s="144"/>
      <c r="J117" s="144"/>
      <c r="K117" s="144"/>
      <c r="L117" s="144"/>
      <c r="M117" s="144"/>
      <c r="N117" s="144"/>
      <c r="O117" s="144"/>
    </row>
    <row r="118" spans="2:15" ht="29.25" customHeight="1">
      <c r="B118" s="144" t="s">
        <v>248</v>
      </c>
      <c r="C118" s="144"/>
      <c r="D118" s="144"/>
      <c r="E118" s="144"/>
      <c r="F118" s="144"/>
      <c r="G118" s="144"/>
      <c r="H118" s="144"/>
      <c r="I118" s="144"/>
      <c r="J118" s="144"/>
      <c r="K118" s="144"/>
      <c r="L118" s="144"/>
      <c r="M118" s="144"/>
      <c r="N118" s="144"/>
      <c r="O118" s="144"/>
    </row>
    <row r="119" spans="2:15" ht="15" customHeight="1">
      <c r="B119" s="144" t="s">
        <v>258</v>
      </c>
      <c r="C119" s="144"/>
      <c r="D119" s="144"/>
      <c r="E119" s="144"/>
      <c r="F119" s="144"/>
      <c r="G119" s="144"/>
      <c r="H119" s="144"/>
      <c r="I119" s="144"/>
      <c r="J119" s="144"/>
      <c r="K119" s="144"/>
      <c r="L119" s="144"/>
      <c r="M119" s="144"/>
      <c r="N119" s="144"/>
      <c r="O119" s="144"/>
    </row>
  </sheetData>
  <mergeCells count="13">
    <mergeCell ref="B118:O118"/>
    <mergeCell ref="B119:O119"/>
    <mergeCell ref="B117:O117"/>
    <mergeCell ref="B105:O105"/>
    <mergeCell ref="B111:O111"/>
    <mergeCell ref="B110:O110"/>
    <mergeCell ref="B109:O109"/>
    <mergeCell ref="B106:O106"/>
    <mergeCell ref="B116:O116"/>
    <mergeCell ref="B115:O115"/>
    <mergeCell ref="B114:O114"/>
    <mergeCell ref="B113:O113"/>
    <mergeCell ref="B112:O112"/>
  </mergeCells>
  <pageMargins left="0" right="0" top="0.75" bottom="0.75" header="0.3" footer="0.3"/>
  <pageSetup scale="75" orientation="landscape" r:id="rId1"/>
</worksheet>
</file>

<file path=xl/worksheets/sheet6.xml><?xml version="1.0" encoding="utf-8"?>
<worksheet xmlns="http://schemas.openxmlformats.org/spreadsheetml/2006/main" xmlns:r="http://schemas.openxmlformats.org/officeDocument/2006/relationships">
  <dimension ref="A2:B14"/>
  <sheetViews>
    <sheetView workbookViewId="0">
      <selection activeCell="B10" sqref="B10"/>
    </sheetView>
  </sheetViews>
  <sheetFormatPr defaultRowHeight="15"/>
  <cols>
    <col min="1" max="1" width="51.5703125" bestFit="1" customWidth="1"/>
    <col min="2" max="2" width="14.28515625" bestFit="1" customWidth="1"/>
  </cols>
  <sheetData>
    <row r="2" spans="1:2">
      <c r="A2" s="132" t="s">
        <v>223</v>
      </c>
      <c r="B2" s="1">
        <f>'WA-Sch191 Rider Balance'!J17</f>
        <v>3363154.5745640392</v>
      </c>
    </row>
    <row r="3" spans="1:2">
      <c r="A3" s="132"/>
    </row>
    <row r="4" spans="1:2">
      <c r="A4" s="132" t="s">
        <v>224</v>
      </c>
      <c r="B4" s="1">
        <v>2972000</v>
      </c>
    </row>
    <row r="5" spans="1:2">
      <c r="A5" s="132" t="s">
        <v>225</v>
      </c>
      <c r="B5" s="139">
        <f>SUM('WA-Sch191 Rider Balance'!K11:N11)</f>
        <v>1745400.6666666667</v>
      </c>
    </row>
    <row r="6" spans="1:2">
      <c r="A6" s="132"/>
      <c r="B6" s="1">
        <f>B5-B4</f>
        <v>-1226599.3333333333</v>
      </c>
    </row>
    <row r="8" spans="1:2">
      <c r="A8" s="132" t="s">
        <v>226</v>
      </c>
      <c r="B8" s="3">
        <f>B2+B6</f>
        <v>2136555.2412307058</v>
      </c>
    </row>
    <row r="10" spans="1:2">
      <c r="A10" s="132" t="s">
        <v>227</v>
      </c>
      <c r="B10" s="1">
        <v>7703000</v>
      </c>
    </row>
    <row r="11" spans="1:2">
      <c r="A11" t="s">
        <v>228</v>
      </c>
      <c r="B11" s="140"/>
    </row>
    <row r="12" spans="1:2">
      <c r="B12" s="3">
        <f>B11-B10</f>
        <v>-7703000</v>
      </c>
    </row>
    <row r="14" spans="1:2">
      <c r="A14" t="s">
        <v>229</v>
      </c>
      <c r="B14" s="3">
        <f>B8+B12</f>
        <v>-5566444.7587692942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9" tint="0.39997558519241921"/>
  </sheetPr>
  <dimension ref="A2:AF33"/>
  <sheetViews>
    <sheetView topLeftCell="B1" workbookViewId="0">
      <pane xSplit="1" ySplit="5" topLeftCell="C12" activePane="bottomRight" state="frozen"/>
      <selection activeCell="B1" sqref="B1"/>
      <selection pane="topRight" activeCell="C1" sqref="C1"/>
      <selection pane="bottomLeft" activeCell="B6" sqref="B6"/>
      <selection pane="bottomRight" activeCell="B21" sqref="B21"/>
    </sheetView>
  </sheetViews>
  <sheetFormatPr defaultRowHeight="15"/>
  <cols>
    <col min="1" max="1" width="3.42578125" bestFit="1" customWidth="1"/>
    <col min="2" max="2" width="34.85546875" customWidth="1"/>
    <col min="3" max="3" width="10.5703125" bestFit="1" customWidth="1"/>
    <col min="4" max="14" width="13.28515625" bestFit="1" customWidth="1"/>
    <col min="15" max="15" width="11.28515625" bestFit="1" customWidth="1"/>
    <col min="16" max="16" width="11.5703125" bestFit="1" customWidth="1"/>
    <col min="17" max="17" width="11.28515625" bestFit="1" customWidth="1"/>
    <col min="18" max="18" width="10.5703125" bestFit="1" customWidth="1"/>
    <col min="19" max="19" width="11.28515625" bestFit="1" customWidth="1"/>
    <col min="21" max="21" width="10.5703125" bestFit="1" customWidth="1"/>
    <col min="22" max="22" width="9.140625" bestFit="1" customWidth="1"/>
    <col min="23" max="24" width="9.7109375" bestFit="1" customWidth="1"/>
    <col min="25" max="26" width="11.28515625" bestFit="1" customWidth="1"/>
    <col min="27" max="30" width="9.7109375" bestFit="1" customWidth="1"/>
    <col min="31" max="32" width="11.28515625" bestFit="1" customWidth="1"/>
  </cols>
  <sheetData>
    <row r="2" spans="1:32">
      <c r="B2" s="63" t="s">
        <v>73</v>
      </c>
    </row>
    <row r="3" spans="1:32">
      <c r="C3" s="32">
        <v>2010</v>
      </c>
      <c r="D3" s="32">
        <v>2010</v>
      </c>
      <c r="E3" s="32">
        <v>2010</v>
      </c>
      <c r="F3" s="32">
        <v>2010</v>
      </c>
      <c r="G3" s="32">
        <v>2010</v>
      </c>
      <c r="H3" s="32">
        <v>2010</v>
      </c>
      <c r="I3" s="32">
        <v>2010</v>
      </c>
      <c r="J3" s="32">
        <v>2010</v>
      </c>
      <c r="K3" s="32">
        <v>2010</v>
      </c>
      <c r="L3" s="32">
        <v>2010</v>
      </c>
      <c r="M3" s="32">
        <v>2010</v>
      </c>
      <c r="N3" s="32">
        <v>2010</v>
      </c>
      <c r="O3" s="70" t="s">
        <v>34</v>
      </c>
      <c r="P3" s="70">
        <v>2010</v>
      </c>
      <c r="Q3" s="70">
        <v>2010</v>
      </c>
      <c r="R3" s="70">
        <v>2010</v>
      </c>
      <c r="S3" s="70">
        <v>2010</v>
      </c>
      <c r="U3" s="70">
        <v>2011</v>
      </c>
      <c r="V3" s="70">
        <v>2011</v>
      </c>
      <c r="W3" s="70">
        <v>2011</v>
      </c>
      <c r="X3" s="70">
        <v>2011</v>
      </c>
      <c r="Y3" s="70">
        <v>2011</v>
      </c>
      <c r="Z3" s="70">
        <v>2011</v>
      </c>
      <c r="AA3" s="70">
        <v>2011</v>
      </c>
      <c r="AB3" s="70">
        <v>2011</v>
      </c>
      <c r="AC3" s="70">
        <v>2011</v>
      </c>
      <c r="AD3" s="70">
        <v>2011</v>
      </c>
      <c r="AE3" s="70">
        <v>2011</v>
      </c>
      <c r="AF3" s="70">
        <v>2011</v>
      </c>
    </row>
    <row r="4" spans="1:32">
      <c r="C4" s="32" t="s">
        <v>0</v>
      </c>
      <c r="D4" s="32" t="s">
        <v>1</v>
      </c>
      <c r="E4" s="32" t="s">
        <v>2</v>
      </c>
      <c r="F4" s="32" t="s">
        <v>3</v>
      </c>
      <c r="G4" s="32" t="s">
        <v>4</v>
      </c>
      <c r="H4" s="32" t="s">
        <v>5</v>
      </c>
      <c r="I4" s="32" t="s">
        <v>6</v>
      </c>
      <c r="J4" s="32" t="s">
        <v>7</v>
      </c>
      <c r="K4" s="32" t="s">
        <v>8</v>
      </c>
      <c r="L4" s="32" t="s">
        <v>9</v>
      </c>
      <c r="M4" s="32" t="s">
        <v>10</v>
      </c>
      <c r="N4" s="32" t="s">
        <v>11</v>
      </c>
      <c r="O4" s="70"/>
      <c r="P4" s="70" t="s">
        <v>97</v>
      </c>
      <c r="Q4" s="70" t="s">
        <v>98</v>
      </c>
      <c r="R4" s="70" t="s">
        <v>99</v>
      </c>
      <c r="S4" s="70" t="s">
        <v>100</v>
      </c>
      <c r="U4" s="70" t="s">
        <v>0</v>
      </c>
      <c r="V4" s="70" t="s">
        <v>1</v>
      </c>
      <c r="W4" s="70" t="s">
        <v>2</v>
      </c>
      <c r="X4" s="70" t="s">
        <v>3</v>
      </c>
      <c r="Y4" s="70" t="s">
        <v>4</v>
      </c>
      <c r="Z4" s="70" t="s">
        <v>5</v>
      </c>
      <c r="AA4" s="70" t="s">
        <v>6</v>
      </c>
      <c r="AB4" s="70" t="s">
        <v>7</v>
      </c>
      <c r="AC4" s="70" t="s">
        <v>8</v>
      </c>
      <c r="AD4" s="70" t="s">
        <v>9</v>
      </c>
      <c r="AE4" s="70" t="s">
        <v>10</v>
      </c>
      <c r="AF4" s="70" t="s">
        <v>11</v>
      </c>
    </row>
    <row r="5" spans="1:32">
      <c r="A5" t="s">
        <v>22</v>
      </c>
      <c r="B5" t="s">
        <v>13</v>
      </c>
      <c r="C5" s="1">
        <v>4102936</v>
      </c>
      <c r="D5" s="1">
        <f>C17</f>
        <v>3724704.0169685027</v>
      </c>
      <c r="E5" s="1">
        <f>D17</f>
        <v>3656892.5108263446</v>
      </c>
      <c r="F5" s="1">
        <f>E17</f>
        <v>3556217.3937183325</v>
      </c>
      <c r="G5" s="1">
        <f>F17</f>
        <v>3466636.3937183325</v>
      </c>
      <c r="H5" s="1">
        <f t="shared" ref="H5:N5" si="0">G17</f>
        <v>3142026.3937183325</v>
      </c>
      <c r="I5" s="1">
        <f t="shared" si="0"/>
        <v>3146391.6897297483</v>
      </c>
      <c r="J5" s="1">
        <f t="shared" si="0"/>
        <v>3385924.750773632</v>
      </c>
      <c r="K5" s="1">
        <f t="shared" si="0"/>
        <v>3363154.5745640392</v>
      </c>
      <c r="L5" s="1">
        <f t="shared" si="0"/>
        <v>3482454.3303075582</v>
      </c>
      <c r="M5" s="1">
        <f t="shared" si="0"/>
        <v>3530237.1782260733</v>
      </c>
      <c r="N5" s="1">
        <f t="shared" si="0"/>
        <v>3541116.7837248039</v>
      </c>
      <c r="O5" s="68"/>
      <c r="P5" s="72">
        <f>C5</f>
        <v>4102936</v>
      </c>
      <c r="Q5" s="75">
        <f>P17</f>
        <v>3556217.393718333</v>
      </c>
      <c r="R5" s="75">
        <f>Q17</f>
        <v>3146391.6897297483</v>
      </c>
      <c r="S5" s="75">
        <f>R17</f>
        <v>3482454.3303075582</v>
      </c>
      <c r="U5" s="75" t="str">
        <f>N19</f>
        <v xml:space="preserve"> </v>
      </c>
      <c r="V5" s="75" t="e">
        <f>U19</f>
        <v>#VALUE!</v>
      </c>
      <c r="W5" s="75" t="e">
        <f t="shared" ref="W5:AF5" si="1">V19</f>
        <v>#VALUE!</v>
      </c>
      <c r="X5" s="75" t="e">
        <f t="shared" si="1"/>
        <v>#VALUE!</v>
      </c>
      <c r="Y5" s="75" t="e">
        <f t="shared" si="1"/>
        <v>#VALUE!</v>
      </c>
      <c r="Z5" s="75" t="e">
        <f t="shared" si="1"/>
        <v>#VALUE!</v>
      </c>
      <c r="AA5" s="75" t="e">
        <f t="shared" si="1"/>
        <v>#VALUE!</v>
      </c>
      <c r="AB5" s="75" t="e">
        <f t="shared" si="1"/>
        <v>#VALUE!</v>
      </c>
      <c r="AC5" s="75" t="e">
        <f t="shared" si="1"/>
        <v>#VALUE!</v>
      </c>
      <c r="AD5" s="75" t="e">
        <f t="shared" si="1"/>
        <v>#VALUE!</v>
      </c>
      <c r="AE5" s="75" t="e">
        <f t="shared" si="1"/>
        <v>#VALUE!</v>
      </c>
      <c r="AF5" s="75" t="e">
        <f t="shared" si="1"/>
        <v>#VALUE!</v>
      </c>
    </row>
    <row r="6" spans="1:32">
      <c r="C6" s="1"/>
      <c r="D6" s="1"/>
      <c r="E6" s="1"/>
      <c r="F6" s="1"/>
      <c r="G6" s="1"/>
      <c r="H6" s="1"/>
      <c r="I6" s="1"/>
      <c r="J6" s="1"/>
      <c r="K6" s="1"/>
      <c r="L6" s="1"/>
      <c r="M6" s="1"/>
      <c r="N6" s="1"/>
      <c r="O6" s="68"/>
      <c r="P6" s="68"/>
      <c r="Q6" s="68"/>
      <c r="R6" s="68"/>
      <c r="S6" s="68"/>
      <c r="U6" s="68"/>
      <c r="V6" s="68"/>
      <c r="W6" s="68"/>
      <c r="X6" s="68"/>
      <c r="Y6" s="68"/>
      <c r="Z6" s="68"/>
      <c r="AA6" s="68"/>
      <c r="AB6" s="68"/>
      <c r="AC6" s="68"/>
      <c r="AD6" s="68"/>
      <c r="AE6" s="68"/>
      <c r="AF6" s="68"/>
    </row>
    <row r="7" spans="1:32">
      <c r="B7" t="s">
        <v>14</v>
      </c>
      <c r="C7" s="1">
        <f>'WA-Sch191 Forecasted-Act Rev'!B43</f>
        <v>991639.51189608139</v>
      </c>
      <c r="D7" s="1">
        <f>'WA-Sch191 Forecasted-Act Rev'!C43</f>
        <v>796149.11445157125</v>
      </c>
      <c r="E7" s="1">
        <f>'WA-Sch191 Forecasted-Act Rev'!D43</f>
        <v>657699.85357172473</v>
      </c>
      <c r="F7" s="1">
        <f>'WA-Sch191 Forecasted-Act Rev'!E43</f>
        <v>613498.63650023763</v>
      </c>
      <c r="G7" s="1">
        <f>'WA-Sch191 Forecasted-Act Rev'!F43</f>
        <v>366044.82875848998</v>
      </c>
      <c r="H7" s="1">
        <f>'WA-Sch191 Forecasted-Act Rev'!G43</f>
        <v>243587.99991483407</v>
      </c>
      <c r="I7" s="1">
        <f>'WA-Sch191 Forecasted-Act Rev'!H43</f>
        <v>203873.95228235924</v>
      </c>
      <c r="J7" s="1">
        <f>'WA-Sch191 Forecasted-Act Rev'!I43</f>
        <v>209074.28032950478</v>
      </c>
      <c r="K7" s="1">
        <f>'WA-Sch191 Forecasted-Act Rev'!J43</f>
        <v>248527.72347786638</v>
      </c>
      <c r="L7" s="1">
        <f>'WA-Sch191 Forecasted-Act Rev'!K43</f>
        <v>573004.06393222138</v>
      </c>
      <c r="M7" s="1">
        <f>'WA-Sch191 Forecasted-Act Rev'!L43</f>
        <v>971079.34887138079</v>
      </c>
      <c r="N7" s="1">
        <f>'WA-Sch191 Forecasted-Act Rev'!M43</f>
        <v>1337024.7645382294</v>
      </c>
      <c r="O7" s="75">
        <f>SUM(C7:N7)</f>
        <v>7211204.0785245011</v>
      </c>
      <c r="P7" s="75">
        <f>SUM(C7:E7)</f>
        <v>2445488.4799193772</v>
      </c>
      <c r="Q7" s="75">
        <f>SUM(F7:H7)</f>
        <v>1223131.4651735616</v>
      </c>
      <c r="R7" s="75">
        <f>SUM(I7:K7)</f>
        <v>661475.95608973037</v>
      </c>
      <c r="S7" s="75">
        <f>SUM(L7:N7)</f>
        <v>2881108.1773418318</v>
      </c>
      <c r="U7" s="36">
        <v>1698796.8093408865</v>
      </c>
      <c r="V7" s="36">
        <v>1333712.9474234707</v>
      </c>
      <c r="W7" s="36">
        <v>1113847.858952533</v>
      </c>
      <c r="X7" s="36">
        <v>752790.38998769969</v>
      </c>
      <c r="Y7" s="36">
        <v>437945.62656656321</v>
      </c>
      <c r="Z7" s="36">
        <v>302829.65069913008</v>
      </c>
      <c r="AA7" s="36">
        <v>243606.16238725508</v>
      </c>
      <c r="AB7" s="36">
        <v>238827.000992591</v>
      </c>
      <c r="AC7" s="36">
        <v>314406.20200237125</v>
      </c>
      <c r="AD7" s="36">
        <v>718590.09134903643</v>
      </c>
      <c r="AE7" s="36">
        <v>1205917.7172118993</v>
      </c>
      <c r="AF7" s="36">
        <v>1694398.8811636369</v>
      </c>
    </row>
    <row r="8" spans="1:32">
      <c r="A8" t="s">
        <v>21</v>
      </c>
      <c r="B8" t="s">
        <v>15</v>
      </c>
      <c r="C8" s="1">
        <f>'WA-Sch191 Forecasted-Act Rev'!B51</f>
        <v>905757.43303149717</v>
      </c>
      <c r="D8" s="1">
        <f>'WA-Sch191 Forecasted-Act Rev'!C51</f>
        <v>689732.92614215822</v>
      </c>
      <c r="E8" s="1">
        <f>'WA-Sch191 Forecasted-Act Rev'!D51</f>
        <v>657732.897108012</v>
      </c>
      <c r="F8" s="1">
        <f>'WA-Sch191 Forecasted-Act Rev'!E51</f>
        <v>547233</v>
      </c>
      <c r="G8" s="1">
        <f>'WA-Sch191 Forecasted-Act Rev'!F51</f>
        <v>571193</v>
      </c>
      <c r="H8" s="1">
        <f>'WA-Sch191 Forecasted-Act Rev'!G51</f>
        <v>395906.70398858446</v>
      </c>
      <c r="I8" s="1">
        <f>'WA-Sch191 Forecasted-Act Rev'!H51</f>
        <v>261591.93895611609</v>
      </c>
      <c r="J8" s="1">
        <f>'WA-Sch191 Forecasted-Act Rev'!I51+92033</f>
        <v>288826.17620959284</v>
      </c>
      <c r="K8" s="1">
        <f>'WA-Sch191 Forecasted-Act Rev'!J51</f>
        <v>206760.24425648112</v>
      </c>
      <c r="L8" s="1">
        <f>'WA-Sch191 Forecasted-Act Rev'!K51</f>
        <v>287116.15208148514</v>
      </c>
      <c r="M8" s="1">
        <f>'WA-Sch191 Forecasted-Act Rev'!L51</f>
        <v>580464.79450126935</v>
      </c>
      <c r="N8" s="1">
        <f>'WA-Sch191 Forecasted-Act Rev'!M51</f>
        <v>1276580.8654428055</v>
      </c>
      <c r="O8" s="75">
        <f t="shared" ref="O8:O9" si="2">SUM(C8:N8)</f>
        <v>6668896.1317180023</v>
      </c>
      <c r="P8" s="75">
        <f>SUM(C8:E8)</f>
        <v>2253223.2562816674</v>
      </c>
      <c r="Q8" s="75">
        <f>SUM(F8:H8)</f>
        <v>1514332.7039885845</v>
      </c>
      <c r="R8" s="75">
        <f>SUM(I8:K8)</f>
        <v>757178.35942219011</v>
      </c>
      <c r="S8" s="75">
        <f>SUM(L8:N8)</f>
        <v>2144161.8120255601</v>
      </c>
      <c r="U8" s="68"/>
      <c r="V8" s="68"/>
      <c r="W8" s="68"/>
      <c r="X8" s="68"/>
      <c r="Y8" s="68"/>
      <c r="Z8" s="68"/>
      <c r="AA8" s="68"/>
      <c r="AB8" s="68"/>
      <c r="AC8" s="68"/>
      <c r="AD8" s="68"/>
      <c r="AE8" s="68"/>
      <c r="AF8" s="68"/>
    </row>
    <row r="9" spans="1:32">
      <c r="B9" t="s">
        <v>16</v>
      </c>
      <c r="C9" s="24">
        <f>C8-C7</f>
        <v>-85882.078864584211</v>
      </c>
      <c r="D9" s="24">
        <f>D8-D7</f>
        <v>-106416.18830941303</v>
      </c>
      <c r="E9" s="24">
        <f t="shared" ref="E9:N9" si="3">E8-E7</f>
        <v>33.043536287266761</v>
      </c>
      <c r="F9" s="24">
        <f t="shared" si="3"/>
        <v>-66265.636500237626</v>
      </c>
      <c r="G9" s="24">
        <f t="shared" si="3"/>
        <v>205148.17124151002</v>
      </c>
      <c r="H9" s="24">
        <f t="shared" si="3"/>
        <v>152318.70407375038</v>
      </c>
      <c r="I9" s="24">
        <f t="shared" si="3"/>
        <v>57717.986673756852</v>
      </c>
      <c r="J9" s="24">
        <f t="shared" si="3"/>
        <v>79751.895880088065</v>
      </c>
      <c r="K9" s="24">
        <f t="shared" si="3"/>
        <v>-41767.479221385263</v>
      </c>
      <c r="L9" s="24">
        <f t="shared" si="3"/>
        <v>-285887.91185073624</v>
      </c>
      <c r="M9" s="24">
        <f t="shared" si="3"/>
        <v>-390614.55437011144</v>
      </c>
      <c r="N9" s="24">
        <f t="shared" si="3"/>
        <v>-60443.899095423985</v>
      </c>
      <c r="O9" s="76">
        <f t="shared" si="2"/>
        <v>-542307.94680649927</v>
      </c>
      <c r="P9" s="76">
        <f t="shared" ref="P9:S9" si="4">P8-P7</f>
        <v>-192265.22363770986</v>
      </c>
      <c r="Q9" s="76">
        <f t="shared" si="4"/>
        <v>291201.23881502287</v>
      </c>
      <c r="R9" s="76">
        <f t="shared" si="4"/>
        <v>95702.40333245974</v>
      </c>
      <c r="S9" s="76">
        <f t="shared" si="4"/>
        <v>-736946.36531627178</v>
      </c>
      <c r="U9" s="68"/>
      <c r="V9" s="68"/>
      <c r="W9" s="68"/>
      <c r="X9" s="68"/>
      <c r="Y9" s="68"/>
      <c r="Z9" s="68"/>
      <c r="AA9" s="68"/>
      <c r="AB9" s="68"/>
      <c r="AC9" s="68"/>
      <c r="AD9" s="68"/>
      <c r="AE9" s="68"/>
      <c r="AF9" s="68"/>
    </row>
    <row r="10" spans="1:32">
      <c r="C10" s="1"/>
      <c r="D10" s="1"/>
      <c r="E10" s="1"/>
      <c r="F10" s="1"/>
      <c r="G10" s="1"/>
      <c r="H10" s="1"/>
      <c r="I10" s="1"/>
      <c r="J10" s="1"/>
      <c r="K10" s="1"/>
      <c r="L10" s="1"/>
      <c r="M10" s="1"/>
      <c r="N10" s="1"/>
      <c r="O10" s="68"/>
      <c r="P10" s="68"/>
      <c r="Q10" s="68"/>
      <c r="R10" s="68"/>
      <c r="S10" s="68"/>
      <c r="U10" s="68"/>
      <c r="V10" s="68"/>
      <c r="W10" s="68"/>
      <c r="X10" s="68"/>
      <c r="Y10" s="68"/>
      <c r="Z10" s="68"/>
      <c r="AA10" s="68"/>
      <c r="AB10" s="68"/>
      <c r="AC10" s="68"/>
      <c r="AD10" s="68"/>
      <c r="AE10" s="68"/>
      <c r="AF10" s="68"/>
    </row>
    <row r="11" spans="1:32">
      <c r="B11" t="s">
        <v>18</v>
      </c>
      <c r="C11" s="1">
        <f>5236202/12</f>
        <v>436350.16666666669</v>
      </c>
      <c r="D11" s="1">
        <f t="shared" ref="D11:N11" si="5">5236202/12</f>
        <v>436350.16666666669</v>
      </c>
      <c r="E11" s="1">
        <f t="shared" si="5"/>
        <v>436350.16666666669</v>
      </c>
      <c r="F11" s="1">
        <f t="shared" si="5"/>
        <v>436350.16666666669</v>
      </c>
      <c r="G11" s="1">
        <f t="shared" si="5"/>
        <v>436350.16666666669</v>
      </c>
      <c r="H11" s="1">
        <f t="shared" si="5"/>
        <v>436350.16666666669</v>
      </c>
      <c r="I11" s="1">
        <f t="shared" si="5"/>
        <v>436350.16666666669</v>
      </c>
      <c r="J11" s="1">
        <f t="shared" si="5"/>
        <v>436350.16666666669</v>
      </c>
      <c r="K11" s="1">
        <f t="shared" si="5"/>
        <v>436350.16666666669</v>
      </c>
      <c r="L11" s="1">
        <f t="shared" si="5"/>
        <v>436350.16666666669</v>
      </c>
      <c r="M11" s="1">
        <f t="shared" si="5"/>
        <v>436350.16666666669</v>
      </c>
      <c r="N11" s="1">
        <f t="shared" si="5"/>
        <v>436350.16666666669</v>
      </c>
      <c r="O11" s="75">
        <f t="shared" ref="O11:O13" si="6">SUM(C11:N11)</f>
        <v>5236202</v>
      </c>
      <c r="P11" s="75">
        <f>SUM(C11:E11)</f>
        <v>1309050.5</v>
      </c>
      <c r="Q11" s="75">
        <f>SUM(F11:H11)</f>
        <v>1309050.5</v>
      </c>
      <c r="R11" s="75">
        <f>SUM(I11:K11)</f>
        <v>1309050.5</v>
      </c>
      <c r="S11" s="75">
        <f>SUM(L11:N11)</f>
        <v>1309050.5</v>
      </c>
      <c r="U11" s="73">
        <f>5211814*(C12/(SUM($C$12:$K$12)+SUM($L$11:$N$11)))</f>
        <v>527374.76539539045</v>
      </c>
      <c r="V11" s="73">
        <f t="shared" ref="V11:AC11" si="7">5211814*(D12/(SUM($C$12:$K$12)+SUM($L$11:$N$11)))</f>
        <v>621743.7717305735</v>
      </c>
      <c r="W11" s="73">
        <f t="shared" si="7"/>
        <v>556898.65965552372</v>
      </c>
      <c r="X11" s="73">
        <f t="shared" si="7"/>
        <v>457521.27434369508</v>
      </c>
      <c r="Y11" s="73">
        <f t="shared" si="7"/>
        <v>246512.56498713294</v>
      </c>
      <c r="Z11" s="73">
        <f t="shared" si="7"/>
        <v>400157.6646100083</v>
      </c>
      <c r="AA11" s="73">
        <f t="shared" si="7"/>
        <v>500981.85653178446</v>
      </c>
      <c r="AB11" s="73">
        <f t="shared" si="7"/>
        <v>265980.00263690786</v>
      </c>
      <c r="AC11" s="73">
        <f t="shared" si="7"/>
        <v>325966.86284011701</v>
      </c>
      <c r="AD11" s="73">
        <f>5211814*(L11/(SUM($C$12:$K$12)+SUM($L$11:$N$11)))</f>
        <v>436225.52575628884</v>
      </c>
      <c r="AE11" s="73">
        <f t="shared" ref="AE11:AF11" si="8">5211814*(M11/(SUM($C$12:$K$12)+SUM($L$11:$N$11)))</f>
        <v>436225.52575628884</v>
      </c>
      <c r="AF11" s="73">
        <f t="shared" si="8"/>
        <v>436225.52575628884</v>
      </c>
    </row>
    <row r="12" spans="1:32">
      <c r="A12" t="s">
        <v>20</v>
      </c>
      <c r="B12" t="s">
        <v>17</v>
      </c>
      <c r="C12" s="1">
        <f>'WA-Sch191 Budget-Act Exp '!C68</f>
        <v>527525.45000000007</v>
      </c>
      <c r="D12" s="1">
        <f>'WA-Sch191 Budget-Act Exp '!D68</f>
        <v>621921.42000000004</v>
      </c>
      <c r="E12" s="1">
        <f>'WA-Sch191 Budget-Act Exp '!E68</f>
        <v>557057.78</v>
      </c>
      <c r="F12" s="1">
        <f>'WA-Sch191 Budget-Act Exp '!F68</f>
        <v>457652</v>
      </c>
      <c r="G12" s="1">
        <f>'WA-Sch191 Budget-Act Exp '!G68</f>
        <v>246583</v>
      </c>
      <c r="H12" s="1">
        <f>'WA-Sch191 Budget-Act Exp '!H68</f>
        <v>400272</v>
      </c>
      <c r="I12" s="1">
        <f>'WA-Sch191 Budget-Act Exp '!I68</f>
        <v>501125</v>
      </c>
      <c r="J12" s="1">
        <f>'WA-Sch191 Budget-Act Exp '!J68</f>
        <v>266056</v>
      </c>
      <c r="K12" s="1">
        <f>'WA-Sch191 Budget-Act Exp '!K68</f>
        <v>326060</v>
      </c>
      <c r="L12" s="1">
        <f>'WA-Sch191 Budget-Act Exp '!L68</f>
        <v>334899</v>
      </c>
      <c r="M12" s="1">
        <f>'WA-Sch191 Budget-Act Exp '!M68</f>
        <v>591344.4</v>
      </c>
      <c r="N12" s="1">
        <f>'WA-Sch191 Budget-Act Exp '!N68</f>
        <v>705734.57</v>
      </c>
      <c r="O12" s="75">
        <f t="shared" si="6"/>
        <v>5536230.620000001</v>
      </c>
      <c r="P12" s="75">
        <f>SUM(C12:E12)</f>
        <v>1706504.6500000001</v>
      </c>
      <c r="Q12" s="75">
        <f>SUM(F12:H12)</f>
        <v>1104507</v>
      </c>
      <c r="R12" s="75">
        <f>SUM(I12:K12)</f>
        <v>1093241</v>
      </c>
      <c r="S12" s="75">
        <f>SUM(L12:N12)</f>
        <v>1631977.97</v>
      </c>
      <c r="U12" s="73"/>
      <c r="V12" s="68"/>
      <c r="W12" s="68"/>
      <c r="X12" s="68"/>
      <c r="Y12" s="68"/>
      <c r="Z12" s="68"/>
      <c r="AA12" s="68"/>
      <c r="AB12" s="68"/>
      <c r="AC12" s="68"/>
      <c r="AD12" s="68"/>
      <c r="AE12" s="68"/>
      <c r="AF12" s="68"/>
    </row>
    <row r="13" spans="1:32">
      <c r="B13" t="s">
        <v>19</v>
      </c>
      <c r="C13" s="26">
        <f>C11-C12</f>
        <v>-91175.283333333384</v>
      </c>
      <c r="D13" s="26">
        <f t="shared" ref="D13:N13" si="9">D11-D12</f>
        <v>-185571.25333333336</v>
      </c>
      <c r="E13" s="26">
        <f t="shared" si="9"/>
        <v>-120707.61333333334</v>
      </c>
      <c r="F13" s="26">
        <f t="shared" si="9"/>
        <v>-21301.833333333314</v>
      </c>
      <c r="G13" s="26">
        <f t="shared" si="9"/>
        <v>189767.16666666669</v>
      </c>
      <c r="H13" s="26">
        <f t="shared" si="9"/>
        <v>36078.166666666686</v>
      </c>
      <c r="I13" s="26">
        <f t="shared" si="9"/>
        <v>-64774.833333333314</v>
      </c>
      <c r="J13" s="26">
        <f t="shared" si="9"/>
        <v>170294.16666666669</v>
      </c>
      <c r="K13" s="26">
        <f t="shared" si="9"/>
        <v>110290.16666666669</v>
      </c>
      <c r="L13" s="26">
        <f t="shared" si="9"/>
        <v>101451.16666666669</v>
      </c>
      <c r="M13" s="26">
        <f t="shared" si="9"/>
        <v>-154994.23333333334</v>
      </c>
      <c r="N13" s="26">
        <f t="shared" si="9"/>
        <v>-269384.40333333326</v>
      </c>
      <c r="O13" s="76">
        <f t="shared" si="6"/>
        <v>-300028.61999999988</v>
      </c>
      <c r="P13" s="77">
        <f t="shared" ref="P13:S13" si="10">P11-P12</f>
        <v>-397454.15000000014</v>
      </c>
      <c r="Q13" s="77">
        <f t="shared" si="10"/>
        <v>204543.5</v>
      </c>
      <c r="R13" s="77">
        <f t="shared" si="10"/>
        <v>215809.5</v>
      </c>
      <c r="S13" s="77">
        <f t="shared" si="10"/>
        <v>-322927.46999999997</v>
      </c>
      <c r="U13" s="68"/>
      <c r="V13" s="68"/>
      <c r="W13" s="68"/>
      <c r="X13" s="68"/>
      <c r="Y13" s="68"/>
      <c r="Z13" s="68"/>
      <c r="AA13" s="68"/>
      <c r="AB13" s="68"/>
      <c r="AC13" s="68"/>
      <c r="AD13" s="68"/>
      <c r="AE13" s="68"/>
      <c r="AF13" s="68"/>
    </row>
    <row r="14" spans="1:32">
      <c r="C14" s="1"/>
      <c r="D14" s="1"/>
      <c r="E14" s="1"/>
      <c r="F14" s="1"/>
      <c r="G14" s="1"/>
      <c r="H14" s="1"/>
      <c r="I14" s="1"/>
      <c r="J14" s="1"/>
      <c r="K14" s="1"/>
      <c r="L14" s="1"/>
      <c r="M14" s="1"/>
      <c r="N14" s="1"/>
      <c r="O14" s="68"/>
      <c r="P14" s="68"/>
      <c r="Q14" s="68"/>
      <c r="R14" s="68"/>
      <c r="S14" s="68"/>
      <c r="U14" s="68"/>
      <c r="V14" s="68"/>
      <c r="W14" s="68"/>
      <c r="X14" s="68"/>
      <c r="Y14" s="68"/>
      <c r="Z14" s="68"/>
      <c r="AA14" s="68"/>
      <c r="AB14" s="68"/>
      <c r="AC14" s="68"/>
      <c r="AD14" s="68"/>
      <c r="AE14" s="68"/>
      <c r="AF14" s="68"/>
    </row>
    <row r="15" spans="1:32" ht="30">
      <c r="A15" t="s">
        <v>24</v>
      </c>
      <c r="B15" s="4" t="s">
        <v>23</v>
      </c>
      <c r="C15" s="1">
        <f>C8-C12</f>
        <v>378231.9830314971</v>
      </c>
      <c r="D15" s="1">
        <f t="shared" ref="D15:S15" si="11">D8-D12</f>
        <v>67811.506142158178</v>
      </c>
      <c r="E15" s="1">
        <f t="shared" si="11"/>
        <v>100675.11710801197</v>
      </c>
      <c r="F15" s="1">
        <f t="shared" si="11"/>
        <v>89581</v>
      </c>
      <c r="G15" s="1">
        <f t="shared" si="11"/>
        <v>324610</v>
      </c>
      <c r="H15" s="1">
        <f t="shared" si="11"/>
        <v>-4365.296011415543</v>
      </c>
      <c r="I15" s="1">
        <f t="shared" si="11"/>
        <v>-239533.06104388391</v>
      </c>
      <c r="J15" s="1">
        <f t="shared" si="11"/>
        <v>22770.176209592842</v>
      </c>
      <c r="K15" s="1">
        <f t="shared" si="11"/>
        <v>-119299.75574351888</v>
      </c>
      <c r="L15" s="1">
        <f t="shared" si="11"/>
        <v>-47782.847918514861</v>
      </c>
      <c r="M15" s="1">
        <f t="shared" si="11"/>
        <v>-10879.605498730671</v>
      </c>
      <c r="N15" s="1">
        <f t="shared" si="11"/>
        <v>570846.29544280551</v>
      </c>
      <c r="O15" s="73">
        <f t="shared" si="11"/>
        <v>1132665.5117180012</v>
      </c>
      <c r="P15" s="73">
        <f t="shared" si="11"/>
        <v>546718.60628166725</v>
      </c>
      <c r="Q15" s="73">
        <f t="shared" si="11"/>
        <v>409825.70398858446</v>
      </c>
      <c r="R15" s="73">
        <f t="shared" si="11"/>
        <v>-336062.64057780989</v>
      </c>
      <c r="S15" s="73">
        <f t="shared" si="11"/>
        <v>512183.84202556009</v>
      </c>
      <c r="U15" s="68"/>
      <c r="V15" s="68"/>
      <c r="W15" s="68"/>
      <c r="X15" s="68"/>
      <c r="Y15" s="68"/>
      <c r="Z15" s="68"/>
      <c r="AA15" s="68"/>
      <c r="AB15" s="68"/>
      <c r="AC15" s="68"/>
      <c r="AD15" s="68"/>
      <c r="AE15" s="68"/>
      <c r="AF15" s="68"/>
    </row>
    <row r="16" spans="1:32">
      <c r="C16" s="1"/>
      <c r="D16" s="1"/>
      <c r="E16" s="1"/>
      <c r="F16" s="1"/>
      <c r="G16" s="1"/>
      <c r="H16" s="1"/>
      <c r="I16" s="1"/>
      <c r="J16" s="1"/>
      <c r="K16" s="1"/>
      <c r="L16" s="1"/>
      <c r="M16" s="1"/>
      <c r="N16" s="1"/>
      <c r="O16" s="68"/>
      <c r="P16" s="68"/>
      <c r="Q16" s="68"/>
      <c r="R16" s="68"/>
      <c r="S16" s="68"/>
      <c r="U16" s="68"/>
      <c r="V16" s="68"/>
      <c r="W16" s="68"/>
      <c r="X16" s="68"/>
      <c r="Y16" s="68"/>
      <c r="Z16" s="68"/>
      <c r="AA16" s="68"/>
      <c r="AB16" s="68"/>
      <c r="AC16" s="68"/>
      <c r="AD16" s="68"/>
      <c r="AE16" s="68"/>
      <c r="AF16" s="68"/>
    </row>
    <row r="17" spans="2:32" ht="15.75" thickBot="1">
      <c r="B17" t="s">
        <v>25</v>
      </c>
      <c r="C17" s="110">
        <f>C5-C15</f>
        <v>3724704.0169685027</v>
      </c>
      <c r="D17" s="110">
        <f t="shared" ref="D17:N17" si="12">D5-D15</f>
        <v>3656892.5108263446</v>
      </c>
      <c r="E17" s="110">
        <f t="shared" si="12"/>
        <v>3556217.3937183325</v>
      </c>
      <c r="F17" s="110">
        <f t="shared" si="12"/>
        <v>3466636.3937183325</v>
      </c>
      <c r="G17" s="110">
        <f t="shared" si="12"/>
        <v>3142026.3937183325</v>
      </c>
      <c r="H17" s="110">
        <f t="shared" si="12"/>
        <v>3146391.6897297483</v>
      </c>
      <c r="I17" s="110">
        <f t="shared" si="12"/>
        <v>3385924.750773632</v>
      </c>
      <c r="J17" s="110">
        <f t="shared" si="12"/>
        <v>3363154.5745640392</v>
      </c>
      <c r="K17" s="110">
        <f t="shared" si="12"/>
        <v>3482454.3303075582</v>
      </c>
      <c r="L17" s="110">
        <f t="shared" si="12"/>
        <v>3530237.1782260733</v>
      </c>
      <c r="M17" s="110">
        <f t="shared" si="12"/>
        <v>3541116.7837248039</v>
      </c>
      <c r="N17" s="110">
        <f t="shared" si="12"/>
        <v>2970270.4882819983</v>
      </c>
      <c r="O17" s="75"/>
      <c r="P17" s="75">
        <f t="shared" ref="P17:S17" si="13">P5-P15</f>
        <v>3556217.393718333</v>
      </c>
      <c r="Q17" s="75">
        <f t="shared" si="13"/>
        <v>3146391.6897297483</v>
      </c>
      <c r="R17" s="75">
        <f t="shared" si="13"/>
        <v>3482454.3303075582</v>
      </c>
      <c r="S17" s="75">
        <f t="shared" si="13"/>
        <v>2970270.4882819979</v>
      </c>
      <c r="U17" s="68"/>
      <c r="V17" s="68"/>
      <c r="W17" s="68"/>
      <c r="X17" s="68"/>
      <c r="Y17" s="68"/>
      <c r="Z17" s="68"/>
      <c r="AA17" s="68"/>
      <c r="AB17" s="68"/>
      <c r="AC17" s="68"/>
      <c r="AD17" s="68"/>
      <c r="AE17" s="68"/>
      <c r="AF17" s="68"/>
    </row>
    <row r="18" spans="2:32" ht="15.75" thickTop="1">
      <c r="O18" s="68"/>
      <c r="P18" s="68"/>
      <c r="Q18" s="68"/>
      <c r="R18" s="68"/>
      <c r="S18" s="68"/>
      <c r="U18" s="68"/>
      <c r="V18" s="68"/>
      <c r="W18" s="68"/>
      <c r="X18" s="68"/>
      <c r="Y18" s="68"/>
      <c r="Z18" s="68"/>
      <c r="AA18" s="68"/>
      <c r="AB18" s="68"/>
      <c r="AC18" s="68"/>
      <c r="AD18" s="68"/>
      <c r="AE18" s="68"/>
      <c r="AF18" s="68"/>
    </row>
    <row r="19" spans="2:32">
      <c r="B19" t="s">
        <v>30</v>
      </c>
      <c r="E19" s="3"/>
      <c r="F19" s="3"/>
      <c r="G19" s="3"/>
      <c r="H19" s="3"/>
      <c r="I19" s="3"/>
      <c r="J19" s="3"/>
      <c r="K19" s="3"/>
      <c r="L19" s="3"/>
      <c r="M19" s="3" t="s">
        <v>96</v>
      </c>
      <c r="N19" s="3" t="s">
        <v>96</v>
      </c>
      <c r="O19" s="68"/>
      <c r="P19" s="75"/>
      <c r="Q19" s="68"/>
      <c r="R19" s="68"/>
      <c r="S19" s="68"/>
      <c r="U19" s="75" t="e">
        <f>U5-U7+U11</f>
        <v>#VALUE!</v>
      </c>
      <c r="V19" s="75" t="e">
        <f t="shared" ref="V19:AF19" si="14">V5-V7+V11</f>
        <v>#VALUE!</v>
      </c>
      <c r="W19" s="75" t="e">
        <f t="shared" si="14"/>
        <v>#VALUE!</v>
      </c>
      <c r="X19" s="75" t="e">
        <f t="shared" si="14"/>
        <v>#VALUE!</v>
      </c>
      <c r="Y19" s="75" t="e">
        <f t="shared" si="14"/>
        <v>#VALUE!</v>
      </c>
      <c r="Z19" s="75" t="e">
        <f t="shared" si="14"/>
        <v>#VALUE!</v>
      </c>
      <c r="AA19" s="75" t="e">
        <f t="shared" si="14"/>
        <v>#VALUE!</v>
      </c>
      <c r="AB19" s="75" t="e">
        <f t="shared" si="14"/>
        <v>#VALUE!</v>
      </c>
      <c r="AC19" s="75" t="e">
        <f t="shared" si="14"/>
        <v>#VALUE!</v>
      </c>
      <c r="AD19" s="75" t="e">
        <f t="shared" si="14"/>
        <v>#VALUE!</v>
      </c>
      <c r="AE19" s="75" t="e">
        <f t="shared" si="14"/>
        <v>#VALUE!</v>
      </c>
      <c r="AF19" s="75" t="e">
        <f t="shared" si="14"/>
        <v>#VALUE!</v>
      </c>
    </row>
    <row r="22" spans="2:32">
      <c r="B22" s="84" t="s">
        <v>26</v>
      </c>
      <c r="C22" s="63"/>
      <c r="D22" s="63"/>
      <c r="E22" s="63"/>
      <c r="F22" s="63"/>
      <c r="G22" s="63"/>
      <c r="H22" s="63"/>
      <c r="I22" s="63"/>
      <c r="J22" s="63"/>
      <c r="K22" s="63"/>
      <c r="L22" s="63"/>
      <c r="M22" s="63"/>
      <c r="N22" s="63"/>
      <c r="O22" s="63"/>
    </row>
    <row r="23" spans="2:32" ht="29.25" customHeight="1">
      <c r="B23" s="144" t="s">
        <v>102</v>
      </c>
      <c r="C23" s="144"/>
      <c r="D23" s="144"/>
      <c r="E23" s="144"/>
      <c r="F23" s="144"/>
      <c r="G23" s="144"/>
      <c r="H23" s="144"/>
      <c r="I23" s="144"/>
      <c r="J23" s="144"/>
      <c r="K23" s="144"/>
      <c r="L23" s="144"/>
      <c r="M23" s="144"/>
      <c r="N23" s="144"/>
      <c r="O23" s="144"/>
    </row>
    <row r="24" spans="2:32" ht="27.75" customHeight="1">
      <c r="B24" s="144" t="s">
        <v>103</v>
      </c>
      <c r="C24" s="144"/>
      <c r="D24" s="144"/>
      <c r="E24" s="144"/>
      <c r="F24" s="144"/>
      <c r="G24" s="144"/>
      <c r="H24" s="144"/>
      <c r="I24" s="144"/>
      <c r="J24" s="144"/>
      <c r="K24" s="144"/>
      <c r="L24" s="144"/>
      <c r="M24" s="144"/>
      <c r="N24" s="144"/>
      <c r="O24" s="144"/>
    </row>
    <row r="25" spans="2:32">
      <c r="B25" s="144" t="s">
        <v>105</v>
      </c>
      <c r="C25" s="144"/>
      <c r="D25" s="144"/>
      <c r="E25" s="144"/>
      <c r="F25" s="144"/>
      <c r="G25" s="144"/>
      <c r="H25" s="144"/>
      <c r="I25" s="144"/>
      <c r="J25" s="144"/>
      <c r="K25" s="144"/>
      <c r="L25" s="144"/>
      <c r="M25" s="144"/>
      <c r="N25" s="144"/>
      <c r="O25" s="144"/>
    </row>
    <row r="26" spans="2:32">
      <c r="B26" s="144" t="s">
        <v>173</v>
      </c>
      <c r="C26" s="144"/>
      <c r="D26" s="144"/>
      <c r="E26" s="144"/>
      <c r="F26" s="144"/>
      <c r="G26" s="144"/>
      <c r="H26" s="144"/>
      <c r="I26" s="144"/>
      <c r="J26" s="144"/>
      <c r="K26" s="144"/>
      <c r="L26" s="144"/>
      <c r="M26" s="144"/>
      <c r="N26" s="144"/>
      <c r="O26" s="144"/>
    </row>
    <row r="27" spans="2:32">
      <c r="B27" s="144" t="s">
        <v>180</v>
      </c>
      <c r="C27" s="144"/>
      <c r="D27" s="144"/>
      <c r="E27" s="144"/>
      <c r="F27" s="144"/>
      <c r="G27" s="144"/>
      <c r="H27" s="144"/>
      <c r="I27" s="144"/>
      <c r="J27" s="144"/>
      <c r="K27" s="144"/>
      <c r="L27" s="144"/>
      <c r="M27" s="144"/>
      <c r="N27" s="144"/>
      <c r="O27" s="144"/>
    </row>
    <row r="28" spans="2:32">
      <c r="B28" s="144" t="s">
        <v>190</v>
      </c>
      <c r="C28" s="144"/>
      <c r="D28" s="144"/>
      <c r="E28" s="144"/>
      <c r="F28" s="144"/>
      <c r="G28" s="144"/>
      <c r="H28" s="144"/>
      <c r="I28" s="144"/>
      <c r="J28" s="144"/>
      <c r="K28" s="144"/>
      <c r="L28" s="144"/>
      <c r="M28" s="144"/>
      <c r="N28" s="144"/>
      <c r="O28" s="144"/>
    </row>
    <row r="29" spans="2:32">
      <c r="B29" s="144" t="s">
        <v>212</v>
      </c>
      <c r="C29" s="144"/>
      <c r="D29" s="144"/>
      <c r="E29" s="144"/>
      <c r="F29" s="144"/>
      <c r="G29" s="144"/>
      <c r="H29" s="144"/>
      <c r="I29" s="144"/>
      <c r="J29" s="144"/>
      <c r="K29" s="144"/>
      <c r="L29" s="144"/>
      <c r="M29" s="144"/>
      <c r="N29" s="144"/>
      <c r="O29" s="144"/>
    </row>
    <row r="30" spans="2:32">
      <c r="B30" s="144" t="s">
        <v>216</v>
      </c>
      <c r="C30" s="144"/>
      <c r="D30" s="144"/>
      <c r="E30" s="144"/>
      <c r="F30" s="144"/>
      <c r="G30" s="144"/>
      <c r="H30" s="144"/>
      <c r="I30" s="144"/>
      <c r="J30" s="144"/>
      <c r="K30" s="144"/>
      <c r="L30" s="144"/>
      <c r="M30" s="144"/>
      <c r="N30" s="144"/>
      <c r="O30" s="144"/>
    </row>
    <row r="31" spans="2:32">
      <c r="B31" s="144" t="s">
        <v>235</v>
      </c>
      <c r="C31" s="144"/>
      <c r="D31" s="144"/>
      <c r="E31" s="144"/>
      <c r="F31" s="144"/>
      <c r="G31" s="144"/>
      <c r="H31" s="144"/>
      <c r="I31" s="144"/>
      <c r="J31" s="144"/>
      <c r="K31" s="144"/>
      <c r="L31" s="144"/>
      <c r="M31" s="144"/>
      <c r="N31" s="144"/>
      <c r="O31" s="144"/>
    </row>
    <row r="32" spans="2:32">
      <c r="B32" s="144" t="s">
        <v>250</v>
      </c>
      <c r="C32" s="144"/>
      <c r="D32" s="144"/>
      <c r="E32" s="144"/>
      <c r="F32" s="144"/>
      <c r="G32" s="144"/>
      <c r="H32" s="144"/>
      <c r="I32" s="144"/>
      <c r="J32" s="144"/>
      <c r="K32" s="144"/>
      <c r="L32" s="144"/>
      <c r="M32" s="144"/>
      <c r="N32" s="144"/>
      <c r="O32" s="144"/>
    </row>
    <row r="33" spans="2:15">
      <c r="B33" s="144" t="s">
        <v>267</v>
      </c>
      <c r="C33" s="144"/>
      <c r="D33" s="144"/>
      <c r="E33" s="144"/>
      <c r="F33" s="144"/>
      <c r="G33" s="144"/>
      <c r="H33" s="144"/>
      <c r="I33" s="144"/>
      <c r="J33" s="144"/>
      <c r="K33" s="144"/>
      <c r="L33" s="144"/>
      <c r="M33" s="144"/>
      <c r="N33" s="144"/>
      <c r="O33" s="144"/>
    </row>
  </sheetData>
  <mergeCells count="11">
    <mergeCell ref="B33:O33"/>
    <mergeCell ref="B32:O32"/>
    <mergeCell ref="B31:O31"/>
    <mergeCell ref="B30:O30"/>
    <mergeCell ref="B29:O29"/>
    <mergeCell ref="B28:O28"/>
    <mergeCell ref="B23:O23"/>
    <mergeCell ref="B24:O24"/>
    <mergeCell ref="B25:O25"/>
    <mergeCell ref="B26:O26"/>
    <mergeCell ref="B27:O27"/>
  </mergeCells>
  <pageMargins left="0" right="0" top="0.75" bottom="0.75" header="0.3" footer="0.3"/>
  <pageSetup scale="65" orientation="landscape" r:id="rId1"/>
</worksheet>
</file>

<file path=xl/worksheets/sheet8.xml><?xml version="1.0" encoding="utf-8"?>
<worksheet xmlns="http://schemas.openxmlformats.org/spreadsheetml/2006/main" xmlns:r="http://schemas.openxmlformats.org/officeDocument/2006/relationships">
  <sheetPr>
    <tabColor theme="9" tint="0.39997558519241921"/>
  </sheetPr>
  <dimension ref="A2:BC260"/>
  <sheetViews>
    <sheetView zoomScaleNormal="100" workbookViewId="0">
      <pane xSplit="1" ySplit="6" topLeftCell="I57" activePane="bottomRight" state="frozen"/>
      <selection pane="topRight" activeCell="B1" sqref="B1"/>
      <selection pane="bottomLeft" activeCell="A7" sqref="A7"/>
      <selection pane="bottomRight" activeCell="A59" sqref="A59"/>
    </sheetView>
  </sheetViews>
  <sheetFormatPr defaultRowHeight="15"/>
  <cols>
    <col min="1" max="1" width="34.85546875" customWidth="1"/>
    <col min="2" max="2" width="15" bestFit="1" customWidth="1"/>
    <col min="3" max="13" width="12.5703125" bestFit="1" customWidth="1"/>
    <col min="14" max="14" width="14.28515625" style="7" bestFit="1" customWidth="1"/>
    <col min="15" max="27" width="11.7109375" style="7" hidden="1" customWidth="1"/>
    <col min="28" max="55" width="11.7109375" style="7" customWidth="1"/>
  </cols>
  <sheetData>
    <row r="2" spans="1:55">
      <c r="A2" s="63" t="s">
        <v>73</v>
      </c>
    </row>
    <row r="3" spans="1:55">
      <c r="B3" s="8">
        <v>2010</v>
      </c>
      <c r="C3" s="8">
        <v>2010</v>
      </c>
      <c r="D3" s="8">
        <v>2010</v>
      </c>
      <c r="E3" s="8">
        <v>2010</v>
      </c>
      <c r="F3" s="8">
        <v>2010</v>
      </c>
      <c r="G3" s="8">
        <v>2010</v>
      </c>
      <c r="H3" s="8">
        <v>2010</v>
      </c>
      <c r="I3" s="8">
        <v>2010</v>
      </c>
      <c r="J3" s="8">
        <v>2010</v>
      </c>
      <c r="K3" s="8">
        <v>2010</v>
      </c>
      <c r="L3" s="8">
        <v>2010</v>
      </c>
      <c r="M3" s="8">
        <v>2010</v>
      </c>
      <c r="N3" s="8" t="s">
        <v>34</v>
      </c>
      <c r="O3" s="5">
        <v>2011</v>
      </c>
      <c r="P3" s="5">
        <v>2011</v>
      </c>
      <c r="Q3" s="5">
        <v>2011</v>
      </c>
      <c r="R3" s="5">
        <v>2011</v>
      </c>
      <c r="S3" s="5">
        <v>2011</v>
      </c>
      <c r="T3" s="5">
        <v>2011</v>
      </c>
      <c r="U3" s="5">
        <v>2011</v>
      </c>
      <c r="V3" s="5">
        <v>2011</v>
      </c>
      <c r="W3" s="5">
        <v>2011</v>
      </c>
      <c r="X3" s="5">
        <v>2011</v>
      </c>
      <c r="Y3" s="5">
        <v>2011</v>
      </c>
      <c r="Z3" s="5">
        <v>2011</v>
      </c>
      <c r="AA3" s="8" t="s">
        <v>35</v>
      </c>
    </row>
    <row r="4" spans="1:55">
      <c r="B4" s="32" t="s">
        <v>0</v>
      </c>
      <c r="C4" s="32" t="s">
        <v>1</v>
      </c>
      <c r="D4" s="32" t="s">
        <v>2</v>
      </c>
      <c r="E4" s="32" t="s">
        <v>3</v>
      </c>
      <c r="F4" s="32" t="s">
        <v>4</v>
      </c>
      <c r="G4" s="32" t="s">
        <v>5</v>
      </c>
      <c r="H4" s="32" t="s">
        <v>6</v>
      </c>
      <c r="I4" s="32" t="s">
        <v>7</v>
      </c>
      <c r="J4" s="32" t="s">
        <v>8</v>
      </c>
      <c r="K4" s="32" t="s">
        <v>9</v>
      </c>
      <c r="L4" s="32" t="s">
        <v>10</v>
      </c>
      <c r="M4" s="32" t="s">
        <v>11</v>
      </c>
      <c r="N4" s="31"/>
      <c r="O4" s="5" t="s">
        <v>0</v>
      </c>
      <c r="P4" s="5" t="s">
        <v>1</v>
      </c>
      <c r="Q4" s="5" t="s">
        <v>2</v>
      </c>
      <c r="R4" s="5" t="s">
        <v>3</v>
      </c>
      <c r="S4" s="5" t="s">
        <v>4</v>
      </c>
      <c r="T4" s="5" t="s">
        <v>5</v>
      </c>
      <c r="U4" s="5" t="s">
        <v>6</v>
      </c>
      <c r="V4" s="5" t="s">
        <v>7</v>
      </c>
      <c r="W4" s="5" t="s">
        <v>8</v>
      </c>
      <c r="X4" s="5" t="s">
        <v>9</v>
      </c>
      <c r="Y4" s="5" t="s">
        <v>10</v>
      </c>
      <c r="Z4" s="5" t="s">
        <v>11</v>
      </c>
      <c r="AA4" s="5"/>
    </row>
    <row r="5" spans="1:55">
      <c r="D5" s="3"/>
      <c r="E5" s="3"/>
      <c r="F5" s="3"/>
      <c r="G5" s="3"/>
      <c r="H5" s="3"/>
      <c r="I5" s="3"/>
      <c r="J5" s="3"/>
      <c r="K5" s="3"/>
      <c r="L5" s="3"/>
      <c r="M5" s="3"/>
    </row>
    <row r="6" spans="1:55">
      <c r="D6" s="3"/>
      <c r="E6" s="3"/>
      <c r="F6" s="3"/>
      <c r="G6" s="3"/>
      <c r="H6" s="3"/>
      <c r="I6" s="3"/>
      <c r="J6" s="3"/>
      <c r="K6" s="3"/>
      <c r="L6" s="3"/>
      <c r="M6" s="3"/>
    </row>
    <row r="7" spans="1:55">
      <c r="A7" s="89" t="s">
        <v>92</v>
      </c>
      <c r="D7" s="3"/>
      <c r="E7" s="3"/>
      <c r="F7" s="3"/>
      <c r="G7" s="3"/>
      <c r="H7" s="3"/>
      <c r="I7" s="3"/>
      <c r="J7" s="3"/>
      <c r="K7" s="3"/>
      <c r="L7" s="3"/>
      <c r="M7" s="3"/>
    </row>
    <row r="8" spans="1:55">
      <c r="A8" s="5" t="s">
        <v>88</v>
      </c>
      <c r="B8" s="36">
        <v>22653060.214763757</v>
      </c>
      <c r="C8" s="36">
        <v>17886950.77658898</v>
      </c>
      <c r="D8" s="36">
        <v>14924159.452708695</v>
      </c>
      <c r="E8" s="36">
        <v>9678983.0458016172</v>
      </c>
      <c r="F8" s="36">
        <v>5641194.2317263912</v>
      </c>
      <c r="G8" s="36">
        <v>3518589.4111937187</v>
      </c>
      <c r="H8" s="36">
        <v>2204988.9326755856</v>
      </c>
      <c r="I8" s="36">
        <v>3804955.3386880807</v>
      </c>
      <c r="J8" s="36">
        <v>2003490.3834100324</v>
      </c>
      <c r="K8" s="36">
        <v>7987256.0580892907</v>
      </c>
      <c r="L8" s="36">
        <v>14044875.729039226</v>
      </c>
      <c r="M8" s="36">
        <v>20789416.802153341</v>
      </c>
      <c r="N8" s="75">
        <f t="shared" ref="N8:N260" si="0">SUM(B8:M8)</f>
        <v>125137920.37683868</v>
      </c>
    </row>
    <row r="9" spans="1:55">
      <c r="A9" s="5" t="s">
        <v>91</v>
      </c>
      <c r="B9" s="36">
        <v>8647328.1803610362</v>
      </c>
      <c r="C9" s="36">
        <v>7192145.7843036382</v>
      </c>
      <c r="D9" s="36">
        <v>5633517.8290253421</v>
      </c>
      <c r="E9" s="36">
        <v>3427776.345487813</v>
      </c>
      <c r="F9" s="36">
        <v>2033249.6960230572</v>
      </c>
      <c r="G9" s="36">
        <v>1237152.2836433221</v>
      </c>
      <c r="H9" s="36">
        <v>2086350.1640779306</v>
      </c>
      <c r="I9" s="36">
        <v>396466.14310124604</v>
      </c>
      <c r="J9" s="36">
        <v>3640695.2398045794</v>
      </c>
      <c r="K9" s="36">
        <v>4493777.5846193722</v>
      </c>
      <c r="L9" s="36">
        <v>7213557.6306989808</v>
      </c>
      <c r="M9" s="36">
        <v>8496492.4899182599</v>
      </c>
      <c r="N9" s="75">
        <f t="shared" si="0"/>
        <v>54498509.371064581</v>
      </c>
      <c r="BA9"/>
      <c r="BB9"/>
      <c r="BC9"/>
    </row>
    <row r="10" spans="1:55">
      <c r="A10" s="5" t="s">
        <v>90</v>
      </c>
      <c r="B10" s="36">
        <v>837928.87960195844</v>
      </c>
      <c r="C10" s="36">
        <v>765408.63277243776</v>
      </c>
      <c r="D10" s="36">
        <v>769066.02605029871</v>
      </c>
      <c r="E10" s="36">
        <v>650993.38801839552</v>
      </c>
      <c r="F10" s="36">
        <v>537951.74896276649</v>
      </c>
      <c r="G10" s="36">
        <v>737745.99243860366</v>
      </c>
      <c r="H10" s="36">
        <v>336453.48274294659</v>
      </c>
      <c r="I10" s="36">
        <v>472668.13103148562</v>
      </c>
      <c r="J10" s="36">
        <v>24841.422690113104</v>
      </c>
      <c r="K10" s="36">
        <v>446295.86535722297</v>
      </c>
      <c r="L10" s="36">
        <v>618654.39983531181</v>
      </c>
      <c r="M10" s="36">
        <v>750803.81067763199</v>
      </c>
      <c r="N10" s="75">
        <f t="shared" si="0"/>
        <v>6948811.7801791728</v>
      </c>
    </row>
    <row r="11" spans="1:55">
      <c r="A11" s="5" t="s">
        <v>89</v>
      </c>
      <c r="B11" s="36">
        <v>95899</v>
      </c>
      <c r="C11" s="36">
        <v>84233</v>
      </c>
      <c r="D11" s="36">
        <v>82656</v>
      </c>
      <c r="E11" s="36">
        <v>67177</v>
      </c>
      <c r="F11" s="36">
        <v>54160</v>
      </c>
      <c r="G11" s="36">
        <v>43497</v>
      </c>
      <c r="H11" s="36">
        <v>31997</v>
      </c>
      <c r="I11" s="36">
        <v>22754</v>
      </c>
      <c r="J11" s="36">
        <v>26857</v>
      </c>
      <c r="K11" s="36">
        <v>31848</v>
      </c>
      <c r="L11" s="36">
        <v>47455</v>
      </c>
      <c r="M11" s="36">
        <v>61119</v>
      </c>
      <c r="N11" s="75">
        <f t="shared" si="0"/>
        <v>649652</v>
      </c>
    </row>
    <row r="12" spans="1:55">
      <c r="A12" s="27" t="s">
        <v>54</v>
      </c>
      <c r="B12" s="26">
        <f t="shared" ref="B12:N12" si="1">SUM(B8:B11)</f>
        <v>32234216.274726752</v>
      </c>
      <c r="C12" s="26">
        <f t="shared" si="1"/>
        <v>25928738.193665057</v>
      </c>
      <c r="D12" s="26">
        <f t="shared" si="1"/>
        <v>21409399.307784338</v>
      </c>
      <c r="E12" s="26">
        <f t="shared" si="1"/>
        <v>13824929.779307825</v>
      </c>
      <c r="F12" s="26">
        <f t="shared" si="1"/>
        <v>8266555.6767122149</v>
      </c>
      <c r="G12" s="26">
        <f t="shared" si="1"/>
        <v>5536984.6872756444</v>
      </c>
      <c r="H12" s="26">
        <f t="shared" si="1"/>
        <v>4659789.5794964628</v>
      </c>
      <c r="I12" s="26">
        <f t="shared" si="1"/>
        <v>4696843.6128208116</v>
      </c>
      <c r="J12" s="26">
        <f t="shared" si="1"/>
        <v>5695884.0459047249</v>
      </c>
      <c r="K12" s="26">
        <f t="shared" si="1"/>
        <v>12959177.508065887</v>
      </c>
      <c r="L12" s="26">
        <f t="shared" si="1"/>
        <v>21924542.759573519</v>
      </c>
      <c r="M12" s="26">
        <f t="shared" si="1"/>
        <v>30097832.102749236</v>
      </c>
      <c r="N12" s="76">
        <f t="shared" si="1"/>
        <v>187234893.52808243</v>
      </c>
      <c r="O12" s="28"/>
      <c r="P12" s="28"/>
      <c r="Q12" s="28"/>
      <c r="R12" s="28"/>
      <c r="S12" s="28"/>
      <c r="T12" s="28"/>
      <c r="U12" s="28"/>
      <c r="V12" s="28"/>
      <c r="W12" s="28"/>
      <c r="X12" s="28"/>
      <c r="Y12" s="28"/>
      <c r="Z12" s="28"/>
      <c r="AA12" s="28"/>
    </row>
    <row r="13" spans="1:55">
      <c r="A13" s="5"/>
      <c r="D13" s="3"/>
      <c r="E13" s="3"/>
      <c r="F13" s="3"/>
      <c r="G13" s="3"/>
      <c r="H13" s="3"/>
      <c r="I13" s="3"/>
      <c r="J13" s="3"/>
      <c r="K13" s="3"/>
      <c r="L13" s="3"/>
      <c r="M13" s="3"/>
      <c r="N13" s="75"/>
    </row>
    <row r="14" spans="1:55">
      <c r="D14" s="3"/>
      <c r="E14" s="3"/>
      <c r="F14" s="3"/>
      <c r="G14" s="3"/>
      <c r="H14" s="3"/>
      <c r="I14" s="3"/>
      <c r="J14" s="3"/>
      <c r="K14" s="3"/>
      <c r="L14" s="3"/>
      <c r="M14" s="3"/>
      <c r="N14" s="75"/>
    </row>
    <row r="15" spans="1:55">
      <c r="A15" s="87" t="s">
        <v>93</v>
      </c>
      <c r="D15" s="3"/>
      <c r="E15" s="3"/>
      <c r="F15" s="3"/>
      <c r="G15" s="3"/>
      <c r="H15" s="3"/>
      <c r="I15" s="3"/>
      <c r="J15" s="3"/>
      <c r="K15" s="3"/>
      <c r="L15" s="3"/>
      <c r="M15" s="3"/>
      <c r="N15" s="75"/>
    </row>
    <row r="16" spans="1:55">
      <c r="A16" s="33" t="s">
        <v>88</v>
      </c>
      <c r="B16" s="39">
        <v>20975430</v>
      </c>
      <c r="C16" s="39">
        <v>15686649</v>
      </c>
      <c r="D16" s="39">
        <v>13792342</v>
      </c>
      <c r="E16" s="39">
        <v>12118647</v>
      </c>
      <c r="F16" s="39">
        <v>7513611</v>
      </c>
      <c r="G16" s="39">
        <v>5208692</v>
      </c>
      <c r="H16" s="39">
        <v>3313811</v>
      </c>
      <c r="I16" s="39">
        <v>2388155</v>
      </c>
      <c r="J16" s="39">
        <v>2436473</v>
      </c>
      <c r="K16" s="39">
        <v>3588712</v>
      </c>
      <c r="L16" s="39">
        <v>8096570</v>
      </c>
      <c r="M16" s="39">
        <v>18685652</v>
      </c>
      <c r="N16" s="75">
        <f t="shared" si="0"/>
        <v>113804744</v>
      </c>
    </row>
    <row r="17" spans="1:27">
      <c r="A17" s="33" t="s">
        <v>91</v>
      </c>
      <c r="B17" s="39">
        <v>7643633</v>
      </c>
      <c r="C17" s="39">
        <v>6378820</v>
      </c>
      <c r="D17" s="39">
        <v>5305418</v>
      </c>
      <c r="E17" s="39">
        <f>4765784+79305</f>
        <v>4845089</v>
      </c>
      <c r="F17" s="39">
        <v>3262456</v>
      </c>
      <c r="G17" s="39">
        <v>2496845</v>
      </c>
      <c r="H17" s="39">
        <v>1697184</v>
      </c>
      <c r="I17" s="39">
        <v>1304467</v>
      </c>
      <c r="J17" s="39">
        <v>1475007</v>
      </c>
      <c r="K17" s="39">
        <v>1927044</v>
      </c>
      <c r="L17" s="39">
        <f>3400805+15829</f>
        <v>3416634</v>
      </c>
      <c r="M17" s="39">
        <f>6723264+226336</f>
        <v>6949600</v>
      </c>
      <c r="N17" s="75">
        <f t="shared" si="0"/>
        <v>46702197</v>
      </c>
    </row>
    <row r="18" spans="1:27">
      <c r="A18" s="33" t="s">
        <v>90</v>
      </c>
      <c r="B18" s="41">
        <v>635697</v>
      </c>
      <c r="C18" s="41">
        <v>232909</v>
      </c>
      <c r="D18" s="41">
        <v>516804</v>
      </c>
      <c r="E18" s="41">
        <f>338604+178096</f>
        <v>516700</v>
      </c>
      <c r="F18" s="41">
        <v>459404</v>
      </c>
      <c r="G18" s="41">
        <v>448129</v>
      </c>
      <c r="H18" s="41">
        <v>379950</v>
      </c>
      <c r="I18" s="41">
        <v>372100</v>
      </c>
      <c r="J18" s="41">
        <v>365251</v>
      </c>
      <c r="K18" s="41">
        <v>408451</v>
      </c>
      <c r="L18" s="41">
        <f>272063+157936</f>
        <v>429999</v>
      </c>
      <c r="M18" s="41">
        <f>406100+223894</f>
        <v>629994</v>
      </c>
      <c r="N18" s="75">
        <f t="shared" si="0"/>
        <v>5395388</v>
      </c>
    </row>
    <row r="19" spans="1:27">
      <c r="A19" s="33" t="s">
        <v>89</v>
      </c>
      <c r="B19" s="41">
        <v>91247</v>
      </c>
      <c r="C19" s="41">
        <v>71598</v>
      </c>
      <c r="D19" s="41">
        <v>2087619</v>
      </c>
      <c r="E19" s="41">
        <f>-63900-1895830</f>
        <v>-1959730</v>
      </c>
      <c r="F19" s="41">
        <v>51119</v>
      </c>
      <c r="G19" s="41">
        <v>45011</v>
      </c>
      <c r="H19" s="41">
        <v>36719</v>
      </c>
      <c r="I19" s="41">
        <v>27170</v>
      </c>
      <c r="J19" s="41">
        <v>23223</v>
      </c>
      <c r="K19" s="41">
        <v>33649</v>
      </c>
      <c r="L19" s="41">
        <f>0+44207</f>
        <v>44207</v>
      </c>
      <c r="M19" s="41">
        <f>0+78031</f>
        <v>78031</v>
      </c>
      <c r="N19" s="75">
        <f t="shared" si="0"/>
        <v>629863</v>
      </c>
    </row>
    <row r="20" spans="1:27">
      <c r="A20" s="34" t="s">
        <v>54</v>
      </c>
      <c r="B20" s="26">
        <f t="shared" ref="B20:M20" si="2">SUM(B16:B19)</f>
        <v>29346007</v>
      </c>
      <c r="C20" s="26">
        <f t="shared" si="2"/>
        <v>22369976</v>
      </c>
      <c r="D20" s="26">
        <f t="shared" si="2"/>
        <v>21702183</v>
      </c>
      <c r="E20" s="26">
        <f t="shared" si="2"/>
        <v>15520706</v>
      </c>
      <c r="F20" s="26">
        <f t="shared" si="2"/>
        <v>11286590</v>
      </c>
      <c r="G20" s="26">
        <f t="shared" si="2"/>
        <v>8198677</v>
      </c>
      <c r="H20" s="26">
        <f t="shared" si="2"/>
        <v>5427664</v>
      </c>
      <c r="I20" s="26">
        <f t="shared" si="2"/>
        <v>4091892</v>
      </c>
      <c r="J20" s="26">
        <f t="shared" si="2"/>
        <v>4299954</v>
      </c>
      <c r="K20" s="26">
        <f t="shared" si="2"/>
        <v>5957856</v>
      </c>
      <c r="L20" s="26">
        <f t="shared" si="2"/>
        <v>11987410</v>
      </c>
      <c r="M20" s="26">
        <f t="shared" si="2"/>
        <v>26343277</v>
      </c>
      <c r="N20" s="76">
        <f>SUM(B20:M20)</f>
        <v>166532192</v>
      </c>
      <c r="O20" s="28"/>
      <c r="P20" s="28"/>
      <c r="Q20" s="28"/>
      <c r="R20" s="28"/>
      <c r="S20" s="28"/>
      <c r="T20" s="28"/>
      <c r="U20" s="28"/>
      <c r="V20" s="28"/>
      <c r="W20" s="28"/>
      <c r="X20" s="28"/>
      <c r="Y20" s="28"/>
      <c r="Z20" s="28"/>
      <c r="AA20" s="28"/>
    </row>
    <row r="21" spans="1:27">
      <c r="A21" s="47"/>
      <c r="B21" s="48"/>
      <c r="C21" s="48"/>
      <c r="D21" s="48"/>
      <c r="E21" s="48"/>
      <c r="F21" s="48"/>
      <c r="G21" s="48"/>
      <c r="H21" s="48"/>
      <c r="I21" s="48"/>
      <c r="J21" s="48"/>
      <c r="K21" s="48"/>
      <c r="L21" s="48"/>
      <c r="M21" s="48"/>
      <c r="N21" s="90"/>
      <c r="O21" s="50"/>
      <c r="P21" s="50"/>
      <c r="Q21" s="50"/>
      <c r="R21" s="50"/>
      <c r="S21" s="50"/>
      <c r="T21" s="50"/>
      <c r="U21" s="50"/>
      <c r="V21" s="50"/>
      <c r="W21" s="50"/>
      <c r="X21" s="50"/>
      <c r="Y21" s="50"/>
      <c r="Z21" s="50"/>
      <c r="AA21" s="50"/>
    </row>
    <row r="22" spans="1:27">
      <c r="B22" s="1"/>
      <c r="D22" s="3"/>
      <c r="E22" s="3"/>
      <c r="F22" s="3"/>
      <c r="G22" s="3"/>
      <c r="H22" s="3"/>
      <c r="I22" s="3"/>
      <c r="J22" s="3"/>
      <c r="K22" s="3"/>
      <c r="L22" s="3"/>
      <c r="M22" s="3"/>
      <c r="N22" s="75"/>
    </row>
    <row r="23" spans="1:27">
      <c r="A23" s="53" t="s">
        <v>33</v>
      </c>
      <c r="D23" s="3"/>
      <c r="E23" s="3"/>
      <c r="F23" s="3"/>
      <c r="G23" s="3"/>
      <c r="H23" s="3"/>
      <c r="I23" s="3"/>
      <c r="J23" s="3"/>
      <c r="K23" s="3"/>
      <c r="L23" s="3"/>
      <c r="M23" s="3"/>
      <c r="N23" s="75"/>
    </row>
    <row r="24" spans="1:27">
      <c r="A24" t="s">
        <v>88</v>
      </c>
      <c r="B24" s="1">
        <f>B16-B8</f>
        <v>-1677630.2147637568</v>
      </c>
      <c r="C24" s="1">
        <f t="shared" ref="C24:M24" si="3">C16-C8</f>
        <v>-2200301.7765889801</v>
      </c>
      <c r="D24" s="1">
        <f t="shared" si="3"/>
        <v>-1131817.4527086951</v>
      </c>
      <c r="E24" s="1">
        <f t="shared" si="3"/>
        <v>2439663.9541983828</v>
      </c>
      <c r="F24" s="1">
        <f t="shared" si="3"/>
        <v>1872416.7682736088</v>
      </c>
      <c r="G24" s="1">
        <f t="shared" si="3"/>
        <v>1690102.5888062813</v>
      </c>
      <c r="H24" s="1">
        <f t="shared" si="3"/>
        <v>1108822.0673244144</v>
      </c>
      <c r="I24" s="1">
        <f t="shared" si="3"/>
        <v>-1416800.3386880807</v>
      </c>
      <c r="J24" s="1">
        <f t="shared" si="3"/>
        <v>432982.61658996763</v>
      </c>
      <c r="K24" s="1">
        <f t="shared" si="3"/>
        <v>-4398544.0580892907</v>
      </c>
      <c r="L24" s="1">
        <f t="shared" si="3"/>
        <v>-5948305.7290392257</v>
      </c>
      <c r="M24" s="1">
        <f t="shared" si="3"/>
        <v>-2103764.8021533415</v>
      </c>
      <c r="N24" s="91">
        <f>SUM(B24:M24)</f>
        <v>-11333176.376838716</v>
      </c>
    </row>
    <row r="25" spans="1:27">
      <c r="A25" t="s">
        <v>91</v>
      </c>
      <c r="B25" s="1">
        <f t="shared" ref="B25:M27" si="4">B17-B9</f>
        <v>-1003695.1803610362</v>
      </c>
      <c r="C25" s="1">
        <f t="shared" si="4"/>
        <v>-813325.78430363815</v>
      </c>
      <c r="D25" s="1">
        <f t="shared" si="4"/>
        <v>-328099.82902534213</v>
      </c>
      <c r="E25" s="1">
        <f t="shared" si="4"/>
        <v>1417312.654512187</v>
      </c>
      <c r="F25" s="1">
        <f t="shared" si="4"/>
        <v>1229206.3039769428</v>
      </c>
      <c r="G25" s="1">
        <f t="shared" si="4"/>
        <v>1259692.7163566779</v>
      </c>
      <c r="H25" s="1">
        <f t="shared" si="4"/>
        <v>-389166.16407793062</v>
      </c>
      <c r="I25" s="1">
        <f t="shared" si="4"/>
        <v>908000.8568987539</v>
      </c>
      <c r="J25" s="1">
        <f t="shared" si="4"/>
        <v>-2165688.2398045794</v>
      </c>
      <c r="K25" s="1">
        <f t="shared" si="4"/>
        <v>-2566733.5846193722</v>
      </c>
      <c r="L25" s="1">
        <f t="shared" si="4"/>
        <v>-3796923.6306989808</v>
      </c>
      <c r="M25" s="1">
        <f t="shared" si="4"/>
        <v>-1546892.4899182599</v>
      </c>
      <c r="N25" s="91">
        <f t="shared" ref="N25:N27" si="5">SUM(B25:M25)</f>
        <v>-7796312.3710645773</v>
      </c>
    </row>
    <row r="26" spans="1:27">
      <c r="A26" t="s">
        <v>90</v>
      </c>
      <c r="B26" s="1">
        <f t="shared" si="4"/>
        <v>-202231.87960195844</v>
      </c>
      <c r="C26" s="1">
        <f t="shared" si="4"/>
        <v>-532499.63277243776</v>
      </c>
      <c r="D26" s="1">
        <f t="shared" si="4"/>
        <v>-252262.02605029871</v>
      </c>
      <c r="E26" s="1">
        <f t="shared" si="4"/>
        <v>-134293.38801839552</v>
      </c>
      <c r="F26" s="1">
        <f t="shared" si="4"/>
        <v>-78547.748962766491</v>
      </c>
      <c r="G26" s="1">
        <f t="shared" si="4"/>
        <v>-289616.99243860366</v>
      </c>
      <c r="H26" s="1">
        <f t="shared" si="4"/>
        <v>43496.517257053405</v>
      </c>
      <c r="I26" s="1">
        <f t="shared" si="4"/>
        <v>-100568.13103148562</v>
      </c>
      <c r="J26" s="1">
        <f t="shared" si="4"/>
        <v>340409.57730988692</v>
      </c>
      <c r="K26" s="1">
        <f t="shared" si="4"/>
        <v>-37844.865357222967</v>
      </c>
      <c r="L26" s="1">
        <f t="shared" si="4"/>
        <v>-188655.39983531181</v>
      </c>
      <c r="M26" s="1">
        <f t="shared" si="4"/>
        <v>-120809.81067763199</v>
      </c>
      <c r="N26" s="91">
        <f t="shared" si="5"/>
        <v>-1553423.7801791725</v>
      </c>
    </row>
    <row r="27" spans="1:27">
      <c r="A27" t="s">
        <v>89</v>
      </c>
      <c r="B27" s="1">
        <f t="shared" si="4"/>
        <v>-4652</v>
      </c>
      <c r="C27" s="1">
        <f t="shared" si="4"/>
        <v>-12635</v>
      </c>
      <c r="D27" s="1">
        <f t="shared" si="4"/>
        <v>2004963</v>
      </c>
      <c r="E27" s="1">
        <f t="shared" si="4"/>
        <v>-2026907</v>
      </c>
      <c r="F27" s="1">
        <f t="shared" si="4"/>
        <v>-3041</v>
      </c>
      <c r="G27" s="1">
        <f t="shared" si="4"/>
        <v>1514</v>
      </c>
      <c r="H27" s="1">
        <f t="shared" si="4"/>
        <v>4722</v>
      </c>
      <c r="I27" s="1">
        <f t="shared" si="4"/>
        <v>4416</v>
      </c>
      <c r="J27" s="1">
        <f t="shared" si="4"/>
        <v>-3634</v>
      </c>
      <c r="K27" s="1">
        <f t="shared" si="4"/>
        <v>1801</v>
      </c>
      <c r="L27" s="1">
        <f t="shared" si="4"/>
        <v>-3248</v>
      </c>
      <c r="M27" s="1">
        <f t="shared" si="4"/>
        <v>16912</v>
      </c>
      <c r="N27" s="91">
        <f t="shared" si="5"/>
        <v>-19789</v>
      </c>
    </row>
    <row r="28" spans="1:27">
      <c r="A28" s="28" t="s">
        <v>48</v>
      </c>
      <c r="B28" s="67">
        <f>SUM(B24:B27)</f>
        <v>-2888209.2747267513</v>
      </c>
      <c r="C28" s="67">
        <f t="shared" ref="C28:N28" si="6">SUM(C24:C27)</f>
        <v>-3558762.193665056</v>
      </c>
      <c r="D28" s="67">
        <f t="shared" si="6"/>
        <v>292783.69221566408</v>
      </c>
      <c r="E28" s="67">
        <f t="shared" si="6"/>
        <v>1695776.2206921745</v>
      </c>
      <c r="F28" s="67">
        <f t="shared" si="6"/>
        <v>3020034.3232877851</v>
      </c>
      <c r="G28" s="67">
        <f t="shared" si="6"/>
        <v>2661692.3127243556</v>
      </c>
      <c r="H28" s="67">
        <f t="shared" si="6"/>
        <v>767874.42050353717</v>
      </c>
      <c r="I28" s="67">
        <f t="shared" si="6"/>
        <v>-604951.61282081238</v>
      </c>
      <c r="J28" s="67">
        <f t="shared" si="6"/>
        <v>-1395930.0459047249</v>
      </c>
      <c r="K28" s="67">
        <f t="shared" si="6"/>
        <v>-7001321.5080658859</v>
      </c>
      <c r="L28" s="67">
        <f t="shared" si="6"/>
        <v>-9937132.7595735192</v>
      </c>
      <c r="M28" s="67">
        <f t="shared" si="6"/>
        <v>-3754555.1027492331</v>
      </c>
      <c r="N28" s="92">
        <f t="shared" si="6"/>
        <v>-20702701.528082468</v>
      </c>
      <c r="O28" s="28"/>
      <c r="P28" s="28"/>
      <c r="Q28" s="28"/>
      <c r="R28" s="28"/>
      <c r="S28" s="28"/>
      <c r="T28" s="28"/>
      <c r="U28" s="28"/>
      <c r="V28" s="28"/>
      <c r="W28" s="28"/>
      <c r="X28" s="28"/>
      <c r="Y28" s="28"/>
    </row>
    <row r="29" spans="1:27">
      <c r="A29" s="5"/>
      <c r="D29" s="3"/>
      <c r="E29" s="3"/>
      <c r="F29" s="3"/>
      <c r="G29" s="3"/>
      <c r="H29" s="3"/>
      <c r="I29" s="3"/>
      <c r="J29" s="3"/>
      <c r="K29" s="3"/>
      <c r="L29" s="3"/>
      <c r="M29" s="3"/>
      <c r="N29" s="75"/>
    </row>
    <row r="30" spans="1:27" s="68" customFormat="1">
      <c r="B30" s="80">
        <v>0.95677000000000001</v>
      </c>
      <c r="D30" s="75"/>
      <c r="E30" s="75"/>
      <c r="F30" s="75"/>
      <c r="G30" s="75"/>
      <c r="H30" s="75"/>
      <c r="I30" s="75"/>
      <c r="J30" s="75"/>
      <c r="K30" s="75"/>
      <c r="L30" s="75"/>
      <c r="M30" s="75"/>
      <c r="N30" s="75"/>
    </row>
    <row r="31" spans="1:27" s="68" customFormat="1">
      <c r="A31" s="69" t="s">
        <v>62</v>
      </c>
      <c r="B31" s="80">
        <v>0.95705899999999999</v>
      </c>
      <c r="C31" s="80">
        <v>0.955843</v>
      </c>
      <c r="D31" s="75"/>
      <c r="E31" s="75"/>
      <c r="F31" s="75"/>
      <c r="G31" s="75"/>
      <c r="H31" s="75"/>
      <c r="I31" s="75"/>
      <c r="J31" s="75"/>
      <c r="K31" s="75"/>
      <c r="L31" s="75"/>
      <c r="M31" s="75"/>
      <c r="N31" s="75"/>
    </row>
    <row r="32" spans="1:27" s="68" customFormat="1">
      <c r="A32" s="68" t="s">
        <v>63</v>
      </c>
      <c r="B32" s="68" t="s">
        <v>88</v>
      </c>
      <c r="C32" s="68" t="s">
        <v>91</v>
      </c>
      <c r="D32" s="68" t="s">
        <v>90</v>
      </c>
      <c r="E32" s="68" t="s">
        <v>89</v>
      </c>
      <c r="F32" s="75"/>
      <c r="G32" s="75"/>
      <c r="H32" s="75"/>
      <c r="I32" s="75"/>
      <c r="J32" s="75"/>
      <c r="K32" s="75"/>
      <c r="L32" s="75"/>
      <c r="M32" s="75"/>
      <c r="N32" s="75"/>
    </row>
    <row r="33" spans="1:23" s="68" customFormat="1">
      <c r="A33" s="68" t="s">
        <v>66</v>
      </c>
      <c r="B33" s="29">
        <f>0.04323*0.7735</f>
        <v>3.3438404999999997E-2</v>
      </c>
      <c r="C33" s="29">
        <f>0.0379*0.7735</f>
        <v>2.9315650000000002E-2</v>
      </c>
      <c r="D33" s="29">
        <f>0.03537*0.7735</f>
        <v>2.7358694999999999E-2</v>
      </c>
      <c r="E33" s="29">
        <f>0.03419*0.7735</f>
        <v>2.6445964999999998E-2</v>
      </c>
      <c r="F33" s="75"/>
      <c r="G33" s="75"/>
      <c r="H33" s="75"/>
      <c r="I33" s="75"/>
      <c r="J33" s="75"/>
      <c r="K33" s="75"/>
      <c r="L33" s="75"/>
      <c r="M33" s="75"/>
      <c r="N33" s="75"/>
    </row>
    <row r="34" spans="1:23" s="68" customFormat="1">
      <c r="A34" s="68" t="s">
        <v>95</v>
      </c>
      <c r="B34" s="29">
        <f>0.06114*0.7735</f>
        <v>4.729179E-2</v>
      </c>
      <c r="C34" s="29">
        <f>0.05785*0.7735</f>
        <v>4.4746974999999994E-2</v>
      </c>
      <c r="D34" s="29">
        <f>0.05456*0.7735</f>
        <v>4.2202159999999996E-2</v>
      </c>
      <c r="E34" s="29">
        <f>0.05054*0.7735</f>
        <v>3.9092689999999999E-2</v>
      </c>
      <c r="F34" s="75" t="s">
        <v>96</v>
      </c>
      <c r="G34" s="75"/>
      <c r="H34" s="75"/>
      <c r="I34" s="75"/>
      <c r="J34" s="75"/>
      <c r="K34" s="75"/>
      <c r="L34" s="75"/>
      <c r="M34" s="75"/>
      <c r="N34" s="75"/>
    </row>
    <row r="35" spans="1:23" s="68" customFormat="1">
      <c r="A35" s="68" t="s">
        <v>67</v>
      </c>
      <c r="B35" s="29">
        <v>3.3439999999999998E-2</v>
      </c>
      <c r="C35" s="29">
        <v>2.9440000000000001E-2</v>
      </c>
      <c r="D35" s="29">
        <v>2.7560000000000001E-2</v>
      </c>
      <c r="E35" s="29">
        <v>2.6630000000000001E-2</v>
      </c>
      <c r="F35" s="75"/>
      <c r="G35" s="75"/>
      <c r="H35" s="75"/>
      <c r="I35" s="75"/>
      <c r="J35" s="75"/>
      <c r="K35" s="75"/>
      <c r="L35" s="75"/>
      <c r="M35" s="75"/>
      <c r="N35" s="75"/>
    </row>
    <row r="36" spans="1:23" s="68" customFormat="1">
      <c r="A36" s="68" t="s">
        <v>164</v>
      </c>
      <c r="B36" s="29">
        <v>5.135E-2</v>
      </c>
      <c r="C36" s="29">
        <v>4.9390000000000003E-2</v>
      </c>
      <c r="D36" s="29">
        <v>4.675E-2</v>
      </c>
      <c r="E36" s="29">
        <v>4.2979999999999997E-2</v>
      </c>
      <c r="F36" s="75"/>
      <c r="G36" s="75"/>
      <c r="H36" s="75"/>
      <c r="I36" s="75"/>
      <c r="J36" s="75"/>
      <c r="K36" s="75"/>
      <c r="L36" s="75"/>
      <c r="M36" s="75"/>
      <c r="N36" s="75"/>
    </row>
    <row r="37" spans="1:23">
      <c r="A37" s="5"/>
      <c r="B37" s="29"/>
      <c r="C37" s="29"/>
      <c r="D37" s="29"/>
      <c r="E37" s="29"/>
      <c r="F37" s="29"/>
      <c r="G37" s="43"/>
      <c r="H37" s="3"/>
      <c r="I37" s="3"/>
      <c r="J37" s="3"/>
      <c r="K37" s="3"/>
      <c r="L37" s="3"/>
      <c r="M37" s="3"/>
      <c r="N37" s="75"/>
    </row>
    <row r="38" spans="1:23">
      <c r="A38" s="89" t="s">
        <v>60</v>
      </c>
      <c r="D38" s="3"/>
      <c r="E38" s="3"/>
      <c r="F38" s="3"/>
      <c r="G38" s="3"/>
      <c r="H38" s="3"/>
      <c r="I38" s="3"/>
      <c r="J38" s="3"/>
      <c r="K38" s="3"/>
      <c r="L38" s="3"/>
      <c r="M38" s="3"/>
      <c r="N38" s="75"/>
    </row>
    <row r="39" spans="1:23">
      <c r="A39" s="5" t="s">
        <v>88</v>
      </c>
      <c r="B39" s="46">
        <f>($B$33*B8)*$B$30</f>
        <v>724736.24636033049</v>
      </c>
      <c r="C39" s="46">
        <f t="shared" ref="C39:D39" si="7">($B$33*C8)*$B$30</f>
        <v>572254.76124450797</v>
      </c>
      <c r="D39" s="46">
        <f t="shared" si="7"/>
        <v>477466.58505723404</v>
      </c>
      <c r="E39" s="46">
        <f>($B$34*E8)*$B$30</f>
        <v>437948.48759040766</v>
      </c>
      <c r="F39" s="46">
        <f t="shared" ref="F39:M39" si="8">($B$34*F8)*$B$30</f>
        <v>255249.1796191273</v>
      </c>
      <c r="G39" s="46">
        <f t="shared" si="8"/>
        <v>159206.90260453793</v>
      </c>
      <c r="H39" s="46">
        <f t="shared" si="8"/>
        <v>99769.941082573991</v>
      </c>
      <c r="I39" s="46">
        <f t="shared" si="8"/>
        <v>172164.20651240868</v>
      </c>
      <c r="J39" s="46">
        <f t="shared" si="8"/>
        <v>90652.662491948897</v>
      </c>
      <c r="K39" s="46">
        <f t="shared" si="8"/>
        <v>361402.29754352459</v>
      </c>
      <c r="L39" s="46">
        <f t="shared" si="8"/>
        <v>635493.63138888835</v>
      </c>
      <c r="M39" s="46">
        <f t="shared" si="8"/>
        <v>940666.34927508642</v>
      </c>
      <c r="N39" s="93">
        <f>SUM(B39:M39)</f>
        <v>4927011.2507705763</v>
      </c>
    </row>
    <row r="40" spans="1:23">
      <c r="A40" s="5" t="s">
        <v>91</v>
      </c>
      <c r="B40" s="46">
        <f>(B9*$C$33)*$B$30</f>
        <v>242543.15290599994</v>
      </c>
      <c r="C40" s="46">
        <f t="shared" ref="C40:D40" si="9">(C9*$C$33)*$B$30</f>
        <v>201727.71037490209</v>
      </c>
      <c r="D40" s="46">
        <f t="shared" si="9"/>
        <v>158010.79220135749</v>
      </c>
      <c r="E40" s="46">
        <f>(E9*$C$34)*$B$30</f>
        <v>146751.89166917719</v>
      </c>
      <c r="F40" s="46">
        <f t="shared" ref="F40:M40" si="10">(F9*$C$34)*$B$30</f>
        <v>87048.631256220338</v>
      </c>
      <c r="G40" s="46">
        <f t="shared" si="10"/>
        <v>52965.660419032574</v>
      </c>
      <c r="H40" s="46">
        <f t="shared" si="10"/>
        <v>89321.998404526035</v>
      </c>
      <c r="I40" s="46">
        <f t="shared" si="10"/>
        <v>16973.73183623232</v>
      </c>
      <c r="J40" s="46">
        <f t="shared" si="10"/>
        <v>155867.49530365187</v>
      </c>
      <c r="K40" s="46">
        <f t="shared" si="10"/>
        <v>192390.13716619497</v>
      </c>
      <c r="L40" s="46">
        <f t="shared" si="10"/>
        <v>308830.89247150155</v>
      </c>
      <c r="M40" s="46">
        <f t="shared" si="10"/>
        <v>363756.62230407767</v>
      </c>
      <c r="N40" s="93">
        <f t="shared" ref="N40:N42" si="11">SUM(B40:M40)</f>
        <v>2016188.7163128741</v>
      </c>
    </row>
    <row r="41" spans="1:23">
      <c r="A41" s="5" t="s">
        <v>90</v>
      </c>
      <c r="B41" s="46">
        <f>(B10*$D$33)*$B$30</f>
        <v>21933.608433477464</v>
      </c>
      <c r="C41" s="46">
        <f t="shared" ref="C41:D41" si="12">(C10*$D$33)*$B$30</f>
        <v>20035.320003302528</v>
      </c>
      <c r="D41" s="46">
        <f t="shared" si="12"/>
        <v>20131.055851531011</v>
      </c>
      <c r="E41" s="46">
        <f>(E10*$D$34)*$B$30</f>
        <v>26285.655188692726</v>
      </c>
      <c r="F41" s="46">
        <f t="shared" ref="F41:M41" si="13">(F10*$D$34)*$B$30</f>
        <v>21721.28694645036</v>
      </c>
      <c r="G41" s="46">
        <f t="shared" si="13"/>
        <v>29788.531083411053</v>
      </c>
      <c r="H41" s="46">
        <f t="shared" si="13"/>
        <v>13585.23818703665</v>
      </c>
      <c r="I41" s="46">
        <f t="shared" si="13"/>
        <v>19085.280649004657</v>
      </c>
      <c r="J41" s="46">
        <f t="shared" si="13"/>
        <v>1003.0410189211159</v>
      </c>
      <c r="K41" s="46">
        <f t="shared" si="13"/>
        <v>18020.427618517846</v>
      </c>
      <c r="L41" s="46">
        <f t="shared" si="13"/>
        <v>24979.879265039679</v>
      </c>
      <c r="M41" s="46">
        <f t="shared" si="13"/>
        <v>30315.776542527794</v>
      </c>
      <c r="N41" s="93">
        <f t="shared" si="11"/>
        <v>246885.10078791293</v>
      </c>
    </row>
    <row r="42" spans="1:23">
      <c r="A42" s="5" t="s">
        <v>89</v>
      </c>
      <c r="B42" s="46">
        <f>(B11*$E$33)*$B$30</f>
        <v>2426.5041962735618</v>
      </c>
      <c r="C42" s="46">
        <f t="shared" ref="C42:D42" si="14">(C11*$E$33)*$B$30</f>
        <v>2131.3228288586006</v>
      </c>
      <c r="D42" s="46">
        <f t="shared" si="14"/>
        <v>2091.4204616021807</v>
      </c>
      <c r="E42" s="46">
        <f>(E11*$E$34)*$B$30</f>
        <v>2512.6020519601002</v>
      </c>
      <c r="F42" s="46">
        <f t="shared" ref="F42:M42" si="15">(F11*$E$34)*$B$30</f>
        <v>2025.7309366920081</v>
      </c>
      <c r="G42" s="46">
        <f t="shared" si="15"/>
        <v>1626.9058078525161</v>
      </c>
      <c r="H42" s="46">
        <f t="shared" si="15"/>
        <v>1196.7746082225663</v>
      </c>
      <c r="I42" s="46">
        <f t="shared" si="15"/>
        <v>851.06133185912017</v>
      </c>
      <c r="J42" s="46">
        <f t="shared" si="15"/>
        <v>1004.5246633444841</v>
      </c>
      <c r="K42" s="46">
        <f t="shared" si="15"/>
        <v>1191.2016039838823</v>
      </c>
      <c r="L42" s="46">
        <f t="shared" si="15"/>
        <v>1774.9457459512414</v>
      </c>
      <c r="M42" s="46">
        <f t="shared" si="15"/>
        <v>2286.0164165376445</v>
      </c>
      <c r="N42" s="93">
        <f t="shared" si="11"/>
        <v>21119.010653137906</v>
      </c>
    </row>
    <row r="43" spans="1:23">
      <c r="A43" s="27" t="s">
        <v>54</v>
      </c>
      <c r="B43" s="45">
        <f>SUM(B39:B42)</f>
        <v>991639.51189608139</v>
      </c>
      <c r="C43" s="45">
        <f t="shared" ref="C43:M43" si="16">SUM(C39:C42)</f>
        <v>796149.11445157125</v>
      </c>
      <c r="D43" s="45">
        <f t="shared" si="16"/>
        <v>657699.85357172473</v>
      </c>
      <c r="E43" s="45">
        <f t="shared" si="16"/>
        <v>613498.63650023763</v>
      </c>
      <c r="F43" s="45">
        <f t="shared" si="16"/>
        <v>366044.82875848998</v>
      </c>
      <c r="G43" s="45">
        <f t="shared" si="16"/>
        <v>243587.99991483407</v>
      </c>
      <c r="H43" s="45">
        <f t="shared" si="16"/>
        <v>203873.95228235924</v>
      </c>
      <c r="I43" s="45">
        <f t="shared" si="16"/>
        <v>209074.28032950478</v>
      </c>
      <c r="J43" s="45">
        <f t="shared" si="16"/>
        <v>248527.72347786638</v>
      </c>
      <c r="K43" s="45">
        <f t="shared" si="16"/>
        <v>573004.06393222138</v>
      </c>
      <c r="L43" s="45">
        <f t="shared" si="16"/>
        <v>971079.34887138079</v>
      </c>
      <c r="M43" s="45">
        <f t="shared" si="16"/>
        <v>1337024.7645382294</v>
      </c>
      <c r="N43" s="94">
        <f>SUM(N39:N42)</f>
        <v>7211204.0785245011</v>
      </c>
      <c r="O43" s="28"/>
      <c r="P43" s="28"/>
      <c r="Q43" s="28"/>
      <c r="R43" s="28"/>
      <c r="S43" s="28"/>
      <c r="T43" s="28"/>
      <c r="U43" s="28"/>
      <c r="V43" s="28"/>
      <c r="W43" s="28"/>
    </row>
    <row r="44" spans="1:23">
      <c r="A44" s="5"/>
      <c r="D44" s="3"/>
      <c r="E44" s="3"/>
      <c r="F44" s="3"/>
      <c r="G44" s="3"/>
      <c r="H44" s="3"/>
      <c r="I44" s="3"/>
      <c r="J44" s="3"/>
      <c r="K44" s="3"/>
      <c r="L44" s="3"/>
      <c r="M44" s="3"/>
      <c r="N44" s="75"/>
    </row>
    <row r="45" spans="1:23">
      <c r="D45" s="3"/>
      <c r="E45" s="3"/>
      <c r="F45" s="3"/>
      <c r="G45" s="3"/>
      <c r="H45" s="3"/>
      <c r="I45" s="3"/>
      <c r="J45" s="3"/>
      <c r="K45" s="3"/>
      <c r="L45" s="3"/>
      <c r="M45" s="3"/>
      <c r="N45" s="75"/>
    </row>
    <row r="46" spans="1:23">
      <c r="A46" s="87" t="s">
        <v>61</v>
      </c>
      <c r="D46" s="3"/>
      <c r="E46" s="3"/>
      <c r="F46" s="3"/>
      <c r="G46" s="3"/>
      <c r="H46" s="3"/>
      <c r="I46" s="3"/>
      <c r="J46" s="3"/>
      <c r="K46" s="3"/>
      <c r="L46" s="3"/>
      <c r="M46" s="3"/>
      <c r="N46" s="75"/>
    </row>
    <row r="47" spans="1:23">
      <c r="A47" s="33" t="s">
        <v>88</v>
      </c>
      <c r="B47" s="23">
        <f>($B$35*B16)*$B$31</f>
        <v>671298.77257877274</v>
      </c>
      <c r="C47" s="23">
        <f>($B$35*C16)*$B$31</f>
        <v>502036.34536093101</v>
      </c>
      <c r="D47" s="23">
        <f>($B$35*D16)*$B$31</f>
        <v>441410.8438104323</v>
      </c>
      <c r="E47" s="23">
        <v>427116</v>
      </c>
      <c r="F47" s="23">
        <v>385684</v>
      </c>
      <c r="G47" s="23">
        <f t="shared" ref="G47:L47" si="17">($B$36*G16)*$B$31</f>
        <v>255981.06234311778</v>
      </c>
      <c r="H47" s="23">
        <f t="shared" si="17"/>
        <v>162857.17415894615</v>
      </c>
      <c r="I47" s="23">
        <f t="shared" si="17"/>
        <v>117365.82887604575</v>
      </c>
      <c r="J47" s="23">
        <f t="shared" si="17"/>
        <v>119740.41600277445</v>
      </c>
      <c r="K47" s="23">
        <f t="shared" si="17"/>
        <v>176367.17820971078</v>
      </c>
      <c r="L47" s="23">
        <f t="shared" si="17"/>
        <v>397905.76788480044</v>
      </c>
      <c r="M47" s="23">
        <f>($B$36*M16)*$C$31</f>
        <v>917139.22527905856</v>
      </c>
      <c r="N47" s="93">
        <f>SUM(B47:M47)</f>
        <v>4574902.6145045897</v>
      </c>
    </row>
    <row r="48" spans="1:23">
      <c r="A48" s="33" t="s">
        <v>91</v>
      </c>
      <c r="B48" s="23">
        <f>(B17*$C$35)*$B$31</f>
        <v>215365.60431741568</v>
      </c>
      <c r="C48" s="23">
        <f>(C17*$C$35)*$B$31</f>
        <v>179728.4647407872</v>
      </c>
      <c r="D48" s="23">
        <f>(D17*$C$35)*$B$31</f>
        <v>149484.48646428928</v>
      </c>
      <c r="E48" s="23">
        <v>154642</v>
      </c>
      <c r="F48" s="23">
        <v>161823</v>
      </c>
      <c r="G48" s="23">
        <f t="shared" ref="G48:L48" si="18">(G17*$C$36)*$B$31</f>
        <v>118023.72587564847</v>
      </c>
      <c r="H48" s="23">
        <f t="shared" si="18"/>
        <v>80224.434907467847</v>
      </c>
      <c r="I48" s="23">
        <f t="shared" si="18"/>
        <v>61661.038479292678</v>
      </c>
      <c r="J48" s="23">
        <f t="shared" si="18"/>
        <v>69722.318298758066</v>
      </c>
      <c r="K48" s="23">
        <f t="shared" si="18"/>
        <v>91089.720349606447</v>
      </c>
      <c r="L48" s="23">
        <f t="shared" si="18"/>
        <v>161501.36457546236</v>
      </c>
      <c r="M48" s="23">
        <f>(M17*$C$36)*$C$31</f>
        <v>328084.26246719202</v>
      </c>
      <c r="N48" s="93">
        <f t="shared" ref="N48:N51" si="19">SUM(B48:M48)</f>
        <v>1771350.42047592</v>
      </c>
    </row>
    <row r="49" spans="1:27">
      <c r="A49" s="33" t="s">
        <v>90</v>
      </c>
      <c r="B49" s="23">
        <f>(B18*$D$35)*$B$31</f>
        <v>16767.491187989879</v>
      </c>
      <c r="C49" s="23">
        <f>(C18*$D$35)*$B$31</f>
        <v>6143.3349616303603</v>
      </c>
      <c r="D49" s="23">
        <f>(D18*$D$35)*$B$31</f>
        <v>13631.504499656159</v>
      </c>
      <c r="E49" s="23">
        <v>15422</v>
      </c>
      <c r="F49" s="23">
        <v>21283</v>
      </c>
      <c r="G49" s="23">
        <f t="shared" ref="G49:L49" si="20">(G18*$D$36)*$B$31</f>
        <v>20050.41547956425</v>
      </c>
      <c r="H49" s="23">
        <f t="shared" si="20"/>
        <v>16999.916009587498</v>
      </c>
      <c r="I49" s="23">
        <f t="shared" si="20"/>
        <v>16648.687319825</v>
      </c>
      <c r="J49" s="23">
        <f t="shared" si="20"/>
        <v>16342.245880820752</v>
      </c>
      <c r="K49" s="23">
        <f t="shared" si="20"/>
        <v>18275.122237220749</v>
      </c>
      <c r="L49" s="23">
        <f t="shared" si="20"/>
        <v>19239.233804991749</v>
      </c>
      <c r="M49" s="23">
        <f>(M18*$D$36)*$C$31</f>
        <v>28151.697843538499</v>
      </c>
      <c r="N49" s="93">
        <f t="shared" si="19"/>
        <v>208954.64922482491</v>
      </c>
    </row>
    <row r="50" spans="1:27">
      <c r="A50" s="33" t="s">
        <v>89</v>
      </c>
      <c r="B50" s="23">
        <f>(B19*$E$35)*$B$31</f>
        <v>2325.5649473189901</v>
      </c>
      <c r="C50" s="23">
        <f>(C19*$E$35)*$B$31</f>
        <v>1824.7810788096601</v>
      </c>
      <c r="D50" s="23">
        <f>(D19*$E$35)*$B$31</f>
        <v>53206.062333634225</v>
      </c>
      <c r="E50" s="23">
        <v>-49947</v>
      </c>
      <c r="F50" s="23">
        <v>2403</v>
      </c>
      <c r="G50" s="23">
        <f t="shared" ref="G50:L50" si="21">(G19*$E$36)*$B$31</f>
        <v>1851.50029025402</v>
      </c>
      <c r="H50" s="23">
        <f t="shared" si="21"/>
        <v>1510.4138801145798</v>
      </c>
      <c r="I50" s="23">
        <f t="shared" si="21"/>
        <v>1117.6215344293998</v>
      </c>
      <c r="J50" s="23">
        <f t="shared" si="21"/>
        <v>955.26407412785989</v>
      </c>
      <c r="K50" s="23">
        <f t="shared" si="21"/>
        <v>1384.1312849471799</v>
      </c>
      <c r="L50" s="23">
        <f t="shared" si="21"/>
        <v>1818.4282360147399</v>
      </c>
      <c r="M50" s="23">
        <f>(M19*$E$36)*$C$31</f>
        <v>3205.6798530163401</v>
      </c>
      <c r="N50" s="93">
        <f t="shared" si="19"/>
        <v>21655.447512666997</v>
      </c>
    </row>
    <row r="51" spans="1:27">
      <c r="A51" s="34" t="s">
        <v>54</v>
      </c>
      <c r="B51" s="42">
        <f t="shared" ref="B51:M51" si="22">SUM(B47:B50)</f>
        <v>905757.43303149717</v>
      </c>
      <c r="C51" s="42">
        <f t="shared" si="22"/>
        <v>689732.92614215822</v>
      </c>
      <c r="D51" s="42">
        <f t="shared" si="22"/>
        <v>657732.897108012</v>
      </c>
      <c r="E51" s="42">
        <f t="shared" si="22"/>
        <v>547233</v>
      </c>
      <c r="F51" s="42">
        <f t="shared" si="22"/>
        <v>571193</v>
      </c>
      <c r="G51" s="42">
        <f t="shared" ref="G51" si="23">SUM(G47:G50)</f>
        <v>395906.70398858446</v>
      </c>
      <c r="H51" s="42">
        <f t="shared" si="22"/>
        <v>261591.93895611609</v>
      </c>
      <c r="I51" s="42">
        <f t="shared" si="22"/>
        <v>196793.17620959281</v>
      </c>
      <c r="J51" s="42">
        <f t="shared" si="22"/>
        <v>206760.24425648112</v>
      </c>
      <c r="K51" s="42">
        <f t="shared" si="22"/>
        <v>287116.15208148514</v>
      </c>
      <c r="L51" s="42">
        <f t="shared" si="22"/>
        <v>580464.79450126935</v>
      </c>
      <c r="M51" s="42">
        <f t="shared" si="22"/>
        <v>1276580.8654428055</v>
      </c>
      <c r="N51" s="94">
        <f t="shared" si="19"/>
        <v>6576863.1317180023</v>
      </c>
      <c r="O51" s="28"/>
      <c r="P51" s="28"/>
      <c r="Q51" s="28"/>
      <c r="R51" s="28"/>
      <c r="S51" s="28"/>
      <c r="T51" s="28"/>
      <c r="U51" s="28"/>
      <c r="V51" s="28"/>
      <c r="W51" s="28"/>
      <c r="X51" s="28"/>
      <c r="Y51" s="28"/>
      <c r="Z51" s="28"/>
      <c r="AA51" s="28"/>
    </row>
    <row r="52" spans="1:27">
      <c r="D52" s="3"/>
      <c r="E52" s="3"/>
      <c r="F52" s="3"/>
      <c r="G52" s="3"/>
      <c r="H52" s="3"/>
      <c r="I52" s="3"/>
      <c r="J52" s="3"/>
      <c r="K52" s="3"/>
      <c r="L52" s="3"/>
      <c r="M52" s="3"/>
      <c r="N52" s="75"/>
    </row>
    <row r="53" spans="1:27">
      <c r="A53" s="88" t="s">
        <v>33</v>
      </c>
      <c r="D53" s="3"/>
      <c r="E53" s="3"/>
      <c r="F53" s="3"/>
      <c r="G53" s="3"/>
      <c r="H53" s="3"/>
      <c r="I53" s="3"/>
      <c r="J53" s="3"/>
      <c r="K53" s="3"/>
      <c r="L53" s="3"/>
      <c r="M53" s="3"/>
      <c r="N53" s="75"/>
    </row>
    <row r="54" spans="1:27">
      <c r="A54" s="68" t="s">
        <v>88</v>
      </c>
      <c r="B54" s="23">
        <f t="shared" ref="B54:G54" si="24">B47-B39</f>
        <v>-53437.473781557754</v>
      </c>
      <c r="C54" s="23">
        <f t="shared" si="24"/>
        <v>-70218.415883576963</v>
      </c>
      <c r="D54" s="23">
        <f t="shared" si="24"/>
        <v>-36055.741246801743</v>
      </c>
      <c r="E54" s="23">
        <f t="shared" si="24"/>
        <v>-10832.487590407662</v>
      </c>
      <c r="F54" s="23">
        <f t="shared" si="24"/>
        <v>130434.8203808727</v>
      </c>
      <c r="G54" s="23">
        <f t="shared" si="24"/>
        <v>96774.159738579852</v>
      </c>
      <c r="H54" s="23">
        <f t="shared" ref="H54:I54" si="25">H47-H39</f>
        <v>63087.233076372155</v>
      </c>
      <c r="I54" s="23">
        <f t="shared" si="25"/>
        <v>-54798.377636362929</v>
      </c>
      <c r="J54" s="23">
        <f t="shared" ref="J54:L54" si="26">J47-J39</f>
        <v>29087.753510825554</v>
      </c>
      <c r="K54" s="23">
        <f t="shared" si="26"/>
        <v>-185035.11933381381</v>
      </c>
      <c r="L54" s="23">
        <f t="shared" si="26"/>
        <v>-237587.8635040879</v>
      </c>
      <c r="M54" s="23">
        <f t="shared" ref="M54" si="27">M47-M39</f>
        <v>-23527.123996027862</v>
      </c>
      <c r="N54" s="95">
        <f>SUM(B54:M54)</f>
        <v>-352108.63626598637</v>
      </c>
    </row>
    <row r="55" spans="1:27">
      <c r="A55" s="68" t="s">
        <v>91</v>
      </c>
      <c r="B55" s="23">
        <f t="shared" ref="B55:C57" si="28">B48-B40</f>
        <v>-27177.548588584265</v>
      </c>
      <c r="C55" s="23">
        <f t="shared" si="28"/>
        <v>-21999.245634114894</v>
      </c>
      <c r="D55" s="23">
        <f t="shared" ref="D55:F55" si="29">D48-D40</f>
        <v>-8526.3057370682072</v>
      </c>
      <c r="E55" s="23">
        <f t="shared" si="29"/>
        <v>7890.1083308228117</v>
      </c>
      <c r="F55" s="23">
        <f t="shared" si="29"/>
        <v>74774.368743779662</v>
      </c>
      <c r="G55" s="23">
        <f t="shared" ref="G55:H55" si="30">G48-G40</f>
        <v>65058.065456615892</v>
      </c>
      <c r="H55" s="23">
        <f t="shared" si="30"/>
        <v>-9097.5634970581887</v>
      </c>
      <c r="I55" s="23">
        <f t="shared" ref="I55:J55" si="31">I48-I40</f>
        <v>44687.306643060358</v>
      </c>
      <c r="J55" s="23">
        <f t="shared" si="31"/>
        <v>-86145.177004893805</v>
      </c>
      <c r="K55" s="23">
        <f t="shared" ref="K55:L55" si="32">K48-K40</f>
        <v>-101300.41681658852</v>
      </c>
      <c r="L55" s="23">
        <f t="shared" si="32"/>
        <v>-147329.52789603919</v>
      </c>
      <c r="M55" s="23">
        <f t="shared" ref="M55" si="33">M48-M40</f>
        <v>-35672.359836885647</v>
      </c>
      <c r="N55" s="95">
        <f t="shared" ref="N55:N57" si="34">SUM(B55:M55)</f>
        <v>-244838.295836954</v>
      </c>
    </row>
    <row r="56" spans="1:27">
      <c r="A56" s="68" t="s">
        <v>90</v>
      </c>
      <c r="B56" s="23">
        <f t="shared" si="28"/>
        <v>-5166.117245487585</v>
      </c>
      <c r="C56" s="23">
        <f t="shared" si="28"/>
        <v>-13891.985041672167</v>
      </c>
      <c r="D56" s="23">
        <f t="shared" ref="D56:F56" si="35">D49-D41</f>
        <v>-6499.5513518748521</v>
      </c>
      <c r="E56" s="23">
        <f t="shared" si="35"/>
        <v>-10863.655188692726</v>
      </c>
      <c r="F56" s="23">
        <f t="shared" si="35"/>
        <v>-438.28694645036012</v>
      </c>
      <c r="G56" s="23">
        <f t="shared" ref="G56:H56" si="36">G49-G41</f>
        <v>-9738.1156038468034</v>
      </c>
      <c r="H56" s="23">
        <f t="shared" si="36"/>
        <v>3414.6778225508478</v>
      </c>
      <c r="I56" s="23">
        <f t="shared" ref="I56:J56" si="37">I49-I41</f>
        <v>-2436.5933291796573</v>
      </c>
      <c r="J56" s="23">
        <f t="shared" si="37"/>
        <v>15339.204861899636</v>
      </c>
      <c r="K56" s="23">
        <f t="shared" ref="K56:L56" si="38">K49-K41</f>
        <v>254.69461870290252</v>
      </c>
      <c r="L56" s="23">
        <f t="shared" si="38"/>
        <v>-5740.6454600479301</v>
      </c>
      <c r="M56" s="23">
        <f t="shared" ref="M56" si="39">M49-M41</f>
        <v>-2164.0786989892949</v>
      </c>
      <c r="N56" s="95">
        <f t="shared" si="34"/>
        <v>-37930.451563087991</v>
      </c>
    </row>
    <row r="57" spans="1:27">
      <c r="A57" s="68" t="s">
        <v>89</v>
      </c>
      <c r="B57" s="23">
        <f t="shared" si="28"/>
        <v>-100.93924895457167</v>
      </c>
      <c r="C57" s="23">
        <f t="shared" si="28"/>
        <v>-306.54175004894046</v>
      </c>
      <c r="D57" s="23">
        <f t="shared" ref="D57:F57" si="40">D50-D42</f>
        <v>51114.641872032043</v>
      </c>
      <c r="E57" s="23">
        <f t="shared" si="40"/>
        <v>-52459.602051960101</v>
      </c>
      <c r="F57" s="23">
        <f t="shared" si="40"/>
        <v>377.26906330799193</v>
      </c>
      <c r="G57" s="23">
        <f t="shared" ref="G57:H57" si="41">G50-G42</f>
        <v>224.59448240150391</v>
      </c>
      <c r="H57" s="23">
        <f t="shared" si="41"/>
        <v>313.63927189201354</v>
      </c>
      <c r="I57" s="23">
        <f t="shared" ref="I57:J57" si="42">I50-I42</f>
        <v>266.56020257027967</v>
      </c>
      <c r="J57" s="23">
        <f t="shared" si="42"/>
        <v>-49.260589216624226</v>
      </c>
      <c r="K57" s="23">
        <f t="shared" ref="K57:L57" si="43">K50-K42</f>
        <v>192.92968096329764</v>
      </c>
      <c r="L57" s="23">
        <f t="shared" si="43"/>
        <v>43.482490063498517</v>
      </c>
      <c r="M57" s="23">
        <f t="shared" ref="M57" si="44">M50-M42</f>
        <v>919.66343647869553</v>
      </c>
      <c r="N57" s="64">
        <f t="shared" si="34"/>
        <v>536.43685952908561</v>
      </c>
    </row>
    <row r="58" spans="1:27">
      <c r="A58" s="83" t="s">
        <v>48</v>
      </c>
      <c r="B58" s="65">
        <f>SUM(B54:B57)</f>
        <v>-85882.078864584168</v>
      </c>
      <c r="C58" s="65">
        <f t="shared" ref="C58:N58" si="45">SUM(C54:C57)</f>
        <v>-106416.18830941296</v>
      </c>
      <c r="D58" s="65">
        <f t="shared" si="45"/>
        <v>33.043536287244933</v>
      </c>
      <c r="E58" s="65">
        <f t="shared" si="45"/>
        <v>-66265.636500237684</v>
      </c>
      <c r="F58" s="65">
        <f t="shared" si="45"/>
        <v>205148.17124150999</v>
      </c>
      <c r="G58" s="65">
        <f t="shared" si="45"/>
        <v>152318.70407375047</v>
      </c>
      <c r="H58" s="65">
        <f t="shared" si="45"/>
        <v>57717.986673756823</v>
      </c>
      <c r="I58" s="65">
        <f t="shared" si="45"/>
        <v>-12281.10411991195</v>
      </c>
      <c r="J58" s="65">
        <f t="shared" si="45"/>
        <v>-41767.479221385242</v>
      </c>
      <c r="K58" s="65">
        <f t="shared" si="45"/>
        <v>-285887.91185073613</v>
      </c>
      <c r="L58" s="65">
        <f t="shared" si="45"/>
        <v>-390614.55437011155</v>
      </c>
      <c r="M58" s="65">
        <f t="shared" si="45"/>
        <v>-60443.899095424109</v>
      </c>
      <c r="N58" s="65">
        <f t="shared" si="45"/>
        <v>-634340.94680649927</v>
      </c>
      <c r="O58" s="28"/>
      <c r="P58" s="28"/>
      <c r="Q58" s="28"/>
      <c r="R58" s="28"/>
      <c r="S58" s="28"/>
      <c r="T58" s="28"/>
      <c r="U58" s="28"/>
      <c r="V58" s="28"/>
      <c r="W58" s="28"/>
      <c r="X58" s="28"/>
      <c r="Y58" s="28"/>
      <c r="Z58" s="28"/>
      <c r="AA58" s="28"/>
    </row>
    <row r="59" spans="1:27">
      <c r="A59" s="5"/>
      <c r="D59" s="3"/>
      <c r="E59" s="3"/>
      <c r="F59" s="3"/>
      <c r="G59" s="3"/>
      <c r="H59" s="3"/>
      <c r="I59" s="3"/>
      <c r="J59" s="3"/>
      <c r="K59" s="3"/>
      <c r="L59" s="3"/>
      <c r="M59" s="3"/>
      <c r="N59" s="9"/>
    </row>
    <row r="60" spans="1:27" s="63" customFormat="1">
      <c r="A60" s="84" t="s">
        <v>26</v>
      </c>
    </row>
    <row r="61" spans="1:27" s="63" customFormat="1" ht="29.25" customHeight="1">
      <c r="A61" s="144" t="s">
        <v>102</v>
      </c>
      <c r="B61" s="144"/>
      <c r="C61" s="144"/>
      <c r="D61" s="144"/>
      <c r="E61" s="144"/>
      <c r="F61" s="144"/>
      <c r="G61" s="144"/>
      <c r="H61" s="144"/>
      <c r="I61" s="144"/>
      <c r="J61" s="144"/>
      <c r="K61" s="144"/>
      <c r="L61" s="144"/>
      <c r="M61" s="144"/>
      <c r="N61" s="144"/>
    </row>
    <row r="62" spans="1:27" s="63" customFormat="1" ht="30.75" customHeight="1">
      <c r="A62" s="144" t="s">
        <v>103</v>
      </c>
      <c r="B62" s="144"/>
      <c r="C62" s="144"/>
      <c r="D62" s="144"/>
      <c r="E62" s="144"/>
      <c r="F62" s="144"/>
      <c r="G62" s="144"/>
      <c r="H62" s="144"/>
      <c r="I62" s="144"/>
      <c r="J62" s="144"/>
      <c r="K62" s="144"/>
      <c r="L62" s="144"/>
      <c r="M62" s="144"/>
      <c r="N62" s="144"/>
    </row>
    <row r="63" spans="1:27" ht="20.25" customHeight="1">
      <c r="A63" s="144" t="s">
        <v>101</v>
      </c>
      <c r="B63" s="144"/>
      <c r="C63" s="144"/>
      <c r="D63" s="144"/>
      <c r="E63" s="144"/>
      <c r="F63" s="144"/>
      <c r="G63" s="144"/>
      <c r="H63" s="144"/>
      <c r="I63" s="144"/>
      <c r="J63" s="144"/>
      <c r="K63" s="144"/>
      <c r="L63" s="144"/>
      <c r="M63" s="144"/>
      <c r="N63" s="144"/>
    </row>
    <row r="64" spans="1:27">
      <c r="A64" s="144" t="s">
        <v>171</v>
      </c>
      <c r="B64" s="144"/>
      <c r="C64" s="144"/>
      <c r="D64" s="144"/>
      <c r="E64" s="144"/>
      <c r="F64" s="144"/>
      <c r="G64" s="144"/>
      <c r="H64" s="144"/>
      <c r="I64" s="144"/>
      <c r="J64" s="144"/>
      <c r="K64" s="144"/>
      <c r="L64" s="144"/>
      <c r="M64" s="144"/>
      <c r="N64" s="144"/>
    </row>
    <row r="65" spans="1:14">
      <c r="A65" s="144" t="s">
        <v>181</v>
      </c>
      <c r="B65" s="144"/>
      <c r="C65" s="144"/>
      <c r="D65" s="144"/>
      <c r="E65" s="144"/>
      <c r="F65" s="144"/>
      <c r="G65" s="144"/>
      <c r="H65" s="144"/>
      <c r="I65" s="144"/>
      <c r="J65" s="144"/>
      <c r="K65" s="144"/>
      <c r="L65" s="144"/>
      <c r="M65" s="144"/>
      <c r="N65" s="144"/>
    </row>
    <row r="66" spans="1:14">
      <c r="A66" s="144" t="s">
        <v>191</v>
      </c>
      <c r="B66" s="144"/>
      <c r="C66" s="144"/>
      <c r="D66" s="144"/>
      <c r="E66" s="144"/>
      <c r="F66" s="144"/>
      <c r="G66" s="144"/>
      <c r="H66" s="144"/>
      <c r="I66" s="144"/>
      <c r="J66" s="144"/>
      <c r="K66" s="144"/>
      <c r="L66" s="144"/>
      <c r="M66" s="144"/>
      <c r="N66" s="144"/>
    </row>
    <row r="67" spans="1:14">
      <c r="A67" s="144" t="s">
        <v>201</v>
      </c>
      <c r="B67" s="144"/>
      <c r="C67" s="144"/>
      <c r="D67" s="144"/>
      <c r="E67" s="144"/>
      <c r="F67" s="144"/>
      <c r="G67" s="144"/>
      <c r="H67" s="144"/>
      <c r="I67" s="144"/>
      <c r="J67" s="144"/>
      <c r="K67" s="144"/>
      <c r="L67" s="144"/>
      <c r="M67" s="144"/>
      <c r="N67" s="144"/>
    </row>
    <row r="68" spans="1:14">
      <c r="A68" s="144" t="s">
        <v>217</v>
      </c>
      <c r="B68" s="144"/>
      <c r="C68" s="144"/>
      <c r="D68" s="144"/>
      <c r="E68" s="144"/>
      <c r="F68" s="144"/>
      <c r="G68" s="144"/>
      <c r="H68" s="144"/>
      <c r="I68" s="144"/>
      <c r="J68" s="144"/>
      <c r="K68" s="144"/>
      <c r="L68" s="144"/>
      <c r="M68" s="144"/>
      <c r="N68" s="144"/>
    </row>
    <row r="69" spans="1:14" ht="29.25" customHeight="1">
      <c r="A69" s="144" t="s">
        <v>233</v>
      </c>
      <c r="B69" s="144"/>
      <c r="C69" s="144"/>
      <c r="D69" s="144"/>
      <c r="E69" s="144"/>
      <c r="F69" s="144"/>
      <c r="G69" s="144"/>
      <c r="H69" s="144"/>
      <c r="I69" s="144"/>
      <c r="J69" s="144"/>
      <c r="K69" s="144"/>
      <c r="L69" s="144"/>
      <c r="M69" s="144"/>
      <c r="N69" s="144"/>
    </row>
    <row r="70" spans="1:14">
      <c r="A70" s="150" t="s">
        <v>252</v>
      </c>
      <c r="B70" s="150"/>
      <c r="C70" s="150"/>
      <c r="D70" s="150"/>
      <c r="E70" s="150"/>
      <c r="F70" s="150"/>
      <c r="G70" s="150"/>
      <c r="H70" s="150"/>
      <c r="I70" s="150"/>
      <c r="J70" s="150"/>
      <c r="K70" s="150"/>
      <c r="L70" s="150"/>
      <c r="M70" s="150"/>
      <c r="N70" s="150"/>
    </row>
    <row r="71" spans="1:14" ht="15" customHeight="1">
      <c r="A71" s="144" t="s">
        <v>264</v>
      </c>
      <c r="B71" s="144"/>
      <c r="C71" s="144"/>
      <c r="D71" s="144"/>
      <c r="E71" s="144"/>
      <c r="F71" s="144"/>
      <c r="G71" s="144"/>
      <c r="H71" s="144"/>
      <c r="I71" s="144"/>
      <c r="J71" s="144"/>
      <c r="K71" s="144"/>
      <c r="L71" s="144"/>
      <c r="M71" s="144"/>
      <c r="N71" s="144"/>
    </row>
    <row r="72" spans="1:14">
      <c r="A72" s="5"/>
      <c r="D72" s="3"/>
      <c r="E72" s="3"/>
      <c r="F72" s="3"/>
      <c r="G72" s="3"/>
      <c r="H72" s="3"/>
      <c r="I72" s="3"/>
      <c r="J72" s="3"/>
      <c r="K72" s="3"/>
      <c r="L72" s="3"/>
      <c r="M72" s="3"/>
      <c r="N72" s="9"/>
    </row>
    <row r="73" spans="1:14">
      <c r="A73" s="5"/>
      <c r="D73" s="3"/>
      <c r="E73" s="3"/>
      <c r="F73" s="3"/>
      <c r="G73" s="3"/>
      <c r="H73" s="3"/>
      <c r="I73" s="3"/>
      <c r="J73" s="3"/>
      <c r="K73" s="3"/>
      <c r="L73" s="3"/>
      <c r="M73" s="3"/>
      <c r="N73" s="9"/>
    </row>
    <row r="74" spans="1:14">
      <c r="A74" s="5"/>
      <c r="D74" s="3"/>
      <c r="E74" s="3"/>
      <c r="F74" s="3"/>
      <c r="G74" s="3"/>
      <c r="H74" s="3"/>
      <c r="I74" s="3"/>
      <c r="J74" s="3"/>
      <c r="K74" s="3"/>
      <c r="L74" s="3"/>
      <c r="M74" s="3"/>
      <c r="N74" s="9"/>
    </row>
    <row r="75" spans="1:14">
      <c r="A75" s="5"/>
      <c r="D75" s="3"/>
      <c r="E75" s="3"/>
      <c r="F75" s="3"/>
      <c r="G75" s="3"/>
      <c r="H75" s="3"/>
      <c r="I75" s="3"/>
      <c r="J75" s="3"/>
      <c r="K75" s="3"/>
      <c r="L75" s="3"/>
      <c r="M75" s="3"/>
      <c r="N75" s="9"/>
    </row>
    <row r="76" spans="1:14">
      <c r="A76" s="5"/>
      <c r="D76" s="3"/>
      <c r="E76" s="3"/>
      <c r="F76" s="3"/>
      <c r="G76" s="3"/>
      <c r="H76" s="3"/>
      <c r="I76" s="3"/>
      <c r="J76" s="3"/>
      <c r="K76" s="3"/>
      <c r="L76" s="3"/>
      <c r="M76" s="3"/>
      <c r="N76" s="9"/>
    </row>
    <row r="77" spans="1:14">
      <c r="A77" s="5"/>
      <c r="D77" s="3"/>
      <c r="E77" s="3"/>
      <c r="F77" s="3"/>
      <c r="G77" s="3"/>
      <c r="H77" s="3"/>
      <c r="I77" s="3"/>
      <c r="J77" s="3"/>
      <c r="K77" s="3"/>
      <c r="L77" s="3"/>
      <c r="M77" s="3"/>
      <c r="N77" s="9"/>
    </row>
    <row r="78" spans="1:14">
      <c r="A78" s="5"/>
      <c r="D78" s="3"/>
      <c r="E78" s="3"/>
      <c r="F78" s="3"/>
      <c r="G78" s="3"/>
      <c r="H78" s="3"/>
      <c r="I78" s="3"/>
      <c r="J78" s="3"/>
      <c r="K78" s="3"/>
      <c r="L78" s="3"/>
      <c r="M78" s="3"/>
      <c r="N78" s="9"/>
    </row>
    <row r="79" spans="1:14">
      <c r="A79" s="5"/>
      <c r="D79" s="3"/>
      <c r="E79" s="3"/>
      <c r="F79" s="3"/>
      <c r="G79" s="3"/>
      <c r="H79" s="3"/>
      <c r="I79" s="3"/>
      <c r="J79" s="3"/>
      <c r="K79" s="3"/>
      <c r="L79" s="3"/>
      <c r="M79" s="3"/>
      <c r="N79" s="9"/>
    </row>
    <row r="80" spans="1:14">
      <c r="A80" s="5"/>
      <c r="D80" s="3"/>
      <c r="E80" s="3"/>
      <c r="F80" s="3"/>
      <c r="G80" s="3"/>
      <c r="H80" s="3"/>
      <c r="I80" s="3"/>
      <c r="J80" s="3"/>
      <c r="K80" s="3"/>
      <c r="L80" s="3"/>
      <c r="M80" s="3"/>
      <c r="N80" s="9"/>
    </row>
    <row r="81" spans="1:14">
      <c r="A81" s="5"/>
      <c r="D81" s="3"/>
      <c r="E81" s="3"/>
      <c r="F81" s="3"/>
      <c r="G81" s="3"/>
      <c r="H81" s="3"/>
      <c r="I81" s="3"/>
      <c r="J81" s="3"/>
      <c r="K81" s="3"/>
      <c r="L81" s="3"/>
      <c r="M81" s="3"/>
      <c r="N81" s="9"/>
    </row>
    <row r="82" spans="1:14">
      <c r="A82" s="5"/>
      <c r="D82" s="3"/>
      <c r="E82" s="3"/>
      <c r="F82" s="3"/>
      <c r="G82" s="3"/>
      <c r="H82" s="3"/>
      <c r="I82" s="3"/>
      <c r="J82" s="3"/>
      <c r="K82" s="3"/>
      <c r="L82" s="3"/>
      <c r="M82" s="3"/>
      <c r="N82" s="9"/>
    </row>
    <row r="83" spans="1:14">
      <c r="A83" s="5"/>
      <c r="D83" s="3"/>
      <c r="E83" s="3"/>
      <c r="F83" s="3"/>
      <c r="G83" s="3"/>
      <c r="H83" s="3"/>
      <c r="I83" s="3"/>
      <c r="J83" s="3"/>
      <c r="K83" s="3"/>
      <c r="L83" s="3"/>
      <c r="M83" s="3"/>
      <c r="N83" s="9"/>
    </row>
    <row r="84" spans="1:14">
      <c r="A84" s="5"/>
      <c r="D84" s="3"/>
      <c r="E84" s="3"/>
      <c r="F84" s="3"/>
      <c r="G84" s="3"/>
      <c r="H84" s="3"/>
      <c r="I84" s="3"/>
      <c r="J84" s="3"/>
      <c r="K84" s="3"/>
      <c r="L84" s="3"/>
      <c r="M84" s="3"/>
      <c r="N84" s="9"/>
    </row>
    <row r="85" spans="1:14">
      <c r="A85" s="5"/>
      <c r="D85" s="3"/>
      <c r="E85" s="3"/>
      <c r="F85" s="3"/>
      <c r="G85" s="3"/>
      <c r="H85" s="3"/>
      <c r="I85" s="3"/>
      <c r="J85" s="3"/>
      <c r="K85" s="3"/>
      <c r="L85" s="3"/>
      <c r="M85" s="3"/>
      <c r="N85" s="9"/>
    </row>
    <row r="86" spans="1:14">
      <c r="A86" s="5"/>
      <c r="D86" s="3"/>
      <c r="E86" s="3"/>
      <c r="F86" s="3"/>
      <c r="G86" s="3"/>
      <c r="H86" s="3"/>
      <c r="I86" s="3"/>
      <c r="J86" s="3"/>
      <c r="K86" s="3"/>
      <c r="L86" s="3"/>
      <c r="M86" s="3"/>
      <c r="N86" s="9"/>
    </row>
    <row r="87" spans="1:14">
      <c r="A87" s="5"/>
      <c r="D87" s="3"/>
      <c r="E87" s="3"/>
      <c r="F87" s="3"/>
      <c r="G87" s="3"/>
      <c r="H87" s="3"/>
      <c r="I87" s="3"/>
      <c r="J87" s="3"/>
      <c r="K87" s="3"/>
      <c r="L87" s="3"/>
      <c r="M87" s="3"/>
      <c r="N87" s="9"/>
    </row>
    <row r="88" spans="1:14">
      <c r="A88" s="5"/>
      <c r="D88" s="3"/>
      <c r="E88" s="3"/>
      <c r="F88" s="3"/>
      <c r="G88" s="3"/>
      <c r="H88" s="3"/>
      <c r="I88" s="3"/>
      <c r="J88" s="3"/>
      <c r="K88" s="3"/>
      <c r="L88" s="3"/>
      <c r="M88" s="3"/>
      <c r="N88" s="9"/>
    </row>
    <row r="89" spans="1:14">
      <c r="A89" s="5"/>
      <c r="D89" s="3"/>
      <c r="E89" s="3"/>
      <c r="F89" s="3"/>
      <c r="G89" s="3"/>
      <c r="H89" s="3"/>
      <c r="I89" s="3"/>
      <c r="J89" s="3"/>
      <c r="K89" s="3"/>
      <c r="L89" s="3"/>
      <c r="M89" s="3"/>
      <c r="N89" s="9"/>
    </row>
    <row r="90" spans="1:14">
      <c r="A90" s="5"/>
      <c r="D90" s="3"/>
      <c r="E90" s="3"/>
      <c r="F90" s="3"/>
      <c r="G90" s="3"/>
      <c r="H90" s="3"/>
      <c r="I90" s="3"/>
      <c r="J90" s="3"/>
      <c r="K90" s="3"/>
      <c r="L90" s="3"/>
      <c r="M90" s="3"/>
      <c r="N90" s="9"/>
    </row>
    <row r="91" spans="1:14">
      <c r="A91" s="5"/>
      <c r="D91" s="3"/>
      <c r="E91" s="3"/>
      <c r="F91" s="3"/>
      <c r="G91" s="3"/>
      <c r="H91" s="3"/>
      <c r="I91" s="3"/>
      <c r="J91" s="3"/>
      <c r="K91" s="3"/>
      <c r="L91" s="3"/>
      <c r="M91" s="3"/>
      <c r="N91" s="9"/>
    </row>
    <row r="92" spans="1:14">
      <c r="A92" s="5"/>
      <c r="D92" s="3"/>
      <c r="E92" s="3"/>
      <c r="F92" s="3"/>
      <c r="G92" s="3"/>
      <c r="H92" s="3"/>
      <c r="I92" s="3"/>
      <c r="J92" s="3"/>
      <c r="K92" s="3"/>
      <c r="L92" s="3"/>
      <c r="M92" s="3"/>
      <c r="N92" s="9"/>
    </row>
    <row r="93" spans="1:14">
      <c r="A93" s="5"/>
      <c r="D93" s="3"/>
      <c r="E93" s="3"/>
      <c r="F93" s="3"/>
      <c r="G93" s="3"/>
      <c r="H93" s="3"/>
      <c r="I93" s="3"/>
      <c r="J93" s="3"/>
      <c r="K93" s="3"/>
      <c r="L93" s="3"/>
      <c r="M93" s="3"/>
      <c r="N93" s="9"/>
    </row>
    <row r="94" spans="1:14">
      <c r="A94" s="5"/>
      <c r="D94" s="3"/>
      <c r="E94" s="3"/>
      <c r="F94" s="3"/>
      <c r="G94" s="3"/>
      <c r="H94" s="3"/>
      <c r="I94" s="3"/>
      <c r="J94" s="3"/>
      <c r="K94" s="3"/>
      <c r="L94" s="3"/>
      <c r="M94" s="3"/>
      <c r="N94" s="9"/>
    </row>
    <row r="95" spans="1:14">
      <c r="A95" s="5"/>
      <c r="D95" s="3"/>
      <c r="E95" s="3"/>
      <c r="F95" s="3"/>
      <c r="G95" s="3"/>
      <c r="H95" s="3"/>
      <c r="I95" s="3"/>
      <c r="J95" s="3"/>
      <c r="K95" s="3"/>
      <c r="L95" s="3"/>
      <c r="M95" s="3"/>
      <c r="N95" s="9"/>
    </row>
    <row r="96" spans="1:14">
      <c r="A96" s="5"/>
      <c r="D96" s="3"/>
      <c r="E96" s="3"/>
      <c r="F96" s="3"/>
      <c r="G96" s="3"/>
      <c r="H96" s="3"/>
      <c r="I96" s="3"/>
      <c r="J96" s="3"/>
      <c r="K96" s="3"/>
      <c r="L96" s="3"/>
      <c r="M96" s="3"/>
      <c r="N96" s="9"/>
    </row>
    <row r="97" spans="1:14">
      <c r="A97" s="5"/>
      <c r="D97" s="3"/>
      <c r="E97" s="3"/>
      <c r="F97" s="3"/>
      <c r="G97" s="3"/>
      <c r="H97" s="3"/>
      <c r="I97" s="3"/>
      <c r="J97" s="3"/>
      <c r="K97" s="3"/>
      <c r="L97" s="3"/>
      <c r="M97" s="3"/>
      <c r="N97" s="9"/>
    </row>
    <row r="98" spans="1:14">
      <c r="A98" s="5"/>
      <c r="D98" s="3"/>
      <c r="E98" s="3"/>
      <c r="F98" s="3"/>
      <c r="G98" s="3"/>
      <c r="H98" s="3"/>
      <c r="I98" s="3"/>
      <c r="J98" s="3"/>
      <c r="K98" s="3"/>
      <c r="L98" s="3"/>
      <c r="M98" s="3"/>
      <c r="N98" s="9"/>
    </row>
    <row r="99" spans="1:14">
      <c r="A99" s="5"/>
      <c r="D99" s="3"/>
      <c r="E99" s="3"/>
      <c r="F99" s="3"/>
      <c r="G99" s="3"/>
      <c r="H99" s="3"/>
      <c r="I99" s="3"/>
      <c r="J99" s="3"/>
      <c r="K99" s="3"/>
      <c r="L99" s="3"/>
      <c r="M99" s="3"/>
      <c r="N99" s="9"/>
    </row>
    <row r="100" spans="1:14">
      <c r="A100" s="5"/>
      <c r="D100" s="3"/>
      <c r="E100" s="3"/>
      <c r="F100" s="3"/>
      <c r="G100" s="3"/>
      <c r="H100" s="3"/>
      <c r="I100" s="3"/>
      <c r="J100" s="3"/>
      <c r="K100" s="3"/>
      <c r="L100" s="3"/>
      <c r="M100" s="3"/>
      <c r="N100" s="9"/>
    </row>
    <row r="101" spans="1:14">
      <c r="A101" s="5"/>
      <c r="D101" s="3"/>
      <c r="E101" s="3"/>
      <c r="F101" s="3"/>
      <c r="G101" s="3"/>
      <c r="H101" s="3"/>
      <c r="I101" s="3"/>
      <c r="J101" s="3"/>
      <c r="K101" s="3"/>
      <c r="L101" s="3"/>
      <c r="M101" s="3"/>
      <c r="N101" s="9"/>
    </row>
    <row r="102" spans="1:14">
      <c r="A102" s="5"/>
      <c r="D102" s="3"/>
      <c r="E102" s="3"/>
      <c r="F102" s="3"/>
      <c r="G102" s="3"/>
      <c r="H102" s="3"/>
      <c r="I102" s="3"/>
      <c r="J102" s="3"/>
      <c r="K102" s="3"/>
      <c r="L102" s="3"/>
      <c r="M102" s="3"/>
      <c r="N102" s="9"/>
    </row>
    <row r="103" spans="1:14">
      <c r="A103" s="5"/>
      <c r="D103" s="3"/>
      <c r="E103" s="3"/>
      <c r="F103" s="3"/>
      <c r="G103" s="3"/>
      <c r="H103" s="3"/>
      <c r="I103" s="3"/>
      <c r="J103" s="3"/>
      <c r="K103" s="3"/>
      <c r="L103" s="3"/>
      <c r="M103" s="3"/>
      <c r="N103" s="9"/>
    </row>
    <row r="104" spans="1:14">
      <c r="A104" s="5"/>
      <c r="D104" s="3"/>
      <c r="E104" s="3"/>
      <c r="F104" s="3"/>
      <c r="G104" s="3"/>
      <c r="H104" s="3"/>
      <c r="I104" s="3"/>
      <c r="J104" s="3"/>
      <c r="K104" s="3"/>
      <c r="L104" s="3"/>
      <c r="M104" s="3"/>
      <c r="N104" s="9"/>
    </row>
    <row r="105" spans="1:14">
      <c r="A105" s="5"/>
      <c r="D105" s="3"/>
      <c r="E105" s="3"/>
      <c r="F105" s="3"/>
      <c r="G105" s="3"/>
      <c r="H105" s="3"/>
      <c r="I105" s="3"/>
      <c r="J105" s="3"/>
      <c r="K105" s="3"/>
      <c r="L105" s="3"/>
      <c r="M105" s="3"/>
      <c r="N105" s="9"/>
    </row>
    <row r="106" spans="1:14">
      <c r="A106" s="5"/>
      <c r="D106" s="3"/>
      <c r="E106" s="3"/>
      <c r="F106" s="3"/>
      <c r="G106" s="3"/>
      <c r="H106" s="3"/>
      <c r="I106" s="3"/>
      <c r="J106" s="3"/>
      <c r="K106" s="3"/>
      <c r="L106" s="3"/>
      <c r="M106" s="3"/>
      <c r="N106" s="9"/>
    </row>
    <row r="107" spans="1:14">
      <c r="A107" s="5"/>
      <c r="D107" s="3"/>
      <c r="E107" s="3"/>
      <c r="F107" s="3"/>
      <c r="G107" s="3"/>
      <c r="H107" s="3"/>
      <c r="I107" s="3"/>
      <c r="J107" s="3"/>
      <c r="K107" s="3"/>
      <c r="L107" s="3"/>
      <c r="M107" s="3"/>
      <c r="N107" s="9"/>
    </row>
    <row r="108" spans="1:14">
      <c r="A108" s="5"/>
      <c r="D108" s="3"/>
      <c r="E108" s="3"/>
      <c r="F108" s="3"/>
      <c r="G108" s="3"/>
      <c r="H108" s="3"/>
      <c r="I108" s="3"/>
      <c r="J108" s="3"/>
      <c r="K108" s="3"/>
      <c r="L108" s="3"/>
      <c r="M108" s="3"/>
      <c r="N108" s="9"/>
    </row>
    <row r="109" spans="1:14">
      <c r="A109" s="5"/>
      <c r="D109" s="3"/>
      <c r="E109" s="3"/>
      <c r="F109" s="3"/>
      <c r="G109" s="3"/>
      <c r="H109" s="3"/>
      <c r="I109" s="3"/>
      <c r="J109" s="3"/>
      <c r="K109" s="3"/>
      <c r="L109" s="3"/>
      <c r="M109" s="3"/>
      <c r="N109" s="9"/>
    </row>
    <row r="110" spans="1:14">
      <c r="A110" s="5"/>
      <c r="D110" s="3"/>
      <c r="E110" s="3"/>
      <c r="F110" s="3"/>
      <c r="G110" s="3"/>
      <c r="H110" s="3"/>
      <c r="I110" s="3"/>
      <c r="J110" s="3"/>
      <c r="K110" s="3"/>
      <c r="L110" s="3"/>
      <c r="M110" s="3"/>
      <c r="N110" s="9"/>
    </row>
    <row r="111" spans="1:14">
      <c r="A111" s="5"/>
      <c r="D111" s="3"/>
      <c r="E111" s="3"/>
      <c r="F111" s="3"/>
      <c r="G111" s="3"/>
      <c r="H111" s="3"/>
      <c r="I111" s="3"/>
      <c r="J111" s="3"/>
      <c r="K111" s="3"/>
      <c r="L111" s="3"/>
      <c r="M111" s="3"/>
      <c r="N111" s="9"/>
    </row>
    <row r="112" spans="1:14">
      <c r="A112" s="5"/>
      <c r="D112" s="3"/>
      <c r="E112" s="3"/>
      <c r="F112" s="3"/>
      <c r="G112" s="3"/>
      <c r="H112" s="3"/>
      <c r="I112" s="3"/>
      <c r="J112" s="3"/>
      <c r="K112" s="3"/>
      <c r="L112" s="3"/>
      <c r="M112" s="3"/>
      <c r="N112" s="9"/>
    </row>
    <row r="113" spans="1:14">
      <c r="A113" s="5"/>
      <c r="D113" s="3"/>
      <c r="E113" s="3"/>
      <c r="F113" s="3"/>
      <c r="G113" s="3"/>
      <c r="H113" s="3"/>
      <c r="I113" s="3"/>
      <c r="J113" s="3"/>
      <c r="K113" s="3"/>
      <c r="L113" s="3"/>
      <c r="M113" s="3"/>
      <c r="N113" s="9"/>
    </row>
    <row r="114" spans="1:14">
      <c r="A114" s="5"/>
      <c r="D114" s="3"/>
      <c r="E114" s="3"/>
      <c r="F114" s="3"/>
      <c r="G114" s="3"/>
      <c r="H114" s="3"/>
      <c r="I114" s="3"/>
      <c r="J114" s="3"/>
      <c r="K114" s="3"/>
      <c r="L114" s="3"/>
      <c r="M114" s="3"/>
      <c r="N114" s="9"/>
    </row>
    <row r="115" spans="1:14">
      <c r="A115" s="5"/>
      <c r="D115" s="3"/>
      <c r="E115" s="3"/>
      <c r="F115" s="3"/>
      <c r="G115" s="3"/>
      <c r="H115" s="3"/>
      <c r="I115" s="3"/>
      <c r="J115" s="3"/>
      <c r="K115" s="3"/>
      <c r="L115" s="3"/>
      <c r="M115" s="3"/>
      <c r="N115" s="9"/>
    </row>
    <row r="116" spans="1:14">
      <c r="A116" s="5"/>
      <c r="D116" s="3"/>
      <c r="E116" s="3"/>
      <c r="F116" s="3"/>
      <c r="G116" s="3"/>
      <c r="H116" s="3"/>
      <c r="I116" s="3"/>
      <c r="J116" s="3"/>
      <c r="K116" s="3"/>
      <c r="L116" s="3"/>
      <c r="M116" s="3"/>
      <c r="N116" s="9"/>
    </row>
    <row r="117" spans="1:14">
      <c r="A117" s="5"/>
      <c r="D117" s="3"/>
      <c r="E117" s="3"/>
      <c r="F117" s="3"/>
      <c r="G117" s="3"/>
      <c r="H117" s="3"/>
      <c r="I117" s="3"/>
      <c r="J117" s="3"/>
      <c r="K117" s="3"/>
      <c r="L117" s="3"/>
      <c r="M117" s="3"/>
      <c r="N117" s="9"/>
    </row>
    <row r="118" spans="1:14">
      <c r="A118" s="5"/>
      <c r="D118" s="3"/>
      <c r="E118" s="3"/>
      <c r="F118" s="3"/>
      <c r="G118" s="3"/>
      <c r="H118" s="3"/>
      <c r="I118" s="3"/>
      <c r="J118" s="3"/>
      <c r="K118" s="3"/>
      <c r="L118" s="3"/>
      <c r="M118" s="3"/>
      <c r="N118" s="9"/>
    </row>
    <row r="119" spans="1:14">
      <c r="A119" s="5"/>
      <c r="D119" s="3"/>
      <c r="E119" s="3"/>
      <c r="F119" s="3"/>
      <c r="G119" s="3"/>
      <c r="H119" s="3"/>
      <c r="I119" s="3"/>
      <c r="J119" s="3"/>
      <c r="K119" s="3"/>
      <c r="L119" s="3"/>
      <c r="M119" s="3"/>
      <c r="N119" s="9"/>
    </row>
    <row r="120" spans="1:14">
      <c r="A120" s="5"/>
      <c r="D120" s="3"/>
      <c r="E120" s="3"/>
      <c r="F120" s="3"/>
      <c r="G120" s="3"/>
      <c r="H120" s="3"/>
      <c r="I120" s="3"/>
      <c r="J120" s="3"/>
      <c r="K120" s="3"/>
      <c r="L120" s="3"/>
      <c r="M120" s="3"/>
      <c r="N120" s="9"/>
    </row>
    <row r="121" spans="1:14">
      <c r="A121" s="5"/>
      <c r="D121" s="3"/>
      <c r="E121" s="3"/>
      <c r="F121" s="3"/>
      <c r="G121" s="3"/>
      <c r="H121" s="3"/>
      <c r="I121" s="3"/>
      <c r="J121" s="3"/>
      <c r="K121" s="3"/>
      <c r="L121" s="3"/>
      <c r="M121" s="3"/>
      <c r="N121" s="9"/>
    </row>
    <row r="122" spans="1:14">
      <c r="A122" s="5"/>
      <c r="D122" s="3"/>
      <c r="E122" s="3"/>
      <c r="F122" s="3"/>
      <c r="G122" s="3"/>
      <c r="H122" s="3"/>
      <c r="I122" s="3"/>
      <c r="J122" s="3"/>
      <c r="K122" s="3"/>
      <c r="L122" s="3"/>
      <c r="M122" s="3"/>
      <c r="N122" s="9"/>
    </row>
    <row r="123" spans="1:14">
      <c r="A123" s="5"/>
      <c r="D123" s="3"/>
      <c r="E123" s="3"/>
      <c r="F123" s="3"/>
      <c r="G123" s="3"/>
      <c r="H123" s="3"/>
      <c r="I123" s="3"/>
      <c r="J123" s="3"/>
      <c r="K123" s="3"/>
      <c r="L123" s="3"/>
      <c r="M123" s="3"/>
      <c r="N123" s="9"/>
    </row>
    <row r="124" spans="1:14">
      <c r="A124" s="5"/>
      <c r="D124" s="3"/>
      <c r="E124" s="3"/>
      <c r="F124" s="3"/>
      <c r="G124" s="3"/>
      <c r="H124" s="3"/>
      <c r="I124" s="3"/>
      <c r="J124" s="3"/>
      <c r="K124" s="3"/>
      <c r="L124" s="3"/>
      <c r="M124" s="3"/>
      <c r="N124" s="9"/>
    </row>
    <row r="125" spans="1:14">
      <c r="A125" s="5"/>
      <c r="D125" s="3"/>
      <c r="E125" s="3"/>
      <c r="F125" s="3"/>
      <c r="G125" s="3"/>
      <c r="H125" s="3"/>
      <c r="I125" s="3"/>
      <c r="J125" s="3"/>
      <c r="K125" s="3"/>
      <c r="L125" s="3"/>
      <c r="M125" s="3"/>
      <c r="N125" s="9"/>
    </row>
    <row r="126" spans="1:14">
      <c r="A126" s="5"/>
      <c r="D126" s="3"/>
      <c r="E126" s="3"/>
      <c r="F126" s="3"/>
      <c r="G126" s="3"/>
      <c r="H126" s="3"/>
      <c r="I126" s="3"/>
      <c r="J126" s="3"/>
      <c r="K126" s="3"/>
      <c r="L126" s="3"/>
      <c r="M126" s="3"/>
      <c r="N126" s="9"/>
    </row>
    <row r="127" spans="1:14">
      <c r="A127" s="5"/>
      <c r="D127" s="3"/>
      <c r="E127" s="3"/>
      <c r="F127" s="3"/>
      <c r="G127" s="3"/>
      <c r="H127" s="3"/>
      <c r="I127" s="3"/>
      <c r="J127" s="3"/>
      <c r="K127" s="3"/>
      <c r="L127" s="3"/>
      <c r="M127" s="3"/>
      <c r="N127" s="9"/>
    </row>
    <row r="128" spans="1:14">
      <c r="A128" s="5"/>
      <c r="D128" s="3"/>
      <c r="E128" s="3"/>
      <c r="F128" s="3"/>
      <c r="G128" s="3"/>
      <c r="H128" s="3"/>
      <c r="I128" s="3"/>
      <c r="J128" s="3"/>
      <c r="K128" s="3"/>
      <c r="L128" s="3"/>
      <c r="M128" s="3"/>
      <c r="N128" s="9"/>
    </row>
    <row r="129" spans="1:14">
      <c r="A129" s="5"/>
      <c r="D129" s="3"/>
      <c r="E129" s="3"/>
      <c r="F129" s="3"/>
      <c r="G129" s="3"/>
      <c r="H129" s="3"/>
      <c r="I129" s="3"/>
      <c r="J129" s="3"/>
      <c r="K129" s="3"/>
      <c r="L129" s="3"/>
      <c r="M129" s="3"/>
      <c r="N129" s="9"/>
    </row>
    <row r="130" spans="1:14">
      <c r="A130" s="5"/>
      <c r="D130" s="3"/>
      <c r="E130" s="3"/>
      <c r="F130" s="3"/>
      <c r="G130" s="3"/>
      <c r="H130" s="3"/>
      <c r="I130" s="3"/>
      <c r="J130" s="3"/>
      <c r="K130" s="3"/>
      <c r="L130" s="3"/>
      <c r="M130" s="3"/>
      <c r="N130" s="9"/>
    </row>
    <row r="131" spans="1:14">
      <c r="A131" s="5"/>
      <c r="D131" s="3"/>
      <c r="E131" s="3"/>
      <c r="F131" s="3"/>
      <c r="G131" s="3"/>
      <c r="H131" s="3"/>
      <c r="I131" s="3"/>
      <c r="J131" s="3"/>
      <c r="K131" s="3"/>
      <c r="L131" s="3"/>
      <c r="M131" s="3"/>
      <c r="N131" s="9"/>
    </row>
    <row r="132" spans="1:14">
      <c r="A132" s="5"/>
      <c r="D132" s="3"/>
      <c r="E132" s="3"/>
      <c r="F132" s="3"/>
      <c r="G132" s="3"/>
      <c r="H132" s="3"/>
      <c r="I132" s="3"/>
      <c r="J132" s="3"/>
      <c r="K132" s="3"/>
      <c r="L132" s="3"/>
      <c r="M132" s="3"/>
      <c r="N132" s="9"/>
    </row>
    <row r="133" spans="1:14">
      <c r="A133" s="5"/>
      <c r="D133" s="3"/>
      <c r="E133" s="3"/>
      <c r="F133" s="3"/>
      <c r="G133" s="3"/>
      <c r="H133" s="3"/>
      <c r="I133" s="3"/>
      <c r="J133" s="3"/>
      <c r="K133" s="3"/>
      <c r="L133" s="3"/>
      <c r="M133" s="3"/>
      <c r="N133" s="9"/>
    </row>
    <row r="134" spans="1:14">
      <c r="A134" s="5"/>
      <c r="D134" s="3"/>
      <c r="E134" s="3"/>
      <c r="F134" s="3"/>
      <c r="G134" s="3"/>
      <c r="H134" s="3"/>
      <c r="I134" s="3"/>
      <c r="J134" s="3"/>
      <c r="K134" s="3"/>
      <c r="L134" s="3"/>
      <c r="M134" s="3"/>
      <c r="N134" s="9"/>
    </row>
    <row r="135" spans="1:14">
      <c r="A135" s="5"/>
      <c r="D135" s="3"/>
      <c r="E135" s="3"/>
      <c r="F135" s="3"/>
      <c r="G135" s="3"/>
      <c r="H135" s="3"/>
      <c r="I135" s="3"/>
      <c r="J135" s="3"/>
      <c r="K135" s="3"/>
      <c r="L135" s="3"/>
      <c r="M135" s="3"/>
      <c r="N135" s="9"/>
    </row>
    <row r="136" spans="1:14">
      <c r="A136" s="5"/>
      <c r="D136" s="3"/>
      <c r="E136" s="3"/>
      <c r="F136" s="3"/>
      <c r="G136" s="3"/>
      <c r="H136" s="3"/>
      <c r="I136" s="3"/>
      <c r="J136" s="3"/>
      <c r="K136" s="3"/>
      <c r="L136" s="3"/>
      <c r="M136" s="3"/>
      <c r="N136" s="9"/>
    </row>
    <row r="137" spans="1:14">
      <c r="A137" s="5"/>
      <c r="D137" s="3"/>
      <c r="E137" s="3"/>
      <c r="F137" s="3"/>
      <c r="G137" s="3"/>
      <c r="H137" s="3"/>
      <c r="I137" s="3"/>
      <c r="J137" s="3"/>
      <c r="K137" s="3"/>
      <c r="L137" s="3"/>
      <c r="M137" s="3"/>
      <c r="N137" s="9"/>
    </row>
    <row r="138" spans="1:14">
      <c r="A138" s="5"/>
      <c r="D138" s="3"/>
      <c r="E138" s="3"/>
      <c r="F138" s="3"/>
      <c r="G138" s="3"/>
      <c r="H138" s="3"/>
      <c r="I138" s="3"/>
      <c r="J138" s="3"/>
      <c r="K138" s="3"/>
      <c r="L138" s="3"/>
      <c r="M138" s="3"/>
      <c r="N138" s="9"/>
    </row>
    <row r="139" spans="1:14">
      <c r="A139" s="5"/>
      <c r="D139" s="3"/>
      <c r="E139" s="3"/>
      <c r="F139" s="3"/>
      <c r="G139" s="3"/>
      <c r="H139" s="3"/>
      <c r="I139" s="3"/>
      <c r="J139" s="3"/>
      <c r="K139" s="3"/>
      <c r="L139" s="3"/>
      <c r="M139" s="3"/>
      <c r="N139" s="9"/>
    </row>
    <row r="140" spans="1:14">
      <c r="A140" s="5"/>
      <c r="D140" s="3"/>
      <c r="E140" s="3"/>
      <c r="F140" s="3"/>
      <c r="G140" s="3"/>
      <c r="H140" s="3"/>
      <c r="I140" s="3"/>
      <c r="J140" s="3"/>
      <c r="K140" s="3"/>
      <c r="L140" s="3"/>
      <c r="M140" s="3"/>
      <c r="N140" s="9"/>
    </row>
    <row r="141" spans="1:14">
      <c r="A141" s="5"/>
      <c r="D141" s="3"/>
      <c r="E141" s="3"/>
      <c r="F141" s="3"/>
      <c r="G141" s="3"/>
      <c r="H141" s="3"/>
      <c r="I141" s="3"/>
      <c r="J141" s="3"/>
      <c r="K141" s="3"/>
      <c r="L141" s="3"/>
      <c r="M141" s="3"/>
      <c r="N141" s="9"/>
    </row>
    <row r="142" spans="1:14">
      <c r="A142" s="5"/>
      <c r="D142" s="3"/>
      <c r="E142" s="3"/>
      <c r="F142" s="3"/>
      <c r="G142" s="3"/>
      <c r="H142" s="3"/>
      <c r="I142" s="3"/>
      <c r="J142" s="3"/>
      <c r="K142" s="3"/>
      <c r="L142" s="3"/>
      <c r="M142" s="3"/>
      <c r="N142" s="9"/>
    </row>
    <row r="143" spans="1:14">
      <c r="A143" s="5"/>
      <c r="D143" s="3"/>
      <c r="E143" s="3"/>
      <c r="F143" s="3"/>
      <c r="G143" s="3"/>
      <c r="H143" s="3"/>
      <c r="I143" s="3"/>
      <c r="J143" s="3"/>
      <c r="K143" s="3"/>
      <c r="L143" s="3"/>
      <c r="M143" s="3"/>
      <c r="N143" s="9"/>
    </row>
    <row r="144" spans="1:14">
      <c r="A144" s="5"/>
      <c r="D144" s="3"/>
      <c r="E144" s="3"/>
      <c r="F144" s="3"/>
      <c r="G144" s="3"/>
      <c r="H144" s="3"/>
      <c r="I144" s="3"/>
      <c r="J144" s="3"/>
      <c r="K144" s="3"/>
      <c r="L144" s="3"/>
      <c r="M144" s="3"/>
      <c r="N144" s="9"/>
    </row>
    <row r="145" spans="1:14">
      <c r="A145" s="5"/>
      <c r="D145" s="3"/>
      <c r="E145" s="3"/>
      <c r="F145" s="3"/>
      <c r="G145" s="3"/>
      <c r="H145" s="3"/>
      <c r="I145" s="3"/>
      <c r="J145" s="3"/>
      <c r="K145" s="3"/>
      <c r="L145" s="3"/>
      <c r="M145" s="3"/>
      <c r="N145" s="9"/>
    </row>
    <row r="146" spans="1:14">
      <c r="A146" s="5"/>
      <c r="D146" s="3"/>
      <c r="E146" s="3"/>
      <c r="F146" s="3"/>
      <c r="G146" s="3"/>
      <c r="H146" s="3"/>
      <c r="I146" s="3"/>
      <c r="J146" s="3"/>
      <c r="K146" s="3"/>
      <c r="L146" s="3"/>
      <c r="M146" s="3"/>
      <c r="N146" s="9"/>
    </row>
    <row r="147" spans="1:14">
      <c r="A147" s="5"/>
      <c r="D147" s="3"/>
      <c r="E147" s="3"/>
      <c r="F147" s="3"/>
      <c r="G147" s="3"/>
      <c r="H147" s="3"/>
      <c r="I147" s="3"/>
      <c r="J147" s="3"/>
      <c r="K147" s="3"/>
      <c r="L147" s="3"/>
      <c r="M147" s="3"/>
      <c r="N147" s="9"/>
    </row>
    <row r="148" spans="1:14">
      <c r="A148" s="5"/>
      <c r="D148" s="3"/>
      <c r="E148" s="3"/>
      <c r="F148" s="3"/>
      <c r="G148" s="3"/>
      <c r="H148" s="3"/>
      <c r="I148" s="3"/>
      <c r="J148" s="3"/>
      <c r="K148" s="3"/>
      <c r="L148" s="3"/>
      <c r="M148" s="3"/>
      <c r="N148" s="9"/>
    </row>
    <row r="149" spans="1:14">
      <c r="A149" s="5"/>
      <c r="D149" s="3"/>
      <c r="E149" s="3"/>
      <c r="F149" s="3"/>
      <c r="G149" s="3"/>
      <c r="H149" s="3"/>
      <c r="I149" s="3"/>
      <c r="J149" s="3"/>
      <c r="K149" s="3"/>
      <c r="L149" s="3"/>
      <c r="M149" s="3"/>
      <c r="N149" s="9"/>
    </row>
    <row r="150" spans="1:14">
      <c r="A150" s="5"/>
      <c r="D150" s="3"/>
      <c r="E150" s="3"/>
      <c r="F150" s="3"/>
      <c r="G150" s="3"/>
      <c r="H150" s="3"/>
      <c r="I150" s="3"/>
      <c r="J150" s="3"/>
      <c r="K150" s="3"/>
      <c r="L150" s="3"/>
      <c r="M150" s="3"/>
      <c r="N150" s="9"/>
    </row>
    <row r="151" spans="1:14">
      <c r="A151" s="5"/>
      <c r="D151" s="3"/>
      <c r="E151" s="3"/>
      <c r="F151" s="3"/>
      <c r="G151" s="3"/>
      <c r="H151" s="3"/>
      <c r="I151" s="3"/>
      <c r="J151" s="3"/>
      <c r="K151" s="3"/>
      <c r="L151" s="3"/>
      <c r="M151" s="3"/>
      <c r="N151" s="9"/>
    </row>
    <row r="152" spans="1:14">
      <c r="A152" s="5"/>
      <c r="D152" s="3"/>
      <c r="E152" s="3"/>
      <c r="F152" s="3"/>
      <c r="G152" s="3"/>
      <c r="H152" s="3"/>
      <c r="I152" s="3"/>
      <c r="J152" s="3"/>
      <c r="K152" s="3"/>
      <c r="L152" s="3"/>
      <c r="M152" s="3"/>
      <c r="N152" s="9"/>
    </row>
    <row r="153" spans="1:14">
      <c r="A153" s="5"/>
      <c r="D153" s="3"/>
      <c r="E153" s="3"/>
      <c r="F153" s="3"/>
      <c r="G153" s="3"/>
      <c r="H153" s="3"/>
      <c r="I153" s="3"/>
      <c r="J153" s="3"/>
      <c r="K153" s="3"/>
      <c r="L153" s="3"/>
      <c r="M153" s="3"/>
      <c r="N153" s="9"/>
    </row>
    <row r="154" spans="1:14">
      <c r="A154" s="5"/>
      <c r="D154" s="3"/>
      <c r="E154" s="3"/>
      <c r="F154" s="3"/>
      <c r="G154" s="3"/>
      <c r="H154" s="3"/>
      <c r="I154" s="3"/>
      <c r="J154" s="3"/>
      <c r="K154" s="3"/>
      <c r="L154" s="3"/>
      <c r="M154" s="3"/>
      <c r="N154" s="9"/>
    </row>
    <row r="155" spans="1:14">
      <c r="A155" s="5"/>
      <c r="D155" s="3"/>
      <c r="E155" s="3"/>
      <c r="F155" s="3"/>
      <c r="G155" s="3"/>
      <c r="H155" s="3"/>
      <c r="I155" s="3"/>
      <c r="J155" s="3"/>
      <c r="K155" s="3"/>
      <c r="L155" s="3"/>
      <c r="M155" s="3"/>
      <c r="N155" s="9"/>
    </row>
    <row r="156" spans="1:14">
      <c r="A156" s="5"/>
      <c r="D156" s="3"/>
      <c r="E156" s="3"/>
      <c r="F156" s="3"/>
      <c r="G156" s="3"/>
      <c r="H156" s="3"/>
      <c r="I156" s="3"/>
      <c r="J156" s="3"/>
      <c r="K156" s="3"/>
      <c r="L156" s="3"/>
      <c r="M156" s="3"/>
      <c r="N156" s="9"/>
    </row>
    <row r="157" spans="1:14">
      <c r="A157" s="5"/>
      <c r="D157" s="3"/>
      <c r="E157" s="3"/>
      <c r="F157" s="3"/>
      <c r="G157" s="3"/>
      <c r="H157" s="3"/>
      <c r="I157" s="3"/>
      <c r="J157" s="3"/>
      <c r="K157" s="3"/>
      <c r="L157" s="3"/>
      <c r="M157" s="3"/>
      <c r="N157" s="9"/>
    </row>
    <row r="158" spans="1:14">
      <c r="A158" s="5"/>
      <c r="D158" s="3"/>
      <c r="E158" s="3"/>
      <c r="F158" s="3"/>
      <c r="G158" s="3"/>
      <c r="H158" s="3"/>
      <c r="I158" s="3"/>
      <c r="J158" s="3"/>
      <c r="K158" s="3"/>
      <c r="L158" s="3"/>
      <c r="M158" s="3"/>
      <c r="N158" s="9"/>
    </row>
    <row r="159" spans="1:14">
      <c r="A159" s="5"/>
      <c r="D159" s="3"/>
      <c r="E159" s="3"/>
      <c r="F159" s="3"/>
      <c r="G159" s="3"/>
      <c r="H159" s="3"/>
      <c r="I159" s="3"/>
      <c r="J159" s="3"/>
      <c r="K159" s="3"/>
      <c r="L159" s="3"/>
      <c r="M159" s="3"/>
      <c r="N159" s="9"/>
    </row>
    <row r="160" spans="1:14">
      <c r="A160" s="5"/>
      <c r="D160" s="3"/>
      <c r="E160" s="3"/>
      <c r="F160" s="3"/>
      <c r="G160" s="3"/>
      <c r="H160" s="3"/>
      <c r="I160" s="3"/>
      <c r="J160" s="3"/>
      <c r="K160" s="3"/>
      <c r="L160" s="3"/>
      <c r="M160" s="3"/>
      <c r="N160" s="9"/>
    </row>
    <row r="161" spans="1:14">
      <c r="A161" s="5"/>
      <c r="D161" s="3"/>
      <c r="E161" s="3"/>
      <c r="F161" s="3"/>
      <c r="G161" s="3"/>
      <c r="H161" s="3"/>
      <c r="I161" s="3"/>
      <c r="J161" s="3"/>
      <c r="K161" s="3"/>
      <c r="L161" s="3"/>
      <c r="M161" s="3"/>
      <c r="N161" s="9"/>
    </row>
    <row r="162" spans="1:14">
      <c r="A162" s="5"/>
      <c r="D162" s="3"/>
      <c r="E162" s="3"/>
      <c r="F162" s="3"/>
      <c r="G162" s="3"/>
      <c r="H162" s="3"/>
      <c r="I162" s="3"/>
      <c r="J162" s="3"/>
      <c r="K162" s="3"/>
      <c r="L162" s="3"/>
      <c r="M162" s="3"/>
      <c r="N162" s="9"/>
    </row>
    <row r="163" spans="1:14">
      <c r="A163" s="5"/>
      <c r="D163" s="3"/>
      <c r="E163" s="3"/>
      <c r="F163" s="3"/>
      <c r="G163" s="3"/>
      <c r="H163" s="3"/>
      <c r="I163" s="3"/>
      <c r="J163" s="3"/>
      <c r="K163" s="3"/>
      <c r="L163" s="3"/>
      <c r="M163" s="3"/>
      <c r="N163" s="9"/>
    </row>
    <row r="164" spans="1:14">
      <c r="A164" s="5"/>
      <c r="D164" s="3"/>
      <c r="E164" s="3"/>
      <c r="F164" s="3"/>
      <c r="G164" s="3"/>
      <c r="H164" s="3"/>
      <c r="I164" s="3"/>
      <c r="J164" s="3"/>
      <c r="K164" s="3"/>
      <c r="L164" s="3"/>
      <c r="M164" s="3"/>
      <c r="N164" s="9"/>
    </row>
    <row r="165" spans="1:14">
      <c r="A165" s="5"/>
      <c r="D165" s="3"/>
      <c r="E165" s="3"/>
      <c r="F165" s="3"/>
      <c r="G165" s="3"/>
      <c r="H165" s="3"/>
      <c r="I165" s="3"/>
      <c r="J165" s="3"/>
      <c r="K165" s="3"/>
      <c r="L165" s="3"/>
      <c r="M165" s="3"/>
      <c r="N165" s="9"/>
    </row>
    <row r="166" spans="1:14">
      <c r="A166" s="5"/>
      <c r="D166" s="3"/>
      <c r="E166" s="3"/>
      <c r="F166" s="3"/>
      <c r="G166" s="3"/>
      <c r="H166" s="3"/>
      <c r="I166" s="3"/>
      <c r="J166" s="3"/>
      <c r="K166" s="3"/>
      <c r="L166" s="3"/>
      <c r="M166" s="3"/>
      <c r="N166" s="9"/>
    </row>
    <row r="167" spans="1:14">
      <c r="A167" s="5"/>
      <c r="D167" s="3"/>
      <c r="E167" s="3"/>
      <c r="F167" s="3"/>
      <c r="G167" s="3"/>
      <c r="H167" s="3"/>
      <c r="I167" s="3"/>
      <c r="J167" s="3"/>
      <c r="K167" s="3"/>
      <c r="L167" s="3"/>
      <c r="M167" s="3"/>
      <c r="N167" s="9"/>
    </row>
    <row r="168" spans="1:14">
      <c r="A168" s="5"/>
      <c r="D168" s="3"/>
      <c r="E168" s="3"/>
      <c r="F168" s="3"/>
      <c r="G168" s="3"/>
      <c r="H168" s="3"/>
      <c r="I168" s="3"/>
      <c r="J168" s="3"/>
      <c r="K168" s="3"/>
      <c r="L168" s="3"/>
      <c r="M168" s="3"/>
      <c r="N168" s="9"/>
    </row>
    <row r="169" spans="1:14">
      <c r="A169" s="5"/>
      <c r="D169" s="3"/>
      <c r="E169" s="3"/>
      <c r="F169" s="3"/>
      <c r="G169" s="3"/>
      <c r="H169" s="3"/>
      <c r="I169" s="3"/>
      <c r="J169" s="3"/>
      <c r="K169" s="3"/>
      <c r="L169" s="3"/>
      <c r="M169" s="3"/>
      <c r="N169" s="9"/>
    </row>
    <row r="170" spans="1:14">
      <c r="A170" s="5"/>
      <c r="D170" s="3"/>
      <c r="E170" s="3"/>
      <c r="F170" s="3"/>
      <c r="G170" s="3"/>
      <c r="H170" s="3"/>
      <c r="I170" s="3"/>
      <c r="J170" s="3"/>
      <c r="K170" s="3"/>
      <c r="L170" s="3"/>
      <c r="M170" s="3"/>
      <c r="N170" s="9"/>
    </row>
    <row r="171" spans="1:14">
      <c r="A171" s="5"/>
      <c r="D171" s="3"/>
      <c r="E171" s="3"/>
      <c r="F171" s="3"/>
      <c r="G171" s="3"/>
      <c r="H171" s="3"/>
      <c r="I171" s="3"/>
      <c r="J171" s="3"/>
      <c r="K171" s="3"/>
      <c r="L171" s="3"/>
      <c r="M171" s="3"/>
      <c r="N171" s="9"/>
    </row>
    <row r="172" spans="1:14">
      <c r="A172" s="5"/>
      <c r="D172" s="3"/>
      <c r="E172" s="3"/>
      <c r="F172" s="3"/>
      <c r="G172" s="3"/>
      <c r="H172" s="3"/>
      <c r="I172" s="3"/>
      <c r="J172" s="3"/>
      <c r="K172" s="3"/>
      <c r="L172" s="3"/>
      <c r="M172" s="3"/>
      <c r="N172" s="9"/>
    </row>
    <row r="173" spans="1:14">
      <c r="A173" s="5"/>
      <c r="D173" s="3"/>
      <c r="E173" s="3"/>
      <c r="F173" s="3"/>
      <c r="G173" s="3"/>
      <c r="H173" s="3"/>
      <c r="I173" s="3"/>
      <c r="J173" s="3"/>
      <c r="K173" s="3"/>
      <c r="L173" s="3"/>
      <c r="M173" s="3"/>
      <c r="N173" s="9"/>
    </row>
    <row r="174" spans="1:14">
      <c r="A174" s="5"/>
      <c r="D174" s="3"/>
      <c r="E174" s="3"/>
      <c r="F174" s="3"/>
      <c r="G174" s="3"/>
      <c r="H174" s="3"/>
      <c r="I174" s="3"/>
      <c r="J174" s="3"/>
      <c r="K174" s="3"/>
      <c r="L174" s="3"/>
      <c r="M174" s="3"/>
      <c r="N174" s="9"/>
    </row>
    <row r="175" spans="1:14">
      <c r="A175" s="5"/>
      <c r="D175" s="3"/>
      <c r="E175" s="3"/>
      <c r="F175" s="3"/>
      <c r="G175" s="3"/>
      <c r="H175" s="3"/>
      <c r="I175" s="3"/>
      <c r="J175" s="3"/>
      <c r="K175" s="3"/>
      <c r="L175" s="3"/>
      <c r="M175" s="3"/>
      <c r="N175" s="9"/>
    </row>
    <row r="176" spans="1:14">
      <c r="A176" s="5"/>
      <c r="D176" s="3"/>
      <c r="E176" s="3"/>
      <c r="F176" s="3"/>
      <c r="G176" s="3"/>
      <c r="H176" s="3"/>
      <c r="I176" s="3"/>
      <c r="J176" s="3"/>
      <c r="K176" s="3"/>
      <c r="L176" s="3"/>
      <c r="M176" s="3"/>
      <c r="N176" s="9"/>
    </row>
    <row r="177" spans="1:14">
      <c r="A177" s="5"/>
      <c r="D177" s="3"/>
      <c r="E177" s="3"/>
      <c r="F177" s="3"/>
      <c r="G177" s="3"/>
      <c r="H177" s="3"/>
      <c r="I177" s="3"/>
      <c r="J177" s="3"/>
      <c r="K177" s="3"/>
      <c r="L177" s="3"/>
      <c r="M177" s="3"/>
      <c r="N177" s="9"/>
    </row>
    <row r="178" spans="1:14">
      <c r="A178" s="5"/>
      <c r="D178" s="3"/>
      <c r="E178" s="3"/>
      <c r="F178" s="3"/>
      <c r="G178" s="3"/>
      <c r="H178" s="3"/>
      <c r="I178" s="3"/>
      <c r="J178" s="3"/>
      <c r="K178" s="3"/>
      <c r="L178" s="3"/>
      <c r="M178" s="3"/>
      <c r="N178" s="9"/>
    </row>
    <row r="179" spans="1:14">
      <c r="A179" s="5"/>
      <c r="D179" s="3"/>
      <c r="E179" s="3"/>
      <c r="F179" s="3"/>
      <c r="G179" s="3"/>
      <c r="H179" s="3"/>
      <c r="I179" s="3"/>
      <c r="J179" s="3"/>
      <c r="K179" s="3"/>
      <c r="L179" s="3"/>
      <c r="M179" s="3"/>
      <c r="N179" s="9"/>
    </row>
    <row r="180" spans="1:14">
      <c r="A180" s="5"/>
      <c r="D180" s="3"/>
      <c r="E180" s="3"/>
      <c r="F180" s="3"/>
      <c r="G180" s="3"/>
      <c r="H180" s="3"/>
      <c r="I180" s="3"/>
      <c r="J180" s="3"/>
      <c r="K180" s="3"/>
      <c r="L180" s="3"/>
      <c r="M180" s="3"/>
      <c r="N180" s="9"/>
    </row>
    <row r="181" spans="1:14">
      <c r="A181" s="5"/>
      <c r="D181" s="3"/>
      <c r="E181" s="3"/>
      <c r="F181" s="3"/>
      <c r="G181" s="3"/>
      <c r="H181" s="3"/>
      <c r="I181" s="3"/>
      <c r="J181" s="3"/>
      <c r="K181" s="3"/>
      <c r="L181" s="3"/>
      <c r="M181" s="3"/>
      <c r="N181" s="9"/>
    </row>
    <row r="182" spans="1:14">
      <c r="A182" s="5"/>
      <c r="D182" s="3"/>
      <c r="E182" s="3"/>
      <c r="F182" s="3"/>
      <c r="G182" s="3"/>
      <c r="H182" s="3"/>
      <c r="I182" s="3"/>
      <c r="J182" s="3"/>
      <c r="K182" s="3"/>
      <c r="L182" s="3"/>
      <c r="M182" s="3"/>
      <c r="N182" s="9"/>
    </row>
    <row r="183" spans="1:14">
      <c r="A183" s="5"/>
      <c r="D183" s="3"/>
      <c r="E183" s="3"/>
      <c r="F183" s="3"/>
      <c r="G183" s="3"/>
      <c r="H183" s="3"/>
      <c r="I183" s="3"/>
      <c r="J183" s="3"/>
      <c r="K183" s="3"/>
      <c r="L183" s="3"/>
      <c r="M183" s="3"/>
      <c r="N183" s="9"/>
    </row>
    <row r="184" spans="1:14">
      <c r="A184" s="5"/>
      <c r="D184" s="3"/>
      <c r="E184" s="3"/>
      <c r="F184" s="3"/>
      <c r="G184" s="3"/>
      <c r="H184" s="3"/>
      <c r="I184" s="3"/>
      <c r="J184" s="3"/>
      <c r="K184" s="3"/>
      <c r="L184" s="3"/>
      <c r="M184" s="3"/>
      <c r="N184" s="9"/>
    </row>
    <row r="185" spans="1:14">
      <c r="A185" s="5"/>
      <c r="D185" s="3"/>
      <c r="E185" s="3"/>
      <c r="F185" s="3"/>
      <c r="G185" s="3"/>
      <c r="H185" s="3"/>
      <c r="I185" s="3"/>
      <c r="J185" s="3"/>
      <c r="K185" s="3"/>
      <c r="L185" s="3"/>
      <c r="M185" s="3"/>
      <c r="N185" s="9"/>
    </row>
    <row r="186" spans="1:14">
      <c r="A186" s="5"/>
      <c r="D186" s="3"/>
      <c r="E186" s="3"/>
      <c r="F186" s="3"/>
      <c r="G186" s="3"/>
      <c r="H186" s="3"/>
      <c r="I186" s="3"/>
      <c r="J186" s="3"/>
      <c r="K186" s="3"/>
      <c r="L186" s="3"/>
      <c r="M186" s="3"/>
      <c r="N186" s="9"/>
    </row>
    <row r="187" spans="1:14">
      <c r="A187" s="5"/>
      <c r="D187" s="3"/>
      <c r="E187" s="3"/>
      <c r="F187" s="3"/>
      <c r="G187" s="3"/>
      <c r="H187" s="3"/>
      <c r="I187" s="3"/>
      <c r="J187" s="3"/>
      <c r="K187" s="3"/>
      <c r="L187" s="3"/>
      <c r="M187" s="3"/>
      <c r="N187" s="9"/>
    </row>
    <row r="188" spans="1:14">
      <c r="A188" s="5"/>
      <c r="D188" s="3"/>
      <c r="E188" s="3"/>
      <c r="F188" s="3"/>
      <c r="G188" s="3"/>
      <c r="H188" s="3"/>
      <c r="I188" s="3"/>
      <c r="J188" s="3"/>
      <c r="K188" s="3"/>
      <c r="L188" s="3"/>
      <c r="M188" s="3"/>
      <c r="N188" s="9"/>
    </row>
    <row r="189" spans="1:14">
      <c r="A189" s="5"/>
      <c r="D189" s="3"/>
      <c r="E189" s="3"/>
      <c r="F189" s="3"/>
      <c r="G189" s="3"/>
      <c r="H189" s="3"/>
      <c r="I189" s="3"/>
      <c r="J189" s="3"/>
      <c r="K189" s="3"/>
      <c r="L189" s="3"/>
      <c r="M189" s="3"/>
      <c r="N189" s="9"/>
    </row>
    <row r="190" spans="1:14">
      <c r="A190" s="5"/>
      <c r="D190" s="3"/>
      <c r="E190" s="3"/>
      <c r="F190" s="3"/>
      <c r="G190" s="3"/>
      <c r="H190" s="3"/>
      <c r="I190" s="3"/>
      <c r="J190" s="3"/>
      <c r="K190" s="3"/>
      <c r="L190" s="3"/>
      <c r="M190" s="3"/>
      <c r="N190" s="9"/>
    </row>
    <row r="191" spans="1:14">
      <c r="A191" s="5"/>
      <c r="D191" s="3"/>
      <c r="E191" s="3"/>
      <c r="F191" s="3"/>
      <c r="G191" s="3"/>
      <c r="H191" s="3"/>
      <c r="I191" s="3"/>
      <c r="J191" s="3"/>
      <c r="K191" s="3"/>
      <c r="L191" s="3"/>
      <c r="M191" s="3"/>
      <c r="N191" s="9"/>
    </row>
    <row r="192" spans="1:14">
      <c r="A192" s="5"/>
      <c r="D192" s="3"/>
      <c r="E192" s="3"/>
      <c r="F192" s="3"/>
      <c r="G192" s="3"/>
      <c r="H192" s="3"/>
      <c r="I192" s="3"/>
      <c r="J192" s="3"/>
      <c r="K192" s="3"/>
      <c r="L192" s="3"/>
      <c r="M192" s="3"/>
      <c r="N192" s="9"/>
    </row>
    <row r="193" spans="1:14">
      <c r="A193" s="5"/>
      <c r="D193" s="3"/>
      <c r="E193" s="3"/>
      <c r="F193" s="3"/>
      <c r="G193" s="3"/>
      <c r="H193" s="3"/>
      <c r="I193" s="3"/>
      <c r="J193" s="3"/>
      <c r="K193" s="3"/>
      <c r="L193" s="3"/>
      <c r="M193" s="3"/>
      <c r="N193" s="9"/>
    </row>
    <row r="194" spans="1:14">
      <c r="A194" s="5"/>
      <c r="D194" s="3"/>
      <c r="E194" s="3"/>
      <c r="F194" s="3"/>
      <c r="G194" s="3"/>
      <c r="H194" s="3"/>
      <c r="I194" s="3"/>
      <c r="J194" s="3"/>
      <c r="K194" s="3"/>
      <c r="L194" s="3"/>
      <c r="M194" s="3"/>
      <c r="N194" s="9"/>
    </row>
    <row r="195" spans="1:14">
      <c r="A195" s="5"/>
      <c r="D195" s="3"/>
      <c r="E195" s="3"/>
      <c r="F195" s="3"/>
      <c r="G195" s="3"/>
      <c r="H195" s="3"/>
      <c r="I195" s="3"/>
      <c r="J195" s="3"/>
      <c r="K195" s="3"/>
      <c r="L195" s="3"/>
      <c r="M195" s="3"/>
      <c r="N195" s="9"/>
    </row>
    <row r="196" spans="1:14">
      <c r="A196" s="5"/>
      <c r="D196" s="3"/>
      <c r="E196" s="3"/>
      <c r="F196" s="3"/>
      <c r="G196" s="3"/>
      <c r="H196" s="3"/>
      <c r="I196" s="3"/>
      <c r="J196" s="3"/>
      <c r="K196" s="3"/>
      <c r="L196" s="3"/>
      <c r="M196" s="3"/>
      <c r="N196" s="9"/>
    </row>
    <row r="197" spans="1:14">
      <c r="A197" s="5"/>
      <c r="D197" s="3"/>
      <c r="E197" s="3"/>
      <c r="F197" s="3"/>
      <c r="G197" s="3"/>
      <c r="H197" s="3"/>
      <c r="I197" s="3"/>
      <c r="J197" s="3"/>
      <c r="K197" s="3"/>
      <c r="L197" s="3"/>
      <c r="M197" s="3"/>
      <c r="N197" s="9"/>
    </row>
    <row r="198" spans="1:14">
      <c r="A198" s="5"/>
      <c r="D198" s="3"/>
      <c r="E198" s="3"/>
      <c r="F198" s="3"/>
      <c r="G198" s="3"/>
      <c r="H198" s="3"/>
      <c r="I198" s="3"/>
      <c r="J198" s="3"/>
      <c r="K198" s="3"/>
      <c r="L198" s="3"/>
      <c r="M198" s="3"/>
      <c r="N198" s="9"/>
    </row>
    <row r="199" spans="1:14">
      <c r="A199" s="5"/>
      <c r="D199" s="3"/>
      <c r="E199" s="3"/>
      <c r="F199" s="3"/>
      <c r="G199" s="3"/>
      <c r="H199" s="3"/>
      <c r="I199" s="3"/>
      <c r="J199" s="3"/>
      <c r="K199" s="3"/>
      <c r="L199" s="3"/>
      <c r="M199" s="3"/>
      <c r="N199" s="9"/>
    </row>
    <row r="200" spans="1:14">
      <c r="A200" s="5"/>
      <c r="D200" s="3"/>
      <c r="E200" s="3"/>
      <c r="F200" s="3"/>
      <c r="G200" s="3"/>
      <c r="H200" s="3"/>
      <c r="I200" s="3"/>
      <c r="J200" s="3"/>
      <c r="K200" s="3"/>
      <c r="L200" s="3"/>
      <c r="M200" s="3"/>
      <c r="N200" s="9"/>
    </row>
    <row r="201" spans="1:14">
      <c r="A201" s="5"/>
      <c r="D201" s="3"/>
      <c r="E201" s="3"/>
      <c r="F201" s="3"/>
      <c r="G201" s="3"/>
      <c r="H201" s="3"/>
      <c r="I201" s="3"/>
      <c r="J201" s="3"/>
      <c r="K201" s="3"/>
      <c r="L201" s="3"/>
      <c r="M201" s="3"/>
      <c r="N201" s="9"/>
    </row>
    <row r="202" spans="1:14">
      <c r="A202" s="5"/>
      <c r="D202" s="3"/>
      <c r="E202" s="3"/>
      <c r="F202" s="3"/>
      <c r="G202" s="3"/>
      <c r="H202" s="3"/>
      <c r="I202" s="3"/>
      <c r="J202" s="3"/>
      <c r="K202" s="3"/>
      <c r="L202" s="3"/>
      <c r="M202" s="3"/>
      <c r="N202" s="9"/>
    </row>
    <row r="203" spans="1:14">
      <c r="A203" s="5"/>
      <c r="D203" s="3"/>
      <c r="E203" s="3"/>
      <c r="F203" s="3"/>
      <c r="G203" s="3"/>
      <c r="H203" s="3"/>
      <c r="I203" s="3"/>
      <c r="J203" s="3"/>
      <c r="K203" s="3"/>
      <c r="L203" s="3"/>
      <c r="M203" s="3"/>
      <c r="N203" s="9"/>
    </row>
    <row r="204" spans="1:14">
      <c r="A204" s="5"/>
      <c r="D204" s="3"/>
      <c r="E204" s="3"/>
      <c r="F204" s="3"/>
      <c r="G204" s="3"/>
      <c r="H204" s="3"/>
      <c r="I204" s="3"/>
      <c r="J204" s="3"/>
      <c r="K204" s="3"/>
      <c r="L204" s="3"/>
      <c r="M204" s="3"/>
      <c r="N204" s="9"/>
    </row>
    <row r="205" spans="1:14">
      <c r="A205" s="5"/>
      <c r="D205" s="3"/>
      <c r="E205" s="3"/>
      <c r="F205" s="3"/>
      <c r="G205" s="3"/>
      <c r="H205" s="3"/>
      <c r="I205" s="3"/>
      <c r="J205" s="3"/>
      <c r="K205" s="3"/>
      <c r="L205" s="3"/>
      <c r="M205" s="3"/>
      <c r="N205" s="9"/>
    </row>
    <row r="206" spans="1:14">
      <c r="A206" s="5"/>
      <c r="D206" s="3"/>
      <c r="E206" s="3"/>
      <c r="F206" s="3"/>
      <c r="G206" s="3"/>
      <c r="H206" s="3"/>
      <c r="I206" s="3"/>
      <c r="J206" s="3"/>
      <c r="K206" s="3"/>
      <c r="L206" s="3"/>
      <c r="M206" s="3"/>
      <c r="N206" s="9"/>
    </row>
    <row r="207" spans="1:14">
      <c r="A207" s="5"/>
      <c r="D207" s="3"/>
      <c r="E207" s="3"/>
      <c r="F207" s="3"/>
      <c r="G207" s="3"/>
      <c r="H207" s="3"/>
      <c r="I207" s="3"/>
      <c r="J207" s="3"/>
      <c r="K207" s="3"/>
      <c r="L207" s="3"/>
      <c r="M207" s="3"/>
      <c r="N207" s="9"/>
    </row>
    <row r="208" spans="1:14">
      <c r="A208" s="5"/>
      <c r="D208" s="3"/>
      <c r="E208" s="3"/>
      <c r="F208" s="3"/>
      <c r="G208" s="3"/>
      <c r="H208" s="3"/>
      <c r="I208" s="3"/>
      <c r="J208" s="3"/>
      <c r="K208" s="3"/>
      <c r="L208" s="3"/>
      <c r="M208" s="3"/>
      <c r="N208" s="9"/>
    </row>
    <row r="209" spans="1:14">
      <c r="A209" s="5"/>
      <c r="D209" s="3"/>
      <c r="E209" s="3"/>
      <c r="F209" s="3"/>
      <c r="G209" s="3"/>
      <c r="H209" s="3"/>
      <c r="I209" s="3"/>
      <c r="J209" s="3"/>
      <c r="K209" s="3"/>
      <c r="L209" s="3"/>
      <c r="M209" s="3"/>
      <c r="N209" s="9"/>
    </row>
    <row r="210" spans="1:14">
      <c r="A210" s="5"/>
      <c r="D210" s="3"/>
      <c r="E210" s="3"/>
      <c r="F210" s="3"/>
      <c r="G210" s="3"/>
      <c r="H210" s="3"/>
      <c r="I210" s="3"/>
      <c r="J210" s="3"/>
      <c r="K210" s="3"/>
      <c r="L210" s="3"/>
      <c r="M210" s="3"/>
      <c r="N210" s="9"/>
    </row>
    <row r="211" spans="1:14">
      <c r="A211" s="5"/>
      <c r="D211" s="3"/>
      <c r="E211" s="3"/>
      <c r="F211" s="3"/>
      <c r="G211" s="3"/>
      <c r="H211" s="3"/>
      <c r="I211" s="3"/>
      <c r="J211" s="3"/>
      <c r="K211" s="3"/>
      <c r="L211" s="3"/>
      <c r="M211" s="3"/>
      <c r="N211" s="9"/>
    </row>
    <row r="212" spans="1:14">
      <c r="A212" s="5"/>
      <c r="D212" s="3"/>
      <c r="E212" s="3"/>
      <c r="F212" s="3"/>
      <c r="G212" s="3"/>
      <c r="H212" s="3"/>
      <c r="I212" s="3"/>
      <c r="J212" s="3"/>
      <c r="K212" s="3"/>
      <c r="L212" s="3"/>
      <c r="M212" s="3"/>
      <c r="N212" s="9"/>
    </row>
    <row r="213" spans="1:14">
      <c r="A213" s="5"/>
      <c r="D213" s="3"/>
      <c r="E213" s="3"/>
      <c r="F213" s="3"/>
      <c r="G213" s="3"/>
      <c r="H213" s="3"/>
      <c r="I213" s="3"/>
      <c r="J213" s="3"/>
      <c r="K213" s="3"/>
      <c r="L213" s="3"/>
      <c r="M213" s="3"/>
      <c r="N213" s="9"/>
    </row>
    <row r="214" spans="1:14">
      <c r="A214" s="5"/>
      <c r="D214" s="3"/>
      <c r="E214" s="3"/>
      <c r="F214" s="3"/>
      <c r="G214" s="3"/>
      <c r="H214" s="3"/>
      <c r="I214" s="3"/>
      <c r="J214" s="3"/>
      <c r="K214" s="3"/>
      <c r="L214" s="3"/>
      <c r="M214" s="3"/>
      <c r="N214" s="9"/>
    </row>
    <row r="215" spans="1:14">
      <c r="A215" s="5"/>
      <c r="D215" s="3"/>
      <c r="E215" s="3"/>
      <c r="F215" s="3"/>
      <c r="G215" s="3"/>
      <c r="H215" s="3"/>
      <c r="I215" s="3"/>
      <c r="J215" s="3"/>
      <c r="K215" s="3"/>
      <c r="L215" s="3"/>
      <c r="M215" s="3"/>
      <c r="N215" s="9"/>
    </row>
    <row r="216" spans="1:14">
      <c r="A216" s="5"/>
      <c r="D216" s="3"/>
      <c r="E216" s="3"/>
      <c r="F216" s="3"/>
      <c r="G216" s="3"/>
      <c r="H216" s="3"/>
      <c r="I216" s="3"/>
      <c r="J216" s="3"/>
      <c r="K216" s="3"/>
      <c r="L216" s="3"/>
      <c r="M216" s="3"/>
      <c r="N216" s="9"/>
    </row>
    <row r="217" spans="1:14">
      <c r="A217" s="5"/>
      <c r="D217" s="3"/>
      <c r="E217" s="3"/>
      <c r="F217" s="3"/>
      <c r="G217" s="3"/>
      <c r="H217" s="3"/>
      <c r="I217" s="3"/>
      <c r="J217" s="3"/>
      <c r="K217" s="3"/>
      <c r="L217" s="3"/>
      <c r="M217" s="3"/>
      <c r="N217" s="9"/>
    </row>
    <row r="218" spans="1:14">
      <c r="A218" s="5"/>
      <c r="D218" s="3"/>
      <c r="E218" s="3"/>
      <c r="F218" s="3"/>
      <c r="G218" s="3"/>
      <c r="H218" s="3"/>
      <c r="I218" s="3"/>
      <c r="J218" s="3"/>
      <c r="K218" s="3"/>
      <c r="L218" s="3"/>
      <c r="M218" s="3"/>
      <c r="N218" s="9"/>
    </row>
    <row r="219" spans="1:14">
      <c r="A219" s="5"/>
      <c r="D219" s="3"/>
      <c r="E219" s="3"/>
      <c r="F219" s="3"/>
      <c r="G219" s="3"/>
      <c r="H219" s="3"/>
      <c r="I219" s="3"/>
      <c r="J219" s="3"/>
      <c r="K219" s="3"/>
      <c r="L219" s="3"/>
      <c r="M219" s="3"/>
      <c r="N219" s="9"/>
    </row>
    <row r="220" spans="1:14">
      <c r="A220" s="5"/>
      <c r="D220" s="3"/>
      <c r="E220" s="3"/>
      <c r="F220" s="3"/>
      <c r="G220" s="3"/>
      <c r="H220" s="3"/>
      <c r="I220" s="3"/>
      <c r="J220" s="3"/>
      <c r="K220" s="3"/>
      <c r="L220" s="3"/>
      <c r="M220" s="3"/>
      <c r="N220" s="9"/>
    </row>
    <row r="221" spans="1:14">
      <c r="A221" s="5"/>
      <c r="D221" s="3"/>
      <c r="E221" s="3"/>
      <c r="F221" s="3"/>
      <c r="G221" s="3"/>
      <c r="H221" s="3"/>
      <c r="I221" s="3"/>
      <c r="J221" s="3"/>
      <c r="K221" s="3"/>
      <c r="L221" s="3"/>
      <c r="M221" s="3"/>
      <c r="N221" s="9"/>
    </row>
    <row r="222" spans="1:14">
      <c r="A222" s="5"/>
      <c r="D222" s="3"/>
      <c r="E222" s="3"/>
      <c r="F222" s="3"/>
      <c r="G222" s="3"/>
      <c r="H222" s="3"/>
      <c r="I222" s="3"/>
      <c r="J222" s="3"/>
      <c r="K222" s="3"/>
      <c r="L222" s="3"/>
      <c r="M222" s="3"/>
      <c r="N222" s="9"/>
    </row>
    <row r="223" spans="1:14">
      <c r="A223" s="5"/>
      <c r="D223" s="3"/>
      <c r="E223" s="3"/>
      <c r="F223" s="3"/>
      <c r="G223" s="3"/>
      <c r="H223" s="3"/>
      <c r="I223" s="3"/>
      <c r="J223" s="3"/>
      <c r="K223" s="3"/>
      <c r="L223" s="3"/>
      <c r="M223" s="3"/>
      <c r="N223" s="9"/>
    </row>
    <row r="224" spans="1:14">
      <c r="A224" s="5"/>
      <c r="D224" s="3"/>
      <c r="E224" s="3"/>
      <c r="F224" s="3"/>
      <c r="G224" s="3"/>
      <c r="H224" s="3"/>
      <c r="I224" s="3"/>
      <c r="J224" s="3"/>
      <c r="K224" s="3"/>
      <c r="L224" s="3"/>
      <c r="M224" s="3"/>
      <c r="N224" s="9"/>
    </row>
    <row r="225" spans="1:14">
      <c r="A225" s="5"/>
      <c r="D225" s="3"/>
      <c r="E225" s="3"/>
      <c r="F225" s="3"/>
      <c r="G225" s="3"/>
      <c r="H225" s="3"/>
      <c r="I225" s="3"/>
      <c r="J225" s="3"/>
      <c r="K225" s="3"/>
      <c r="L225" s="3"/>
      <c r="M225" s="3"/>
      <c r="N225" s="9"/>
    </row>
    <row r="226" spans="1:14">
      <c r="A226" s="5"/>
      <c r="D226" s="3"/>
      <c r="E226" s="3"/>
      <c r="F226" s="3"/>
      <c r="G226" s="3"/>
      <c r="H226" s="3"/>
      <c r="I226" s="3"/>
      <c r="J226" s="3"/>
      <c r="K226" s="3"/>
      <c r="L226" s="3"/>
      <c r="M226" s="3"/>
      <c r="N226" s="9"/>
    </row>
    <row r="227" spans="1:14">
      <c r="A227" s="5"/>
      <c r="D227" s="3"/>
      <c r="E227" s="3"/>
      <c r="F227" s="3"/>
      <c r="G227" s="3"/>
      <c r="H227" s="3"/>
      <c r="I227" s="3"/>
      <c r="J227" s="3"/>
      <c r="K227" s="3"/>
      <c r="L227" s="3"/>
      <c r="M227" s="3"/>
      <c r="N227" s="9"/>
    </row>
    <row r="228" spans="1:14">
      <c r="A228" s="5"/>
      <c r="D228" s="3"/>
      <c r="E228" s="3"/>
      <c r="F228" s="3"/>
      <c r="G228" s="3"/>
      <c r="H228" s="3"/>
      <c r="I228" s="3"/>
      <c r="J228" s="3"/>
      <c r="K228" s="3"/>
      <c r="L228" s="3"/>
      <c r="M228" s="3"/>
      <c r="N228" s="9"/>
    </row>
    <row r="229" spans="1:14">
      <c r="A229" s="5"/>
      <c r="D229" s="3"/>
      <c r="E229" s="3"/>
      <c r="F229" s="3"/>
      <c r="G229" s="3"/>
      <c r="H229" s="3"/>
      <c r="I229" s="3"/>
      <c r="J229" s="3"/>
      <c r="K229" s="3"/>
      <c r="L229" s="3"/>
      <c r="M229" s="3"/>
      <c r="N229" s="9"/>
    </row>
    <row r="230" spans="1:14">
      <c r="A230" s="5"/>
      <c r="D230" s="3"/>
      <c r="E230" s="3"/>
      <c r="F230" s="3"/>
      <c r="G230" s="3"/>
      <c r="H230" s="3"/>
      <c r="I230" s="3"/>
      <c r="J230" s="3"/>
      <c r="K230" s="3"/>
      <c r="L230" s="3"/>
      <c r="M230" s="3"/>
      <c r="N230" s="9"/>
    </row>
    <row r="231" spans="1:14">
      <c r="A231" s="5"/>
      <c r="D231" s="3"/>
      <c r="E231" s="3"/>
      <c r="F231" s="3"/>
      <c r="G231" s="3"/>
      <c r="H231" s="3"/>
      <c r="I231" s="3"/>
      <c r="J231" s="3"/>
      <c r="K231" s="3"/>
      <c r="L231" s="3"/>
      <c r="M231" s="3"/>
      <c r="N231" s="9"/>
    </row>
    <row r="232" spans="1:14">
      <c r="A232" s="5"/>
      <c r="D232" s="3"/>
      <c r="E232" s="3"/>
      <c r="F232" s="3"/>
      <c r="G232" s="3"/>
      <c r="H232" s="3"/>
      <c r="I232" s="3"/>
      <c r="J232" s="3"/>
      <c r="K232" s="3"/>
      <c r="L232" s="3"/>
      <c r="M232" s="3"/>
      <c r="N232" s="9"/>
    </row>
    <row r="233" spans="1:14">
      <c r="A233" s="5"/>
      <c r="D233" s="3"/>
      <c r="E233" s="3"/>
      <c r="F233" s="3"/>
      <c r="G233" s="3"/>
      <c r="H233" s="3"/>
      <c r="I233" s="3"/>
      <c r="J233" s="3"/>
      <c r="K233" s="3"/>
      <c r="L233" s="3"/>
      <c r="M233" s="3"/>
      <c r="N233" s="9"/>
    </row>
    <row r="234" spans="1:14">
      <c r="A234" s="5"/>
      <c r="D234" s="3"/>
      <c r="E234" s="3"/>
      <c r="F234" s="3"/>
      <c r="G234" s="3"/>
      <c r="H234" s="3"/>
      <c r="I234" s="3"/>
      <c r="J234" s="3"/>
      <c r="K234" s="3"/>
      <c r="L234" s="3"/>
      <c r="M234" s="3"/>
      <c r="N234" s="9"/>
    </row>
    <row r="235" spans="1:14">
      <c r="A235" s="5"/>
      <c r="D235" s="3"/>
      <c r="E235" s="3"/>
      <c r="F235" s="3"/>
      <c r="G235" s="3"/>
      <c r="H235" s="3"/>
      <c r="I235" s="3"/>
      <c r="J235" s="3"/>
      <c r="K235" s="3"/>
      <c r="L235" s="3"/>
      <c r="M235" s="3"/>
      <c r="N235" s="9"/>
    </row>
    <row r="236" spans="1:14">
      <c r="A236" s="5"/>
      <c r="D236" s="3"/>
      <c r="E236" s="3"/>
      <c r="F236" s="3"/>
      <c r="G236" s="3"/>
      <c r="H236" s="3"/>
      <c r="I236" s="3"/>
      <c r="J236" s="3"/>
      <c r="K236" s="3"/>
      <c r="L236" s="3"/>
      <c r="M236" s="3"/>
      <c r="N236" s="9"/>
    </row>
    <row r="237" spans="1:14">
      <c r="A237" s="5"/>
      <c r="D237" s="3"/>
      <c r="E237" s="3"/>
      <c r="F237" s="3"/>
      <c r="G237" s="3"/>
      <c r="H237" s="3"/>
      <c r="I237" s="3"/>
      <c r="J237" s="3"/>
      <c r="K237" s="3"/>
      <c r="L237" s="3"/>
      <c r="M237" s="3"/>
      <c r="N237" s="9"/>
    </row>
    <row r="238" spans="1:14">
      <c r="A238" s="5"/>
      <c r="D238" s="3"/>
      <c r="E238" s="3"/>
      <c r="F238" s="3"/>
      <c r="G238" s="3"/>
      <c r="H238" s="3"/>
      <c r="I238" s="3"/>
      <c r="J238" s="3"/>
      <c r="K238" s="3"/>
      <c r="L238" s="3"/>
      <c r="M238" s="3"/>
      <c r="N238" s="9"/>
    </row>
    <row r="239" spans="1:14">
      <c r="A239" s="5"/>
      <c r="D239" s="3"/>
      <c r="E239" s="3"/>
      <c r="F239" s="3"/>
      <c r="G239" s="3"/>
      <c r="H239" s="3"/>
      <c r="I239" s="3"/>
      <c r="J239" s="3"/>
      <c r="K239" s="3"/>
      <c r="L239" s="3"/>
      <c r="M239" s="3"/>
      <c r="N239" s="9"/>
    </row>
    <row r="240" spans="1:14">
      <c r="A240" s="5"/>
      <c r="D240" s="3"/>
      <c r="E240" s="3"/>
      <c r="F240" s="3"/>
      <c r="G240" s="3"/>
      <c r="H240" s="3"/>
      <c r="I240" s="3"/>
      <c r="J240" s="3"/>
      <c r="K240" s="3"/>
      <c r="L240" s="3"/>
      <c r="M240" s="3"/>
      <c r="N240" s="9"/>
    </row>
    <row r="241" spans="1:14">
      <c r="A241" s="5"/>
      <c r="D241" s="3"/>
      <c r="E241" s="3"/>
      <c r="F241" s="3"/>
      <c r="G241" s="3"/>
      <c r="H241" s="3"/>
      <c r="I241" s="3"/>
      <c r="J241" s="3"/>
      <c r="K241" s="3"/>
      <c r="L241" s="3"/>
      <c r="M241" s="3"/>
      <c r="N241" s="9"/>
    </row>
    <row r="242" spans="1:14">
      <c r="A242" s="5"/>
      <c r="D242" s="3"/>
      <c r="E242" s="3"/>
      <c r="F242" s="3"/>
      <c r="G242" s="3"/>
      <c r="H242" s="3"/>
      <c r="I242" s="3"/>
      <c r="J242" s="3"/>
      <c r="K242" s="3"/>
      <c r="L242" s="3"/>
      <c r="M242" s="3"/>
      <c r="N242" s="9"/>
    </row>
    <row r="243" spans="1:14">
      <c r="A243" s="5"/>
      <c r="D243" s="3"/>
      <c r="E243" s="3"/>
      <c r="F243" s="3"/>
      <c r="G243" s="3"/>
      <c r="H243" s="3"/>
      <c r="I243" s="3"/>
      <c r="J243" s="3"/>
      <c r="K243" s="3"/>
      <c r="L243" s="3"/>
      <c r="M243" s="3"/>
      <c r="N243" s="9"/>
    </row>
    <row r="244" spans="1:14">
      <c r="A244" s="5"/>
      <c r="D244" s="3"/>
      <c r="E244" s="3"/>
      <c r="F244" s="3"/>
      <c r="G244" s="3"/>
      <c r="H244" s="3"/>
      <c r="I244" s="3"/>
      <c r="J244" s="3"/>
      <c r="K244" s="3"/>
      <c r="L244" s="3"/>
      <c r="M244" s="3"/>
      <c r="N244" s="9"/>
    </row>
    <row r="245" spans="1:14">
      <c r="A245" s="5"/>
      <c r="D245" s="3"/>
      <c r="E245" s="3"/>
      <c r="F245" s="3"/>
      <c r="G245" s="3"/>
      <c r="H245" s="3"/>
      <c r="I245" s="3"/>
      <c r="J245" s="3"/>
      <c r="K245" s="3"/>
      <c r="L245" s="3"/>
      <c r="M245" s="3"/>
      <c r="N245" s="9"/>
    </row>
    <row r="246" spans="1:14">
      <c r="A246" s="5"/>
      <c r="D246" s="3"/>
      <c r="E246" s="3"/>
      <c r="F246" s="3"/>
      <c r="G246" s="3"/>
      <c r="H246" s="3"/>
      <c r="I246" s="3"/>
      <c r="J246" s="3"/>
      <c r="K246" s="3"/>
      <c r="L246" s="3"/>
      <c r="M246" s="3"/>
      <c r="N246" s="9"/>
    </row>
    <row r="250" spans="1:14">
      <c r="A250" s="5"/>
      <c r="D250" s="3"/>
      <c r="E250" s="3"/>
      <c r="F250" s="3"/>
      <c r="G250" s="3"/>
      <c r="H250" s="3"/>
      <c r="I250" s="3"/>
      <c r="J250" s="3"/>
      <c r="K250" s="3"/>
      <c r="L250" s="3"/>
      <c r="M250" s="3"/>
      <c r="N250" s="9"/>
    </row>
    <row r="251" spans="1:14">
      <c r="A251" s="5"/>
      <c r="D251" s="3"/>
      <c r="E251" s="3"/>
      <c r="F251" s="3"/>
      <c r="G251" s="3"/>
      <c r="H251" s="3"/>
      <c r="I251" s="3"/>
      <c r="J251" s="3"/>
      <c r="K251" s="3"/>
      <c r="L251" s="3"/>
      <c r="M251" s="3"/>
      <c r="N251" s="9"/>
    </row>
    <row r="252" spans="1:14">
      <c r="A252" s="5"/>
      <c r="D252" s="3"/>
      <c r="E252" s="3"/>
      <c r="F252" s="3"/>
      <c r="G252" s="3"/>
      <c r="H252" s="3"/>
      <c r="I252" s="3"/>
      <c r="J252" s="3"/>
      <c r="K252" s="3"/>
      <c r="L252" s="3"/>
      <c r="M252" s="3"/>
      <c r="N252" s="9"/>
    </row>
    <row r="253" spans="1:14">
      <c r="A253" s="5"/>
      <c r="D253" s="3"/>
      <c r="E253" s="3"/>
      <c r="F253" s="3"/>
      <c r="G253" s="3"/>
      <c r="H253" s="3"/>
      <c r="I253" s="3"/>
      <c r="J253" s="3"/>
      <c r="K253" s="3"/>
      <c r="L253" s="3"/>
      <c r="M253" s="3"/>
      <c r="N253" s="9"/>
    </row>
    <row r="254" spans="1:14">
      <c r="A254" s="5"/>
      <c r="D254" s="3"/>
      <c r="E254" s="3"/>
      <c r="F254" s="3"/>
      <c r="G254" s="3"/>
      <c r="H254" s="3"/>
      <c r="I254" s="3"/>
      <c r="J254" s="3"/>
      <c r="K254" s="3"/>
      <c r="L254" s="3"/>
      <c r="M254" s="3"/>
      <c r="N254" s="9"/>
    </row>
    <row r="255" spans="1:14">
      <c r="A255" s="5"/>
      <c r="D255" s="3"/>
      <c r="E255" s="3"/>
      <c r="F255" s="3"/>
      <c r="G255" s="3"/>
      <c r="H255" s="3"/>
      <c r="I255" s="3"/>
      <c r="J255" s="3"/>
      <c r="K255" s="3"/>
      <c r="L255" s="3"/>
      <c r="M255" s="3"/>
      <c r="N255" s="9"/>
    </row>
    <row r="256" spans="1:14">
      <c r="A256" s="5"/>
      <c r="D256" s="3"/>
      <c r="E256" s="3"/>
      <c r="F256" s="3"/>
      <c r="G256" s="3"/>
      <c r="H256" s="3"/>
      <c r="I256" s="3"/>
      <c r="J256" s="3"/>
      <c r="K256" s="3"/>
      <c r="L256" s="3"/>
      <c r="M256" s="3"/>
      <c r="N256" s="9"/>
    </row>
    <row r="257" spans="1:14">
      <c r="A257" s="5"/>
      <c r="D257" s="3"/>
      <c r="E257" s="3"/>
      <c r="F257" s="3"/>
      <c r="G257" s="3"/>
      <c r="H257" s="3"/>
      <c r="I257" s="3"/>
      <c r="J257" s="3"/>
      <c r="K257" s="3"/>
      <c r="L257" s="3"/>
      <c r="M257" s="3"/>
      <c r="N257" s="9"/>
    </row>
    <row r="258" spans="1:14">
      <c r="A258" s="5"/>
      <c r="D258" s="3"/>
      <c r="E258" s="3"/>
      <c r="F258" s="3"/>
      <c r="G258" s="3"/>
      <c r="H258" s="3"/>
      <c r="I258" s="3"/>
      <c r="J258" s="3"/>
      <c r="K258" s="3"/>
      <c r="L258" s="3"/>
      <c r="M258" s="3"/>
      <c r="N258" s="9"/>
    </row>
    <row r="259" spans="1:14">
      <c r="A259" s="5"/>
      <c r="D259" s="3"/>
      <c r="E259" s="3"/>
      <c r="F259" s="3"/>
      <c r="G259" s="3"/>
      <c r="H259" s="3"/>
      <c r="I259" s="3"/>
      <c r="J259" s="3"/>
      <c r="K259" s="3"/>
      <c r="L259" s="3"/>
      <c r="M259" s="3"/>
      <c r="N259" s="9"/>
    </row>
    <row r="260" spans="1:14">
      <c r="D260" s="3"/>
      <c r="E260" s="3"/>
      <c r="F260" s="3"/>
      <c r="G260" s="3"/>
      <c r="H260" s="3"/>
      <c r="I260" s="3"/>
      <c r="J260" s="3"/>
      <c r="K260" s="3"/>
      <c r="L260" s="3"/>
      <c r="M260" s="3"/>
      <c r="N260" s="9">
        <f t="shared" si="0"/>
        <v>0</v>
      </c>
    </row>
  </sheetData>
  <mergeCells count="11">
    <mergeCell ref="A71:N71"/>
    <mergeCell ref="A61:N61"/>
    <mergeCell ref="A62:N62"/>
    <mergeCell ref="A63:N63"/>
    <mergeCell ref="A64:N64"/>
    <mergeCell ref="A65:N65"/>
    <mergeCell ref="A70:N70"/>
    <mergeCell ref="A69:N69"/>
    <mergeCell ref="A68:N68"/>
    <mergeCell ref="A67:N67"/>
    <mergeCell ref="A66:N66"/>
  </mergeCells>
  <pageMargins left="0" right="0" top="0.75" bottom="0.75" header="0.3" footer="0.3"/>
  <pageSetup scale="65" orientation="landscape" r:id="rId1"/>
  <legacyDrawing r:id="rId2"/>
</worksheet>
</file>

<file path=xl/worksheets/sheet9.xml><?xml version="1.0" encoding="utf-8"?>
<worksheet xmlns="http://schemas.openxmlformats.org/spreadsheetml/2006/main" xmlns:r="http://schemas.openxmlformats.org/officeDocument/2006/relationships">
  <sheetPr>
    <tabColor theme="9" tint="0.39997558519241921"/>
  </sheetPr>
  <dimension ref="A2:BD119"/>
  <sheetViews>
    <sheetView workbookViewId="0">
      <pane xSplit="2" ySplit="4" topLeftCell="J92" activePane="bottomRight" state="frozen"/>
      <selection activeCell="D35" sqref="D35"/>
      <selection pane="topRight" activeCell="D35" sqref="D35"/>
      <selection pane="bottomLeft" activeCell="D35" sqref="D35"/>
      <selection pane="bottomRight" activeCell="B102" sqref="B102"/>
    </sheetView>
  </sheetViews>
  <sheetFormatPr defaultRowHeight="15"/>
  <cols>
    <col min="1" max="1" width="10.28515625" bestFit="1" customWidth="1"/>
    <col min="2" max="2" width="43.28515625" customWidth="1"/>
    <col min="3" max="3" width="8.5703125" style="21" bestFit="1" customWidth="1"/>
    <col min="4" max="5" width="9.140625" style="21" bestFit="1" customWidth="1"/>
    <col min="6" max="14" width="9.85546875" style="14" bestFit="1" customWidth="1"/>
    <col min="15" max="15" width="10.7109375" style="14" bestFit="1" customWidth="1"/>
    <col min="16" max="28" width="11.7109375" style="14" hidden="1" customWidth="1"/>
    <col min="29" max="34" width="11.7109375" style="14" customWidth="1"/>
    <col min="35" max="56" width="11.7109375" style="7" customWidth="1"/>
  </cols>
  <sheetData>
    <row r="2" spans="1:28">
      <c r="B2" s="63" t="s">
        <v>73</v>
      </c>
    </row>
    <row r="3" spans="1:28">
      <c r="B3" s="5" t="s">
        <v>50</v>
      </c>
      <c r="C3" s="15">
        <v>2010</v>
      </c>
      <c r="D3" s="15">
        <v>2010</v>
      </c>
      <c r="E3" s="15">
        <v>2010</v>
      </c>
      <c r="F3" s="15">
        <v>2010</v>
      </c>
      <c r="G3" s="15">
        <v>2010</v>
      </c>
      <c r="H3" s="15">
        <v>2010</v>
      </c>
      <c r="I3" s="15">
        <v>2010</v>
      </c>
      <c r="J3" s="15">
        <v>2010</v>
      </c>
      <c r="K3" s="15">
        <v>2010</v>
      </c>
      <c r="L3" s="15">
        <v>2010</v>
      </c>
      <c r="M3" s="15">
        <v>2010</v>
      </c>
      <c r="N3" s="15">
        <v>2010</v>
      </c>
      <c r="O3" s="15" t="s">
        <v>34</v>
      </c>
      <c r="P3" s="15">
        <v>2011</v>
      </c>
      <c r="Q3" s="15">
        <v>2011</v>
      </c>
      <c r="R3" s="15">
        <v>2011</v>
      </c>
      <c r="S3" s="15">
        <v>2011</v>
      </c>
      <c r="T3" s="15">
        <v>2011</v>
      </c>
      <c r="U3" s="15">
        <v>2011</v>
      </c>
      <c r="V3" s="15">
        <v>2011</v>
      </c>
      <c r="W3" s="15">
        <v>2011</v>
      </c>
      <c r="X3" s="15">
        <v>2011</v>
      </c>
      <c r="Y3" s="15">
        <v>2011</v>
      </c>
      <c r="Z3" s="15">
        <v>2011</v>
      </c>
      <c r="AA3" s="15">
        <v>2011</v>
      </c>
      <c r="AB3" s="15" t="s">
        <v>35</v>
      </c>
    </row>
    <row r="4" spans="1:28">
      <c r="C4" s="61" t="s">
        <v>0</v>
      </c>
      <c r="D4" s="61" t="s">
        <v>1</v>
      </c>
      <c r="E4" s="61" t="s">
        <v>2</v>
      </c>
      <c r="F4" s="18" t="s">
        <v>3</v>
      </c>
      <c r="G4" s="18" t="s">
        <v>4</v>
      </c>
      <c r="H4" s="18" t="s">
        <v>5</v>
      </c>
      <c r="I4" s="18" t="s">
        <v>6</v>
      </c>
      <c r="J4" s="18" t="s">
        <v>7</v>
      </c>
      <c r="K4" s="18" t="s">
        <v>8</v>
      </c>
      <c r="L4" s="18" t="s">
        <v>9</v>
      </c>
      <c r="M4" s="18" t="s">
        <v>10</v>
      </c>
      <c r="N4" s="18" t="s">
        <v>11</v>
      </c>
      <c r="O4" s="18"/>
      <c r="P4" s="15" t="s">
        <v>0</v>
      </c>
      <c r="Q4" s="15" t="s">
        <v>1</v>
      </c>
      <c r="R4" s="15" t="s">
        <v>2</v>
      </c>
      <c r="S4" s="15" t="s">
        <v>3</v>
      </c>
      <c r="T4" s="15" t="s">
        <v>4</v>
      </c>
      <c r="U4" s="15" t="s">
        <v>5</v>
      </c>
      <c r="V4" s="15" t="s">
        <v>6</v>
      </c>
      <c r="W4" s="15" t="s">
        <v>7</v>
      </c>
      <c r="X4" s="15" t="s">
        <v>8</v>
      </c>
      <c r="Y4" s="15" t="s">
        <v>9</v>
      </c>
      <c r="Z4" s="15" t="s">
        <v>10</v>
      </c>
      <c r="AA4" s="15" t="s">
        <v>11</v>
      </c>
      <c r="AB4" s="15"/>
    </row>
    <row r="5" spans="1:28">
      <c r="F5" s="16"/>
      <c r="G5" s="16"/>
      <c r="H5" s="16"/>
      <c r="I5" s="16"/>
      <c r="J5" s="16"/>
      <c r="K5" s="16"/>
      <c r="L5" s="16"/>
      <c r="M5" s="16"/>
      <c r="N5" s="16"/>
    </row>
    <row r="6" spans="1:28">
      <c r="B6" s="10" t="s">
        <v>116</v>
      </c>
      <c r="F6" s="16"/>
      <c r="G6" s="16"/>
      <c r="H6" s="16"/>
      <c r="I6" s="16"/>
      <c r="J6" s="16"/>
      <c r="K6" s="16"/>
      <c r="L6" s="16"/>
      <c r="M6" s="16"/>
      <c r="N6" s="16"/>
      <c r="O6" s="17"/>
    </row>
    <row r="7" spans="1:28">
      <c r="B7" s="5" t="s">
        <v>37</v>
      </c>
      <c r="C7" s="21">
        <f>1695448/12</f>
        <v>141287.33333333334</v>
      </c>
      <c r="D7" s="21">
        <f t="shared" ref="D7:N7" si="0">1695448/12</f>
        <v>141287.33333333334</v>
      </c>
      <c r="E7" s="21">
        <f t="shared" si="0"/>
        <v>141287.33333333334</v>
      </c>
      <c r="F7" s="21">
        <f t="shared" si="0"/>
        <v>141287.33333333334</v>
      </c>
      <c r="G7" s="21">
        <f t="shared" si="0"/>
        <v>141287.33333333334</v>
      </c>
      <c r="H7" s="21">
        <f t="shared" si="0"/>
        <v>141287.33333333334</v>
      </c>
      <c r="I7" s="21">
        <f t="shared" si="0"/>
        <v>141287.33333333334</v>
      </c>
      <c r="J7" s="21">
        <f t="shared" si="0"/>
        <v>141287.33333333334</v>
      </c>
      <c r="K7" s="21">
        <f t="shared" si="0"/>
        <v>141287.33333333334</v>
      </c>
      <c r="L7" s="21">
        <f t="shared" si="0"/>
        <v>141287.33333333334</v>
      </c>
      <c r="M7" s="21">
        <f t="shared" si="0"/>
        <v>141287.33333333334</v>
      </c>
      <c r="N7" s="21">
        <f t="shared" si="0"/>
        <v>141287.33333333334</v>
      </c>
      <c r="O7" s="103">
        <f t="shared" ref="O7:O13" si="1">SUM(C7:N7)</f>
        <v>1695447.9999999998</v>
      </c>
    </row>
    <row r="8" spans="1:28">
      <c r="B8" s="5" t="s">
        <v>38</v>
      </c>
      <c r="C8" s="21">
        <f>2075623/12</f>
        <v>172968.58333333334</v>
      </c>
      <c r="D8" s="21">
        <f t="shared" ref="D8:N8" si="2">2075623/12</f>
        <v>172968.58333333334</v>
      </c>
      <c r="E8" s="21">
        <f t="shared" si="2"/>
        <v>172968.58333333334</v>
      </c>
      <c r="F8" s="19">
        <f t="shared" si="2"/>
        <v>172968.58333333334</v>
      </c>
      <c r="G8" s="19">
        <f t="shared" si="2"/>
        <v>172968.58333333334</v>
      </c>
      <c r="H8" s="19">
        <f t="shared" si="2"/>
        <v>172968.58333333334</v>
      </c>
      <c r="I8" s="19">
        <f t="shared" si="2"/>
        <v>172968.58333333334</v>
      </c>
      <c r="J8" s="19">
        <f t="shared" si="2"/>
        <v>172968.58333333334</v>
      </c>
      <c r="K8" s="19">
        <f t="shared" si="2"/>
        <v>172968.58333333334</v>
      </c>
      <c r="L8" s="19">
        <f t="shared" si="2"/>
        <v>172968.58333333334</v>
      </c>
      <c r="M8" s="19">
        <f t="shared" si="2"/>
        <v>172968.58333333334</v>
      </c>
      <c r="N8" s="19">
        <f t="shared" si="2"/>
        <v>172968.58333333334</v>
      </c>
      <c r="O8" s="103">
        <f t="shared" si="1"/>
        <v>2075622.9999999998</v>
      </c>
    </row>
    <row r="9" spans="1:28">
      <c r="B9" s="5" t="s">
        <v>242</v>
      </c>
      <c r="C9" s="21">
        <f>585544/12</f>
        <v>48795.333333333336</v>
      </c>
      <c r="D9" s="21">
        <f t="shared" ref="D9:N9" si="3">585544/12</f>
        <v>48795.333333333336</v>
      </c>
      <c r="E9" s="21">
        <f t="shared" si="3"/>
        <v>48795.333333333336</v>
      </c>
      <c r="F9" s="19">
        <f t="shared" si="3"/>
        <v>48795.333333333336</v>
      </c>
      <c r="G9" s="19">
        <f t="shared" si="3"/>
        <v>48795.333333333336</v>
      </c>
      <c r="H9" s="19">
        <f t="shared" si="3"/>
        <v>48795.333333333336</v>
      </c>
      <c r="I9" s="19">
        <f t="shared" si="3"/>
        <v>48795.333333333336</v>
      </c>
      <c r="J9" s="19">
        <f t="shared" si="3"/>
        <v>48795.333333333336</v>
      </c>
      <c r="K9" s="19">
        <f t="shared" si="3"/>
        <v>48795.333333333336</v>
      </c>
      <c r="L9" s="19">
        <f t="shared" si="3"/>
        <v>48795.333333333336</v>
      </c>
      <c r="M9" s="19">
        <f t="shared" si="3"/>
        <v>48795.333333333336</v>
      </c>
      <c r="N9" s="19">
        <f t="shared" si="3"/>
        <v>48795.333333333336</v>
      </c>
      <c r="O9" s="103">
        <f t="shared" si="1"/>
        <v>585544</v>
      </c>
    </row>
    <row r="10" spans="1:28" hidden="1">
      <c r="B10" s="5" t="s">
        <v>40</v>
      </c>
      <c r="F10" s="16"/>
      <c r="G10" s="16"/>
      <c r="H10" s="16"/>
      <c r="I10" s="16"/>
      <c r="J10" s="16"/>
      <c r="K10" s="16"/>
      <c r="L10" s="16"/>
      <c r="M10" s="16"/>
      <c r="N10" s="16"/>
      <c r="O10" s="103">
        <f t="shared" si="1"/>
        <v>0</v>
      </c>
    </row>
    <row r="11" spans="1:28" hidden="1">
      <c r="B11" s="5" t="s">
        <v>41</v>
      </c>
      <c r="F11" s="16"/>
      <c r="G11" s="16"/>
      <c r="H11" s="16"/>
      <c r="I11" s="16"/>
      <c r="J11" s="16"/>
      <c r="K11" s="16"/>
      <c r="L11" s="16"/>
      <c r="M11" s="16"/>
      <c r="N11" s="16"/>
      <c r="O11" s="103">
        <f t="shared" si="1"/>
        <v>0</v>
      </c>
    </row>
    <row r="12" spans="1:28" hidden="1">
      <c r="B12" s="5" t="s">
        <v>42</v>
      </c>
      <c r="F12" s="16"/>
      <c r="G12" s="16"/>
      <c r="H12" s="16"/>
      <c r="I12" s="16"/>
      <c r="J12" s="16"/>
      <c r="K12" s="16"/>
      <c r="L12" s="16"/>
      <c r="M12" s="16"/>
      <c r="N12" s="16"/>
      <c r="O12" s="103">
        <f t="shared" si="1"/>
        <v>0</v>
      </c>
    </row>
    <row r="13" spans="1:28" hidden="1">
      <c r="B13" s="5" t="s">
        <v>43</v>
      </c>
      <c r="F13" s="16"/>
      <c r="G13" s="16"/>
      <c r="H13" s="16"/>
      <c r="I13" s="16"/>
      <c r="J13" s="16"/>
      <c r="K13" s="16"/>
      <c r="L13" s="16"/>
      <c r="M13" s="16"/>
      <c r="N13" s="16"/>
      <c r="O13" s="103">
        <f t="shared" si="1"/>
        <v>0</v>
      </c>
    </row>
    <row r="14" spans="1:28">
      <c r="A14" t="s">
        <v>22</v>
      </c>
      <c r="B14" s="10" t="s">
        <v>44</v>
      </c>
      <c r="C14" s="20">
        <f>SUM(C7:C13)</f>
        <v>363051.25</v>
      </c>
      <c r="D14" s="20">
        <f t="shared" ref="D14:N14" si="4">SUM(D7:D13)</f>
        <v>363051.25</v>
      </c>
      <c r="E14" s="20">
        <f t="shared" si="4"/>
        <v>363051.25</v>
      </c>
      <c r="F14" s="20">
        <f t="shared" si="4"/>
        <v>363051.25</v>
      </c>
      <c r="G14" s="20">
        <f t="shared" si="4"/>
        <v>363051.25</v>
      </c>
      <c r="H14" s="20">
        <f t="shared" si="4"/>
        <v>363051.25</v>
      </c>
      <c r="I14" s="20">
        <f t="shared" si="4"/>
        <v>363051.25</v>
      </c>
      <c r="J14" s="20">
        <f t="shared" si="4"/>
        <v>363051.25</v>
      </c>
      <c r="K14" s="20">
        <f t="shared" si="4"/>
        <v>363051.25</v>
      </c>
      <c r="L14" s="20">
        <f t="shared" si="4"/>
        <v>363051.25</v>
      </c>
      <c r="M14" s="20">
        <f t="shared" si="4"/>
        <v>363051.25</v>
      </c>
      <c r="N14" s="20">
        <f t="shared" si="4"/>
        <v>363051.25</v>
      </c>
      <c r="O14" s="104">
        <f>SUM(O7:O13)</f>
        <v>4356615</v>
      </c>
    </row>
    <row r="15" spans="1:28">
      <c r="B15" s="10"/>
      <c r="F15" s="16"/>
      <c r="G15" s="16"/>
      <c r="H15" s="16"/>
      <c r="I15" s="16"/>
      <c r="J15" s="16"/>
      <c r="K15" s="16"/>
      <c r="L15" s="16"/>
      <c r="M15" s="16"/>
      <c r="N15" s="16"/>
      <c r="O15" s="103"/>
    </row>
    <row r="16" spans="1:28">
      <c r="B16" s="10" t="s">
        <v>117</v>
      </c>
      <c r="F16" s="16"/>
      <c r="G16" s="16"/>
      <c r="H16" s="16"/>
      <c r="I16" s="16"/>
      <c r="J16" s="16"/>
      <c r="K16" s="16"/>
      <c r="L16" s="16"/>
      <c r="M16" s="16"/>
      <c r="N16" s="16"/>
      <c r="O16" s="103"/>
    </row>
    <row r="17" spans="1:15">
      <c r="B17" s="5" t="s">
        <v>37</v>
      </c>
      <c r="C17" s="21">
        <f>11407/12</f>
        <v>950.58333333333337</v>
      </c>
      <c r="D17" s="21">
        <f t="shared" ref="D17:N17" si="5">11407/12</f>
        <v>950.58333333333337</v>
      </c>
      <c r="E17" s="21">
        <f t="shared" si="5"/>
        <v>950.58333333333337</v>
      </c>
      <c r="F17" s="21">
        <f t="shared" si="5"/>
        <v>950.58333333333337</v>
      </c>
      <c r="G17" s="21">
        <f t="shared" si="5"/>
        <v>950.58333333333337</v>
      </c>
      <c r="H17" s="21">
        <f t="shared" si="5"/>
        <v>950.58333333333337</v>
      </c>
      <c r="I17" s="21">
        <f t="shared" si="5"/>
        <v>950.58333333333337</v>
      </c>
      <c r="J17" s="21">
        <f t="shared" si="5"/>
        <v>950.58333333333337</v>
      </c>
      <c r="K17" s="21">
        <f t="shared" si="5"/>
        <v>950.58333333333337</v>
      </c>
      <c r="L17" s="21">
        <f t="shared" si="5"/>
        <v>950.58333333333337</v>
      </c>
      <c r="M17" s="21">
        <f t="shared" si="5"/>
        <v>950.58333333333337</v>
      </c>
      <c r="N17" s="21">
        <f t="shared" si="5"/>
        <v>950.58333333333337</v>
      </c>
      <c r="O17" s="103">
        <f t="shared" ref="O17:O23" si="6">SUM(C17:N17)</f>
        <v>11407.000000000002</v>
      </c>
    </row>
    <row r="18" spans="1:15">
      <c r="B18" s="5" t="s">
        <v>38</v>
      </c>
      <c r="C18" s="21">
        <f>92201/12</f>
        <v>7683.416666666667</v>
      </c>
      <c r="D18" s="21">
        <f t="shared" ref="D18:N18" si="7">92201/12</f>
        <v>7683.416666666667</v>
      </c>
      <c r="E18" s="21">
        <f t="shared" si="7"/>
        <v>7683.416666666667</v>
      </c>
      <c r="F18" s="19">
        <f t="shared" si="7"/>
        <v>7683.416666666667</v>
      </c>
      <c r="G18" s="19">
        <f t="shared" si="7"/>
        <v>7683.416666666667</v>
      </c>
      <c r="H18" s="19">
        <f t="shared" si="7"/>
        <v>7683.416666666667</v>
      </c>
      <c r="I18" s="19">
        <f t="shared" si="7"/>
        <v>7683.416666666667</v>
      </c>
      <c r="J18" s="19">
        <f t="shared" si="7"/>
        <v>7683.416666666667</v>
      </c>
      <c r="K18" s="19">
        <f t="shared" si="7"/>
        <v>7683.416666666667</v>
      </c>
      <c r="L18" s="19">
        <f t="shared" si="7"/>
        <v>7683.416666666667</v>
      </c>
      <c r="M18" s="19">
        <f t="shared" si="7"/>
        <v>7683.416666666667</v>
      </c>
      <c r="N18" s="19">
        <f t="shared" si="7"/>
        <v>7683.416666666667</v>
      </c>
      <c r="O18" s="103">
        <f t="shared" si="6"/>
        <v>92201.000000000015</v>
      </c>
    </row>
    <row r="19" spans="1:15" hidden="1">
      <c r="B19" s="5" t="s">
        <v>39</v>
      </c>
      <c r="O19" s="103">
        <f t="shared" si="6"/>
        <v>0</v>
      </c>
    </row>
    <row r="20" spans="1:15" hidden="1">
      <c r="B20" s="5" t="s">
        <v>40</v>
      </c>
      <c r="O20" s="103">
        <f t="shared" si="6"/>
        <v>0</v>
      </c>
    </row>
    <row r="21" spans="1:15" hidden="1">
      <c r="B21" s="5" t="s">
        <v>41</v>
      </c>
      <c r="O21" s="103">
        <f t="shared" si="6"/>
        <v>0</v>
      </c>
    </row>
    <row r="22" spans="1:15" hidden="1">
      <c r="B22" s="5" t="s">
        <v>42</v>
      </c>
      <c r="C22" s="21">
        <v>0</v>
      </c>
      <c r="D22" s="21">
        <v>0</v>
      </c>
      <c r="E22" s="21">
        <v>0</v>
      </c>
      <c r="F22" s="19">
        <v>0</v>
      </c>
      <c r="G22" s="19">
        <v>0</v>
      </c>
      <c r="H22" s="19">
        <v>0</v>
      </c>
      <c r="I22" s="19">
        <v>0</v>
      </c>
      <c r="J22" s="19">
        <v>0</v>
      </c>
      <c r="K22" s="19">
        <v>0</v>
      </c>
      <c r="L22" s="19">
        <v>0</v>
      </c>
      <c r="M22" s="19">
        <v>0</v>
      </c>
      <c r="N22" s="19">
        <v>0</v>
      </c>
      <c r="O22" s="103">
        <f t="shared" si="6"/>
        <v>0</v>
      </c>
    </row>
    <row r="23" spans="1:15">
      <c r="B23" s="5" t="s">
        <v>43</v>
      </c>
      <c r="C23" s="21">
        <f>401210/12</f>
        <v>33434.166666666664</v>
      </c>
      <c r="D23" s="21">
        <f t="shared" ref="D23:N23" si="8">401210/12</f>
        <v>33434.166666666664</v>
      </c>
      <c r="E23" s="21">
        <f t="shared" si="8"/>
        <v>33434.166666666664</v>
      </c>
      <c r="F23" s="19">
        <f t="shared" si="8"/>
        <v>33434.166666666664</v>
      </c>
      <c r="G23" s="19">
        <f t="shared" si="8"/>
        <v>33434.166666666664</v>
      </c>
      <c r="H23" s="19">
        <f t="shared" si="8"/>
        <v>33434.166666666664</v>
      </c>
      <c r="I23" s="19">
        <f t="shared" si="8"/>
        <v>33434.166666666664</v>
      </c>
      <c r="J23" s="19">
        <f t="shared" si="8"/>
        <v>33434.166666666664</v>
      </c>
      <c r="K23" s="19">
        <f t="shared" si="8"/>
        <v>33434.166666666664</v>
      </c>
      <c r="L23" s="19">
        <f t="shared" si="8"/>
        <v>33434.166666666664</v>
      </c>
      <c r="M23" s="19">
        <f t="shared" si="8"/>
        <v>33434.166666666664</v>
      </c>
      <c r="N23" s="19">
        <f t="shared" si="8"/>
        <v>33434.166666666664</v>
      </c>
      <c r="O23" s="103">
        <f t="shared" si="6"/>
        <v>401210.00000000006</v>
      </c>
    </row>
    <row r="24" spans="1:15">
      <c r="A24" t="s">
        <v>21</v>
      </c>
      <c r="B24" s="10" t="s">
        <v>52</v>
      </c>
      <c r="C24" s="20">
        <f t="shared" ref="C24:N24" si="9">SUM(C17:C23)</f>
        <v>42068.166666666664</v>
      </c>
      <c r="D24" s="20">
        <f t="shared" si="9"/>
        <v>42068.166666666664</v>
      </c>
      <c r="E24" s="20">
        <f t="shared" si="9"/>
        <v>42068.166666666664</v>
      </c>
      <c r="F24" s="20">
        <f t="shared" si="9"/>
        <v>42068.166666666664</v>
      </c>
      <c r="G24" s="20">
        <f t="shared" si="9"/>
        <v>42068.166666666664</v>
      </c>
      <c r="H24" s="20">
        <f t="shared" si="9"/>
        <v>42068.166666666664</v>
      </c>
      <c r="I24" s="20">
        <f t="shared" si="9"/>
        <v>42068.166666666664</v>
      </c>
      <c r="J24" s="20">
        <f t="shared" si="9"/>
        <v>42068.166666666664</v>
      </c>
      <c r="K24" s="20">
        <f t="shared" si="9"/>
        <v>42068.166666666664</v>
      </c>
      <c r="L24" s="20">
        <f t="shared" si="9"/>
        <v>42068.166666666664</v>
      </c>
      <c r="M24" s="20">
        <f t="shared" si="9"/>
        <v>42068.166666666664</v>
      </c>
      <c r="N24" s="20">
        <f t="shared" si="9"/>
        <v>42068.166666666664</v>
      </c>
      <c r="O24" s="104">
        <f>SUM(O17:O23)</f>
        <v>504818.00000000006</v>
      </c>
    </row>
    <row r="25" spans="1:15" ht="16.149999999999999" customHeight="1">
      <c r="B25" s="10"/>
      <c r="F25" s="16"/>
      <c r="G25" s="16"/>
      <c r="H25" s="16"/>
      <c r="I25" s="16"/>
      <c r="J25" s="16"/>
      <c r="K25" s="16"/>
      <c r="L25" s="16"/>
      <c r="M25" s="16"/>
      <c r="N25" s="16"/>
      <c r="O25" s="103"/>
    </row>
    <row r="26" spans="1:15">
      <c r="B26" s="10" t="s">
        <v>118</v>
      </c>
      <c r="F26" s="16"/>
      <c r="G26" s="16"/>
      <c r="H26" s="16"/>
      <c r="I26" s="16"/>
      <c r="J26" s="16"/>
      <c r="K26" s="16"/>
      <c r="L26" s="16"/>
      <c r="M26" s="16"/>
      <c r="N26" s="16"/>
      <c r="O26" s="103"/>
    </row>
    <row r="27" spans="1:15">
      <c r="B27" s="5" t="s">
        <v>37</v>
      </c>
      <c r="C27" s="21">
        <f>25110/12</f>
        <v>2092.5</v>
      </c>
      <c r="D27" s="21">
        <f t="shared" ref="D27:N27" si="10">25110/12</f>
        <v>2092.5</v>
      </c>
      <c r="E27" s="21">
        <f t="shared" si="10"/>
        <v>2092.5</v>
      </c>
      <c r="F27" s="21">
        <f t="shared" si="10"/>
        <v>2092.5</v>
      </c>
      <c r="G27" s="21">
        <f t="shared" si="10"/>
        <v>2092.5</v>
      </c>
      <c r="H27" s="21">
        <f t="shared" si="10"/>
        <v>2092.5</v>
      </c>
      <c r="I27" s="21">
        <f t="shared" si="10"/>
        <v>2092.5</v>
      </c>
      <c r="J27" s="21">
        <f t="shared" si="10"/>
        <v>2092.5</v>
      </c>
      <c r="K27" s="21">
        <f t="shared" si="10"/>
        <v>2092.5</v>
      </c>
      <c r="L27" s="21">
        <f t="shared" si="10"/>
        <v>2092.5</v>
      </c>
      <c r="M27" s="21">
        <f t="shared" si="10"/>
        <v>2092.5</v>
      </c>
      <c r="N27" s="21">
        <f t="shared" si="10"/>
        <v>2092.5</v>
      </c>
      <c r="O27" s="103">
        <f t="shared" ref="O27:O33" si="11">SUM(C27:N27)</f>
        <v>25110</v>
      </c>
    </row>
    <row r="28" spans="1:15">
      <c r="B28" s="5" t="s">
        <v>38</v>
      </c>
      <c r="C28" s="21">
        <f>11551/12</f>
        <v>962.58333333333337</v>
      </c>
      <c r="D28" s="21">
        <f t="shared" ref="D28:N28" si="12">11551/12</f>
        <v>962.58333333333337</v>
      </c>
      <c r="E28" s="21">
        <f t="shared" si="12"/>
        <v>962.58333333333337</v>
      </c>
      <c r="F28" s="19">
        <f t="shared" si="12"/>
        <v>962.58333333333337</v>
      </c>
      <c r="G28" s="19">
        <f t="shared" si="12"/>
        <v>962.58333333333337</v>
      </c>
      <c r="H28" s="19">
        <f t="shared" si="12"/>
        <v>962.58333333333337</v>
      </c>
      <c r="I28" s="19">
        <f t="shared" si="12"/>
        <v>962.58333333333337</v>
      </c>
      <c r="J28" s="19">
        <f t="shared" si="12"/>
        <v>962.58333333333337</v>
      </c>
      <c r="K28" s="19">
        <f t="shared" si="12"/>
        <v>962.58333333333337</v>
      </c>
      <c r="L28" s="19">
        <f t="shared" si="12"/>
        <v>962.58333333333337</v>
      </c>
      <c r="M28" s="19">
        <f t="shared" si="12"/>
        <v>962.58333333333337</v>
      </c>
      <c r="N28" s="19">
        <f t="shared" si="12"/>
        <v>962.58333333333337</v>
      </c>
      <c r="O28" s="103">
        <f t="shared" si="11"/>
        <v>11551.000000000002</v>
      </c>
    </row>
    <row r="29" spans="1:15">
      <c r="B29" s="5" t="s">
        <v>242</v>
      </c>
      <c r="C29" s="21">
        <f>2157/12</f>
        <v>179.75</v>
      </c>
      <c r="D29" s="21">
        <f t="shared" ref="D29:N29" si="13">2157/12</f>
        <v>179.75</v>
      </c>
      <c r="E29" s="21">
        <f t="shared" si="13"/>
        <v>179.75</v>
      </c>
      <c r="F29" s="19">
        <f t="shared" si="13"/>
        <v>179.75</v>
      </c>
      <c r="G29" s="19">
        <f t="shared" si="13"/>
        <v>179.75</v>
      </c>
      <c r="H29" s="19">
        <f t="shared" si="13"/>
        <v>179.75</v>
      </c>
      <c r="I29" s="19">
        <f t="shared" si="13"/>
        <v>179.75</v>
      </c>
      <c r="J29" s="19">
        <f t="shared" si="13"/>
        <v>179.75</v>
      </c>
      <c r="K29" s="19">
        <f t="shared" si="13"/>
        <v>179.75</v>
      </c>
      <c r="L29" s="19">
        <f t="shared" si="13"/>
        <v>179.75</v>
      </c>
      <c r="M29" s="19">
        <f t="shared" si="13"/>
        <v>179.75</v>
      </c>
      <c r="N29" s="19">
        <f t="shared" si="13"/>
        <v>179.75</v>
      </c>
      <c r="O29" s="103">
        <f t="shared" si="11"/>
        <v>2157</v>
      </c>
    </row>
    <row r="30" spans="1:15" hidden="1">
      <c r="B30" s="5" t="s">
        <v>40</v>
      </c>
      <c r="O30" s="103">
        <f t="shared" si="11"/>
        <v>0</v>
      </c>
    </row>
    <row r="31" spans="1:15" hidden="1">
      <c r="B31" s="5" t="s">
        <v>41</v>
      </c>
      <c r="O31" s="103">
        <f t="shared" si="11"/>
        <v>0</v>
      </c>
    </row>
    <row r="32" spans="1:15" hidden="1">
      <c r="B32" s="5" t="s">
        <v>42</v>
      </c>
      <c r="O32" s="103">
        <f t="shared" si="11"/>
        <v>0</v>
      </c>
    </row>
    <row r="33" spans="1:29">
      <c r="B33" s="5" t="s">
        <v>43</v>
      </c>
      <c r="C33" s="21">
        <f>335952/12</f>
        <v>27996</v>
      </c>
      <c r="D33" s="21">
        <f t="shared" ref="D33:N33" si="14">335952/12</f>
        <v>27996</v>
      </c>
      <c r="E33" s="21">
        <f t="shared" si="14"/>
        <v>27996</v>
      </c>
      <c r="F33" s="19">
        <f t="shared" si="14"/>
        <v>27996</v>
      </c>
      <c r="G33" s="19">
        <f t="shared" si="14"/>
        <v>27996</v>
      </c>
      <c r="H33" s="19">
        <f t="shared" si="14"/>
        <v>27996</v>
      </c>
      <c r="I33" s="19">
        <f t="shared" si="14"/>
        <v>27996</v>
      </c>
      <c r="J33" s="19">
        <f t="shared" si="14"/>
        <v>27996</v>
      </c>
      <c r="K33" s="19">
        <f t="shared" si="14"/>
        <v>27996</v>
      </c>
      <c r="L33" s="19">
        <f t="shared" si="14"/>
        <v>27996</v>
      </c>
      <c r="M33" s="19">
        <f t="shared" si="14"/>
        <v>27996</v>
      </c>
      <c r="N33" s="19">
        <f t="shared" si="14"/>
        <v>27996</v>
      </c>
      <c r="O33" s="103">
        <f t="shared" si="11"/>
        <v>335952</v>
      </c>
    </row>
    <row r="34" spans="1:29">
      <c r="A34" t="s">
        <v>20</v>
      </c>
      <c r="B34" s="10" t="s">
        <v>51</v>
      </c>
      <c r="C34" s="20">
        <f t="shared" ref="C34:O34" si="15">SUM(C27:C33)</f>
        <v>31230.833333333332</v>
      </c>
      <c r="D34" s="20">
        <f t="shared" si="15"/>
        <v>31230.833333333332</v>
      </c>
      <c r="E34" s="20">
        <f t="shared" si="15"/>
        <v>31230.833333333332</v>
      </c>
      <c r="F34" s="20">
        <f t="shared" si="15"/>
        <v>31230.833333333332</v>
      </c>
      <c r="G34" s="20">
        <f t="shared" si="15"/>
        <v>31230.833333333332</v>
      </c>
      <c r="H34" s="20">
        <f t="shared" si="15"/>
        <v>31230.833333333332</v>
      </c>
      <c r="I34" s="20">
        <f t="shared" si="15"/>
        <v>31230.833333333332</v>
      </c>
      <c r="J34" s="20">
        <f t="shared" si="15"/>
        <v>31230.833333333332</v>
      </c>
      <c r="K34" s="20">
        <f t="shared" si="15"/>
        <v>31230.833333333332</v>
      </c>
      <c r="L34" s="20">
        <f t="shared" si="15"/>
        <v>31230.833333333332</v>
      </c>
      <c r="M34" s="20">
        <f t="shared" si="15"/>
        <v>31230.833333333332</v>
      </c>
      <c r="N34" s="20">
        <f t="shared" si="15"/>
        <v>31230.833333333332</v>
      </c>
      <c r="O34" s="104">
        <f t="shared" si="15"/>
        <v>374770</v>
      </c>
    </row>
    <row r="35" spans="1:29">
      <c r="B35" s="10"/>
      <c r="O35" s="105"/>
    </row>
    <row r="36" spans="1:29" ht="15.75" thickBot="1">
      <c r="A36" t="s">
        <v>128</v>
      </c>
      <c r="B36" s="10" t="s">
        <v>119</v>
      </c>
      <c r="C36" s="62">
        <f>C34+C24+C14</f>
        <v>436350.25</v>
      </c>
      <c r="D36" s="62">
        <f t="shared" ref="D36:O36" si="16">D34+D24+D14</f>
        <v>436350.25</v>
      </c>
      <c r="E36" s="62">
        <f t="shared" si="16"/>
        <v>436350.25</v>
      </c>
      <c r="F36" s="22">
        <f t="shared" si="16"/>
        <v>436350.25</v>
      </c>
      <c r="G36" s="22">
        <f t="shared" si="16"/>
        <v>436350.25</v>
      </c>
      <c r="H36" s="22">
        <f t="shared" si="16"/>
        <v>436350.25</v>
      </c>
      <c r="I36" s="22">
        <f t="shared" si="16"/>
        <v>436350.25</v>
      </c>
      <c r="J36" s="22">
        <f t="shared" si="16"/>
        <v>436350.25</v>
      </c>
      <c r="K36" s="22">
        <f t="shared" si="16"/>
        <v>436350.25</v>
      </c>
      <c r="L36" s="22">
        <f t="shared" si="16"/>
        <v>436350.25</v>
      </c>
      <c r="M36" s="22">
        <f t="shared" si="16"/>
        <v>436350.25</v>
      </c>
      <c r="N36" s="22">
        <f t="shared" si="16"/>
        <v>436350.25</v>
      </c>
      <c r="O36" s="106">
        <f t="shared" si="16"/>
        <v>5236203</v>
      </c>
    </row>
    <row r="37" spans="1:29" ht="15.75" thickTop="1">
      <c r="B37" s="10"/>
      <c r="O37" s="105"/>
    </row>
    <row r="38" spans="1:29">
      <c r="B38" s="54" t="s">
        <v>120</v>
      </c>
      <c r="F38" s="19"/>
      <c r="G38" s="19"/>
      <c r="H38" s="19"/>
      <c r="I38" s="19"/>
      <c r="J38" s="19"/>
      <c r="K38" s="19"/>
      <c r="L38" s="19"/>
      <c r="M38" s="19"/>
      <c r="N38" s="19"/>
      <c r="O38" s="107"/>
      <c r="P38" s="19"/>
      <c r="Q38" s="19"/>
      <c r="R38" s="19"/>
      <c r="S38" s="19"/>
      <c r="T38" s="19"/>
      <c r="U38" s="19"/>
      <c r="V38" s="19"/>
      <c r="W38" s="19"/>
      <c r="X38" s="19"/>
      <c r="Y38" s="19"/>
      <c r="Z38" s="19"/>
      <c r="AA38" s="19"/>
      <c r="AB38" s="19"/>
      <c r="AC38" s="19"/>
    </row>
    <row r="39" spans="1:29">
      <c r="B39" s="55" t="s">
        <v>37</v>
      </c>
      <c r="C39" s="21">
        <v>172930</v>
      </c>
      <c r="D39" s="21">
        <v>243798.5</v>
      </c>
      <c r="E39" s="21">
        <v>226483</v>
      </c>
      <c r="F39" s="19">
        <v>200166</v>
      </c>
      <c r="G39" s="19">
        <v>15234</v>
      </c>
      <c r="H39" s="19">
        <v>56209</v>
      </c>
      <c r="I39" s="19">
        <v>224438</v>
      </c>
      <c r="J39" s="19">
        <v>34698</v>
      </c>
      <c r="K39" s="19">
        <v>79217</v>
      </c>
      <c r="L39" s="19">
        <v>40848</v>
      </c>
      <c r="M39" s="19">
        <v>56078</v>
      </c>
      <c r="N39" s="19">
        <v>174905</v>
      </c>
      <c r="O39" s="103">
        <f t="shared" ref="O39:O45" si="17">SUM(C39:N39)</f>
        <v>1525004.5</v>
      </c>
      <c r="P39" s="19"/>
      <c r="Q39" s="19"/>
      <c r="R39" s="19"/>
      <c r="S39" s="19"/>
      <c r="T39" s="19"/>
      <c r="U39" s="19"/>
      <c r="V39" s="19"/>
      <c r="W39" s="19"/>
      <c r="X39" s="19"/>
      <c r="Y39" s="19"/>
      <c r="Z39" s="19"/>
      <c r="AA39" s="19"/>
      <c r="AB39" s="19"/>
      <c r="AC39" s="19"/>
    </row>
    <row r="40" spans="1:29">
      <c r="B40" s="55" t="s">
        <v>38</v>
      </c>
      <c r="C40" s="21">
        <v>243701.01</v>
      </c>
      <c r="D40" s="21">
        <v>284971.88</v>
      </c>
      <c r="E40" s="21">
        <v>164933.26</v>
      </c>
      <c r="F40" s="19">
        <v>177536</v>
      </c>
      <c r="G40" s="19">
        <v>155066</v>
      </c>
      <c r="H40" s="19">
        <v>193155</v>
      </c>
      <c r="I40" s="19">
        <v>180970</v>
      </c>
      <c r="J40" s="19">
        <v>134449</v>
      </c>
      <c r="K40" s="19">
        <v>126363</v>
      </c>
      <c r="L40" s="19">
        <v>212393</v>
      </c>
      <c r="M40" s="19">
        <v>318715.94</v>
      </c>
      <c r="N40" s="19">
        <v>292987.73</v>
      </c>
      <c r="O40" s="103">
        <f t="shared" si="17"/>
        <v>2485241.8199999998</v>
      </c>
      <c r="P40" s="19"/>
      <c r="Q40" s="19"/>
      <c r="R40" s="19"/>
      <c r="S40" s="19"/>
      <c r="T40" s="19"/>
      <c r="U40" s="19"/>
      <c r="V40" s="19"/>
      <c r="W40" s="19"/>
      <c r="X40" s="19"/>
      <c r="Y40" s="19"/>
      <c r="Z40" s="19"/>
      <c r="AA40" s="19"/>
      <c r="AB40" s="19"/>
      <c r="AC40" s="19"/>
    </row>
    <row r="41" spans="1:29">
      <c r="B41" s="55" t="s">
        <v>242</v>
      </c>
      <c r="C41" s="21">
        <v>18244.34</v>
      </c>
      <c r="D41" s="21">
        <v>3312.66</v>
      </c>
      <c r="E41" s="21">
        <v>80052.160000000003</v>
      </c>
      <c r="F41" s="19">
        <v>4192</v>
      </c>
      <c r="G41" s="19">
        <v>1927</v>
      </c>
      <c r="H41" s="19">
        <v>66171</v>
      </c>
      <c r="I41" s="19"/>
      <c r="J41" s="19">
        <v>32346</v>
      </c>
      <c r="K41" s="19">
        <v>33987</v>
      </c>
      <c r="L41" s="19">
        <v>8612</v>
      </c>
      <c r="M41" s="19">
        <v>24836.12</v>
      </c>
      <c r="N41" s="19">
        <v>117284.47</v>
      </c>
      <c r="O41" s="103">
        <f t="shared" si="17"/>
        <v>390964.75</v>
      </c>
      <c r="P41" s="19"/>
      <c r="Q41" s="19"/>
      <c r="R41" s="19"/>
      <c r="S41" s="19"/>
      <c r="T41" s="19"/>
      <c r="U41" s="19"/>
      <c r="V41" s="19"/>
      <c r="W41" s="19"/>
      <c r="X41" s="19"/>
      <c r="Y41" s="19"/>
      <c r="Z41" s="19"/>
      <c r="AA41" s="19"/>
      <c r="AB41" s="19"/>
      <c r="AC41" s="19"/>
    </row>
    <row r="42" spans="1:29" hidden="1">
      <c r="B42" s="55" t="s">
        <v>40</v>
      </c>
      <c r="F42" s="19"/>
      <c r="G42" s="19"/>
      <c r="H42" s="19"/>
      <c r="I42" s="19"/>
      <c r="J42" s="19"/>
      <c r="K42" s="19"/>
      <c r="L42" s="19"/>
      <c r="M42" s="19"/>
      <c r="N42" s="19"/>
      <c r="O42" s="103">
        <f t="shared" si="17"/>
        <v>0</v>
      </c>
      <c r="P42" s="19"/>
      <c r="Q42" s="19"/>
      <c r="R42" s="19"/>
      <c r="S42" s="19"/>
      <c r="T42" s="19"/>
      <c r="U42" s="19"/>
      <c r="V42" s="19"/>
      <c r="W42" s="19"/>
      <c r="X42" s="19"/>
      <c r="Y42" s="19"/>
      <c r="Z42" s="19"/>
      <c r="AA42" s="19"/>
      <c r="AB42" s="19"/>
      <c r="AC42" s="19"/>
    </row>
    <row r="43" spans="1:29" hidden="1">
      <c r="B43" s="55" t="s">
        <v>41</v>
      </c>
      <c r="F43" s="19"/>
      <c r="G43" s="19"/>
      <c r="H43" s="19"/>
      <c r="I43" s="19"/>
      <c r="J43" s="19"/>
      <c r="K43" s="19"/>
      <c r="L43" s="19"/>
      <c r="M43" s="19"/>
      <c r="N43" s="19"/>
      <c r="O43" s="103">
        <f t="shared" si="17"/>
        <v>0</v>
      </c>
      <c r="P43" s="19"/>
      <c r="Q43" s="19"/>
      <c r="R43" s="19"/>
      <c r="S43" s="19"/>
      <c r="T43" s="19"/>
      <c r="U43" s="19"/>
      <c r="V43" s="19"/>
      <c r="W43" s="19"/>
      <c r="X43" s="19"/>
      <c r="Y43" s="19"/>
      <c r="Z43" s="19"/>
      <c r="AA43" s="19"/>
      <c r="AB43" s="19"/>
      <c r="AC43" s="19"/>
    </row>
    <row r="44" spans="1:29" hidden="1">
      <c r="B44" s="55" t="s">
        <v>42</v>
      </c>
      <c r="F44" s="19"/>
      <c r="G44" s="19"/>
      <c r="H44" s="19"/>
      <c r="I44" s="19"/>
      <c r="J44" s="19"/>
      <c r="K44" s="19"/>
      <c r="L44" s="19"/>
      <c r="M44" s="19"/>
      <c r="N44" s="19"/>
      <c r="O44" s="103">
        <f t="shared" si="17"/>
        <v>0</v>
      </c>
      <c r="P44" s="19"/>
      <c r="Q44" s="19"/>
      <c r="R44" s="19"/>
      <c r="S44" s="19"/>
      <c r="T44" s="19"/>
      <c r="U44" s="19"/>
      <c r="V44" s="19"/>
      <c r="W44" s="19"/>
      <c r="X44" s="19"/>
      <c r="Y44" s="19"/>
      <c r="Z44" s="19"/>
      <c r="AA44" s="19"/>
      <c r="AB44" s="19"/>
      <c r="AC44" s="19"/>
    </row>
    <row r="45" spans="1:29" hidden="1">
      <c r="B45" s="55" t="s">
        <v>43</v>
      </c>
      <c r="F45" s="19"/>
      <c r="G45" s="19"/>
      <c r="H45" s="19"/>
      <c r="I45" s="19"/>
      <c r="J45" s="19"/>
      <c r="K45" s="19"/>
      <c r="L45" s="19"/>
      <c r="M45" s="19"/>
      <c r="N45" s="19"/>
      <c r="O45" s="103">
        <f t="shared" si="17"/>
        <v>0</v>
      </c>
      <c r="P45" s="19"/>
      <c r="Q45" s="19"/>
      <c r="R45" s="19"/>
      <c r="S45" s="19"/>
      <c r="T45" s="19"/>
      <c r="U45" s="19"/>
      <c r="V45" s="19"/>
      <c r="W45" s="19"/>
      <c r="X45" s="19"/>
      <c r="Y45" s="19"/>
      <c r="Z45" s="19"/>
      <c r="AA45" s="19"/>
      <c r="AB45" s="19"/>
      <c r="AC45" s="19"/>
    </row>
    <row r="46" spans="1:29">
      <c r="A46" t="s">
        <v>24</v>
      </c>
      <c r="B46" s="54" t="s">
        <v>45</v>
      </c>
      <c r="C46" s="20">
        <f>SUM(C39:C45)</f>
        <v>434875.35000000003</v>
      </c>
      <c r="D46" s="20">
        <f t="shared" ref="D46:N46" si="18">SUM(D39:D45)</f>
        <v>532083.04</v>
      </c>
      <c r="E46" s="20">
        <f t="shared" si="18"/>
        <v>471468.42000000004</v>
      </c>
      <c r="F46" s="20">
        <f t="shared" si="18"/>
        <v>381894</v>
      </c>
      <c r="G46" s="20">
        <f t="shared" si="18"/>
        <v>172227</v>
      </c>
      <c r="H46" s="20">
        <f t="shared" si="18"/>
        <v>315535</v>
      </c>
      <c r="I46" s="20">
        <f t="shared" si="18"/>
        <v>405408</v>
      </c>
      <c r="J46" s="20">
        <f t="shared" si="18"/>
        <v>201493</v>
      </c>
      <c r="K46" s="20">
        <f t="shared" si="18"/>
        <v>239567</v>
      </c>
      <c r="L46" s="20">
        <f t="shared" si="18"/>
        <v>261853</v>
      </c>
      <c r="M46" s="20">
        <f t="shared" si="18"/>
        <v>399630.06</v>
      </c>
      <c r="N46" s="20">
        <f t="shared" si="18"/>
        <v>585177.19999999995</v>
      </c>
      <c r="O46" s="104">
        <f>SUM(O39:O45)</f>
        <v>4401211.07</v>
      </c>
      <c r="P46" s="19"/>
      <c r="Q46" s="19"/>
      <c r="R46" s="19"/>
      <c r="S46" s="19"/>
      <c r="T46" s="19"/>
      <c r="U46" s="19"/>
      <c r="V46" s="19"/>
      <c r="W46" s="19"/>
      <c r="X46" s="19"/>
      <c r="Y46" s="19"/>
      <c r="Z46" s="19"/>
      <c r="AA46" s="19"/>
      <c r="AB46" s="19"/>
      <c r="AC46" s="19"/>
    </row>
    <row r="47" spans="1:29">
      <c r="B47" s="54"/>
      <c r="F47" s="19"/>
      <c r="G47" s="19"/>
      <c r="H47" s="19"/>
      <c r="I47" s="19"/>
      <c r="J47" s="19"/>
      <c r="K47" s="19"/>
      <c r="L47" s="19"/>
      <c r="M47" s="19"/>
      <c r="N47" s="19"/>
      <c r="O47" s="107"/>
      <c r="P47" s="19"/>
      <c r="Q47" s="19"/>
      <c r="R47" s="19"/>
      <c r="S47" s="19"/>
      <c r="T47" s="19"/>
      <c r="U47" s="19"/>
      <c r="V47" s="19"/>
      <c r="W47" s="19"/>
      <c r="X47" s="19"/>
      <c r="Y47" s="19"/>
      <c r="Z47" s="19"/>
      <c r="AA47" s="19"/>
      <c r="AB47" s="19"/>
      <c r="AC47" s="19"/>
    </row>
    <row r="48" spans="1:29">
      <c r="B48" s="54" t="s">
        <v>121</v>
      </c>
      <c r="F48" s="19"/>
      <c r="G48" s="19"/>
      <c r="H48" s="19"/>
      <c r="I48" s="19"/>
      <c r="J48" s="19"/>
      <c r="K48" s="19"/>
      <c r="L48" s="19"/>
      <c r="M48" s="19"/>
      <c r="N48" s="19"/>
      <c r="O48" s="107"/>
      <c r="P48" s="19"/>
      <c r="Q48" s="19"/>
      <c r="R48" s="19"/>
      <c r="S48" s="19"/>
      <c r="T48" s="19"/>
      <c r="U48" s="19"/>
      <c r="V48" s="19"/>
      <c r="W48" s="19"/>
      <c r="X48" s="19"/>
      <c r="Y48" s="19"/>
      <c r="Z48" s="19"/>
      <c r="AA48" s="19"/>
      <c r="AB48" s="19"/>
      <c r="AC48" s="19"/>
    </row>
    <row r="49" spans="1:29">
      <c r="B49" s="55" t="s">
        <v>37</v>
      </c>
      <c r="C49" s="21">
        <v>10547.95</v>
      </c>
      <c r="D49" s="21">
        <v>4474.2299999999996</v>
      </c>
      <c r="E49" s="21">
        <v>4682.05</v>
      </c>
      <c r="F49" s="19">
        <v>6037</v>
      </c>
      <c r="G49" s="19">
        <v>3359</v>
      </c>
      <c r="H49" s="19">
        <v>8988</v>
      </c>
      <c r="I49" s="19">
        <v>5138</v>
      </c>
      <c r="J49" s="19">
        <v>3625</v>
      </c>
      <c r="K49" s="19">
        <v>5412</v>
      </c>
      <c r="L49" s="19">
        <v>4612</v>
      </c>
      <c r="M49" s="19">
        <v>4078.51</v>
      </c>
      <c r="N49" s="19">
        <v>6588.37</v>
      </c>
      <c r="O49" s="103">
        <f t="shared" ref="O49:O55" si="19">SUM(C49:N49)</f>
        <v>67542.11</v>
      </c>
      <c r="P49" s="19"/>
      <c r="Q49" s="19"/>
      <c r="R49" s="19"/>
      <c r="S49" s="19"/>
      <c r="T49" s="19"/>
      <c r="U49" s="19"/>
      <c r="V49" s="19"/>
      <c r="W49" s="19"/>
      <c r="X49" s="19"/>
      <c r="Y49" s="19"/>
      <c r="Z49" s="19"/>
      <c r="AA49" s="19"/>
      <c r="AB49" s="19"/>
      <c r="AC49" s="19"/>
    </row>
    <row r="50" spans="1:29">
      <c r="B50" s="55" t="s">
        <v>38</v>
      </c>
      <c r="C50" s="21">
        <v>18380.28</v>
      </c>
      <c r="D50" s="21">
        <v>20216.05</v>
      </c>
      <c r="E50" s="21">
        <v>11137.52</v>
      </c>
      <c r="F50" s="19">
        <v>6421</v>
      </c>
      <c r="G50" s="19">
        <v>4136</v>
      </c>
      <c r="H50" s="19">
        <v>4623</v>
      </c>
      <c r="I50" s="19">
        <v>14481</v>
      </c>
      <c r="J50" s="19">
        <v>1854</v>
      </c>
      <c r="K50" s="19">
        <v>25698</v>
      </c>
      <c r="L50" s="19">
        <v>14661</v>
      </c>
      <c r="M50" s="19">
        <v>125747.45999999999</v>
      </c>
      <c r="N50" s="19">
        <v>34047.429999999993</v>
      </c>
      <c r="O50" s="103">
        <f t="shared" si="19"/>
        <v>281402.74</v>
      </c>
      <c r="P50" s="19"/>
      <c r="Q50" s="19"/>
      <c r="R50" s="19"/>
      <c r="S50" s="19"/>
      <c r="T50" s="19"/>
      <c r="U50" s="19"/>
      <c r="V50" s="19"/>
      <c r="W50" s="19"/>
      <c r="X50" s="19"/>
      <c r="Y50" s="19"/>
      <c r="Z50" s="19"/>
      <c r="AA50" s="19"/>
      <c r="AB50" s="19"/>
      <c r="AC50" s="19"/>
    </row>
    <row r="51" spans="1:29">
      <c r="B51" s="55" t="s">
        <v>242</v>
      </c>
      <c r="C51" s="21">
        <v>5810.97</v>
      </c>
      <c r="D51" s="21">
        <v>1987.46</v>
      </c>
      <c r="E51" s="21">
        <v>1939.32</v>
      </c>
      <c r="F51" s="19">
        <v>1527</v>
      </c>
      <c r="G51" s="19">
        <v>-2370</v>
      </c>
      <c r="H51" s="19">
        <v>1660</v>
      </c>
      <c r="I51" s="19">
        <v>1931</v>
      </c>
      <c r="J51" s="19">
        <v>2367</v>
      </c>
      <c r="K51" s="19">
        <v>2141</v>
      </c>
      <c r="L51" s="19">
        <v>1616</v>
      </c>
      <c r="M51" s="19">
        <v>1681.27</v>
      </c>
      <c r="N51" s="19">
        <v>13440.19</v>
      </c>
      <c r="O51" s="103">
        <f t="shared" si="19"/>
        <v>33731.21</v>
      </c>
      <c r="P51" s="19"/>
      <c r="Q51" s="19"/>
      <c r="R51" s="19"/>
      <c r="S51" s="19"/>
      <c r="T51" s="19"/>
      <c r="U51" s="19"/>
      <c r="V51" s="19"/>
      <c r="W51" s="19"/>
      <c r="X51" s="19"/>
      <c r="Y51" s="19"/>
      <c r="Z51" s="19"/>
      <c r="AA51" s="19"/>
      <c r="AB51" s="19"/>
      <c r="AC51" s="19"/>
    </row>
    <row r="52" spans="1:29" hidden="1">
      <c r="B52" s="55" t="s">
        <v>40</v>
      </c>
      <c r="F52" s="19"/>
      <c r="G52" s="19"/>
      <c r="H52" s="19"/>
      <c r="I52" s="19"/>
      <c r="J52" s="19"/>
      <c r="K52" s="19"/>
      <c r="L52" s="19"/>
      <c r="M52" s="19"/>
      <c r="N52" s="19"/>
      <c r="O52" s="103">
        <f t="shared" si="19"/>
        <v>0</v>
      </c>
      <c r="P52" s="19"/>
      <c r="Q52" s="19"/>
      <c r="R52" s="19"/>
      <c r="S52" s="19"/>
      <c r="T52" s="19"/>
      <c r="U52" s="19"/>
      <c r="V52" s="19"/>
      <c r="W52" s="19"/>
      <c r="X52" s="19"/>
      <c r="Y52" s="19"/>
      <c r="Z52" s="19"/>
      <c r="AA52" s="19"/>
      <c r="AB52" s="19"/>
      <c r="AC52" s="19"/>
    </row>
    <row r="53" spans="1:29" hidden="1">
      <c r="B53" s="55" t="s">
        <v>41</v>
      </c>
      <c r="F53" s="19"/>
      <c r="G53" s="19"/>
      <c r="H53" s="19"/>
      <c r="I53" s="19"/>
      <c r="J53" s="19"/>
      <c r="K53" s="19"/>
      <c r="L53" s="19"/>
      <c r="M53" s="19"/>
      <c r="N53" s="19"/>
      <c r="O53" s="103">
        <f t="shared" si="19"/>
        <v>0</v>
      </c>
      <c r="P53" s="19"/>
      <c r="Q53" s="19"/>
      <c r="R53" s="19"/>
      <c r="S53" s="19"/>
      <c r="T53" s="19"/>
      <c r="U53" s="19"/>
      <c r="V53" s="19"/>
      <c r="W53" s="19"/>
      <c r="X53" s="19"/>
      <c r="Y53" s="19"/>
      <c r="Z53" s="19"/>
      <c r="AA53" s="19"/>
      <c r="AB53" s="19"/>
      <c r="AC53" s="19"/>
    </row>
    <row r="54" spans="1:29">
      <c r="B54" s="55" t="s">
        <v>42</v>
      </c>
      <c r="F54" s="19"/>
      <c r="G54" s="19"/>
      <c r="H54" s="19"/>
      <c r="I54" s="19"/>
      <c r="J54" s="19"/>
      <c r="K54" s="19"/>
      <c r="L54" s="19"/>
      <c r="M54" s="19"/>
      <c r="N54" s="19">
        <v>9854.8100000000013</v>
      </c>
      <c r="O54" s="103">
        <f t="shared" si="19"/>
        <v>9854.8100000000013</v>
      </c>
      <c r="P54" s="19"/>
      <c r="Q54" s="19"/>
      <c r="R54" s="19"/>
      <c r="S54" s="19"/>
      <c r="T54" s="19"/>
      <c r="U54" s="19"/>
      <c r="V54" s="19"/>
      <c r="W54" s="19"/>
      <c r="X54" s="19"/>
      <c r="Y54" s="19"/>
      <c r="Z54" s="19"/>
      <c r="AA54" s="19"/>
      <c r="AB54" s="19"/>
      <c r="AC54" s="19"/>
    </row>
    <row r="55" spans="1:29">
      <c r="B55" s="55" t="s">
        <v>43</v>
      </c>
      <c r="C55" s="21">
        <v>53847.85</v>
      </c>
      <c r="D55" s="21">
        <v>57592.11</v>
      </c>
      <c r="E55" s="21">
        <v>63546.44</v>
      </c>
      <c r="F55" s="19">
        <v>53071</v>
      </c>
      <c r="G55" s="19">
        <v>57151</v>
      </c>
      <c r="H55" s="19">
        <v>58279</v>
      </c>
      <c r="I55" s="19">
        <v>69520</v>
      </c>
      <c r="J55" s="19">
        <v>54706</v>
      </c>
      <c r="K55" s="19">
        <v>49886</v>
      </c>
      <c r="L55" s="19">
        <v>48543</v>
      </c>
      <c r="M55" s="19">
        <v>56903.5</v>
      </c>
      <c r="N55" s="19">
        <v>53297.09</v>
      </c>
      <c r="O55" s="103">
        <f t="shared" si="19"/>
        <v>676342.99</v>
      </c>
      <c r="P55" s="19"/>
      <c r="Q55" s="19"/>
      <c r="R55" s="19"/>
      <c r="S55" s="19"/>
      <c r="T55" s="19"/>
      <c r="U55" s="19"/>
      <c r="V55" s="19"/>
      <c r="W55" s="19"/>
      <c r="X55" s="19"/>
      <c r="Y55" s="19"/>
      <c r="Z55" s="19"/>
      <c r="AA55" s="19"/>
      <c r="AB55" s="19"/>
      <c r="AC55" s="19"/>
    </row>
    <row r="56" spans="1:29">
      <c r="A56" t="s">
        <v>129</v>
      </c>
      <c r="B56" s="54" t="s">
        <v>122</v>
      </c>
      <c r="C56" s="20">
        <f t="shared" ref="C56:N56" si="20">SUM(C49:C55)</f>
        <v>88587.049999999988</v>
      </c>
      <c r="D56" s="20">
        <f t="shared" si="20"/>
        <v>84269.85</v>
      </c>
      <c r="E56" s="20">
        <f t="shared" si="20"/>
        <v>81305.33</v>
      </c>
      <c r="F56" s="20">
        <f t="shared" si="20"/>
        <v>67056</v>
      </c>
      <c r="G56" s="20">
        <f t="shared" si="20"/>
        <v>62276</v>
      </c>
      <c r="H56" s="20">
        <f t="shared" si="20"/>
        <v>73550</v>
      </c>
      <c r="I56" s="20">
        <f t="shared" si="20"/>
        <v>91070</v>
      </c>
      <c r="J56" s="20">
        <f t="shared" si="20"/>
        <v>62552</v>
      </c>
      <c r="K56" s="20">
        <f t="shared" si="20"/>
        <v>83137</v>
      </c>
      <c r="L56" s="20">
        <f t="shared" si="20"/>
        <v>69432</v>
      </c>
      <c r="M56" s="20">
        <f t="shared" si="20"/>
        <v>188410.74</v>
      </c>
      <c r="N56" s="20">
        <f t="shared" si="20"/>
        <v>117227.89</v>
      </c>
      <c r="O56" s="104">
        <f>SUM(O49:O55)</f>
        <v>1068873.8599999999</v>
      </c>
      <c r="P56" s="19"/>
      <c r="Q56" s="19"/>
      <c r="R56" s="19"/>
      <c r="S56" s="19"/>
      <c r="T56" s="19"/>
      <c r="U56" s="19"/>
      <c r="V56" s="19"/>
      <c r="W56" s="19"/>
      <c r="X56" s="19"/>
      <c r="Y56" s="19"/>
      <c r="Z56" s="19"/>
      <c r="AA56" s="19"/>
      <c r="AB56" s="19"/>
      <c r="AC56" s="19"/>
    </row>
    <row r="57" spans="1:29">
      <c r="B57" s="54"/>
      <c r="F57" s="19"/>
      <c r="G57" s="19"/>
      <c r="H57" s="19"/>
      <c r="I57" s="19"/>
      <c r="J57" s="19"/>
      <c r="K57" s="19"/>
      <c r="L57" s="19"/>
      <c r="M57" s="19"/>
      <c r="N57" s="19"/>
      <c r="O57" s="107"/>
      <c r="P57" s="19"/>
      <c r="Q57" s="19"/>
      <c r="R57" s="19"/>
      <c r="S57" s="19"/>
      <c r="T57" s="19"/>
      <c r="U57" s="19"/>
      <c r="V57" s="19"/>
      <c r="W57" s="19"/>
      <c r="X57" s="19"/>
      <c r="Y57" s="19"/>
      <c r="Z57" s="19"/>
      <c r="AA57" s="19"/>
      <c r="AB57" s="19"/>
      <c r="AC57" s="19"/>
    </row>
    <row r="58" spans="1:29">
      <c r="B58" s="54" t="s">
        <v>123</v>
      </c>
      <c r="F58" s="19"/>
      <c r="G58" s="19"/>
      <c r="H58" s="19"/>
      <c r="I58" s="19"/>
      <c r="J58" s="19"/>
      <c r="K58" s="19"/>
      <c r="L58" s="19"/>
      <c r="M58" s="19"/>
      <c r="N58" s="19"/>
      <c r="O58" s="107"/>
      <c r="P58" s="19"/>
      <c r="Q58" s="19"/>
      <c r="R58" s="19"/>
      <c r="S58" s="19"/>
      <c r="T58" s="19"/>
      <c r="U58" s="19"/>
      <c r="V58" s="19"/>
      <c r="W58" s="19"/>
      <c r="X58" s="19"/>
      <c r="Y58" s="19"/>
      <c r="Z58" s="19"/>
      <c r="AA58" s="19"/>
      <c r="AB58" s="19"/>
      <c r="AC58" s="19"/>
    </row>
    <row r="59" spans="1:29">
      <c r="B59" s="55" t="s">
        <v>37</v>
      </c>
      <c r="C59" s="21">
        <v>4063.05</v>
      </c>
      <c r="D59" s="21">
        <v>5568.53</v>
      </c>
      <c r="E59" s="21">
        <v>4284.03</v>
      </c>
      <c r="F59" s="19">
        <v>5806</v>
      </c>
      <c r="G59" s="19">
        <v>3145</v>
      </c>
      <c r="H59" s="19">
        <v>3343</v>
      </c>
      <c r="I59" s="19">
        <v>4508</v>
      </c>
      <c r="J59" s="19">
        <v>1655</v>
      </c>
      <c r="K59" s="19">
        <v>3356</v>
      </c>
      <c r="L59" s="19">
        <v>3614</v>
      </c>
      <c r="M59" s="19">
        <v>3303.6</v>
      </c>
      <c r="N59" s="19">
        <v>3329.48</v>
      </c>
      <c r="O59" s="103">
        <f t="shared" ref="O59:O65" si="21">SUM(C59:N59)</f>
        <v>45975.69</v>
      </c>
      <c r="P59" s="19"/>
      <c r="Q59" s="19"/>
      <c r="R59" s="19"/>
      <c r="S59" s="19"/>
      <c r="T59" s="19"/>
      <c r="U59" s="19"/>
      <c r="V59" s="19"/>
      <c r="W59" s="19"/>
      <c r="X59" s="19"/>
      <c r="Y59" s="19"/>
      <c r="Z59" s="19"/>
      <c r="AA59" s="19"/>
      <c r="AB59" s="19"/>
      <c r="AC59" s="19"/>
    </row>
    <row r="60" spans="1:29">
      <c r="B60" s="55" t="s">
        <v>38</v>
      </c>
      <c r="F60" s="19">
        <v>2660</v>
      </c>
      <c r="G60" s="19">
        <v>8475</v>
      </c>
      <c r="H60" s="19">
        <v>7212</v>
      </c>
      <c r="I60" s="19">
        <v>297</v>
      </c>
      <c r="J60" s="19">
        <v>356</v>
      </c>
      <c r="K60" s="19"/>
      <c r="L60" s="19"/>
      <c r="M60" s="19"/>
      <c r="N60" s="19"/>
      <c r="O60" s="103">
        <f t="shared" si="21"/>
        <v>19000</v>
      </c>
      <c r="P60" s="19"/>
      <c r="Q60" s="19"/>
      <c r="R60" s="19"/>
      <c r="S60" s="19"/>
      <c r="T60" s="19"/>
      <c r="U60" s="19"/>
      <c r="V60" s="19"/>
      <c r="W60" s="19"/>
      <c r="X60" s="19"/>
      <c r="Y60" s="19"/>
      <c r="Z60" s="19"/>
      <c r="AA60" s="19"/>
      <c r="AB60" s="19"/>
      <c r="AC60" s="19"/>
    </row>
    <row r="61" spans="1:29">
      <c r="B61" s="55" t="s">
        <v>242</v>
      </c>
      <c r="F61" s="19"/>
      <c r="G61" s="19"/>
      <c r="H61" s="19"/>
      <c r="I61" s="19"/>
      <c r="J61" s="19"/>
      <c r="K61" s="19"/>
      <c r="L61" s="19"/>
      <c r="M61" s="19"/>
      <c r="N61" s="19"/>
      <c r="O61" s="103">
        <f t="shared" si="21"/>
        <v>0</v>
      </c>
      <c r="P61" s="19"/>
      <c r="Q61" s="19"/>
      <c r="R61" s="19"/>
      <c r="S61" s="19"/>
      <c r="T61" s="19"/>
      <c r="U61" s="19"/>
      <c r="V61" s="19"/>
      <c r="W61" s="19"/>
      <c r="X61" s="19"/>
      <c r="Y61" s="19"/>
      <c r="Z61" s="19"/>
      <c r="AA61" s="19"/>
      <c r="AB61" s="19"/>
      <c r="AC61" s="19"/>
    </row>
    <row r="62" spans="1:29">
      <c r="B62" s="55" t="s">
        <v>40</v>
      </c>
      <c r="F62" s="19"/>
      <c r="G62" s="19"/>
      <c r="H62" s="19"/>
      <c r="I62" s="19"/>
      <c r="J62" s="19"/>
      <c r="K62" s="19"/>
      <c r="L62" s="19"/>
      <c r="M62" s="19"/>
      <c r="N62" s="19"/>
      <c r="O62" s="103">
        <f t="shared" si="21"/>
        <v>0</v>
      </c>
      <c r="P62" s="19"/>
      <c r="Q62" s="19"/>
      <c r="R62" s="19"/>
      <c r="S62" s="19"/>
      <c r="T62" s="19"/>
      <c r="U62" s="19"/>
      <c r="V62" s="19"/>
      <c r="W62" s="19"/>
      <c r="X62" s="19"/>
      <c r="Y62" s="19"/>
      <c r="Z62" s="19"/>
      <c r="AA62" s="19"/>
      <c r="AB62" s="19"/>
      <c r="AC62" s="19"/>
    </row>
    <row r="63" spans="1:29">
      <c r="B63" s="55" t="s">
        <v>41</v>
      </c>
      <c r="F63" s="19"/>
      <c r="G63" s="19"/>
      <c r="H63" s="19"/>
      <c r="I63" s="19"/>
      <c r="J63" s="19"/>
      <c r="K63" s="19"/>
      <c r="L63" s="19"/>
      <c r="M63" s="19"/>
      <c r="N63" s="19"/>
      <c r="O63" s="103">
        <f t="shared" si="21"/>
        <v>0</v>
      </c>
      <c r="P63" s="19"/>
      <c r="Q63" s="19"/>
      <c r="R63" s="19"/>
      <c r="S63" s="19"/>
      <c r="T63" s="19"/>
      <c r="U63" s="19"/>
      <c r="V63" s="19"/>
      <c r="W63" s="19"/>
      <c r="X63" s="19"/>
      <c r="Y63" s="19"/>
      <c r="Z63" s="19"/>
      <c r="AA63" s="19"/>
      <c r="AB63" s="19"/>
      <c r="AC63" s="19"/>
    </row>
    <row r="64" spans="1:29">
      <c r="B64" s="55" t="s">
        <v>42</v>
      </c>
      <c r="F64" s="19"/>
      <c r="G64" s="19"/>
      <c r="H64" s="19"/>
      <c r="I64" s="19"/>
      <c r="J64" s="19"/>
      <c r="K64" s="19"/>
      <c r="L64" s="19"/>
      <c r="M64" s="19"/>
      <c r="N64" s="19"/>
      <c r="O64" s="103">
        <f t="shared" si="21"/>
        <v>0</v>
      </c>
      <c r="P64" s="19"/>
      <c r="Q64" s="19"/>
      <c r="R64" s="19"/>
      <c r="S64" s="19"/>
      <c r="T64" s="19"/>
      <c r="U64" s="19"/>
      <c r="V64" s="19"/>
      <c r="W64" s="19"/>
      <c r="X64" s="19"/>
      <c r="Y64" s="19"/>
      <c r="Z64" s="19"/>
      <c r="AA64" s="19"/>
      <c r="AB64" s="19"/>
      <c r="AC64" s="19"/>
    </row>
    <row r="65" spans="1:29">
      <c r="B65" s="55" t="s">
        <v>43</v>
      </c>
      <c r="F65" s="19">
        <v>236</v>
      </c>
      <c r="G65" s="19">
        <v>460</v>
      </c>
      <c r="H65" s="19">
        <v>632</v>
      </c>
      <c r="I65" s="19">
        <v>-158</v>
      </c>
      <c r="J65" s="19"/>
      <c r="K65" s="19"/>
      <c r="L65" s="19"/>
      <c r="M65" s="19"/>
      <c r="N65" s="19"/>
      <c r="O65" s="103">
        <f t="shared" si="21"/>
        <v>1170</v>
      </c>
      <c r="P65" s="19"/>
      <c r="Q65" s="19"/>
      <c r="R65" s="19"/>
      <c r="S65" s="19"/>
      <c r="T65" s="19"/>
      <c r="U65" s="19"/>
      <c r="V65" s="19"/>
      <c r="W65" s="19"/>
      <c r="X65" s="19"/>
      <c r="Y65" s="19"/>
      <c r="Z65" s="19"/>
      <c r="AA65" s="19"/>
      <c r="AB65" s="19"/>
      <c r="AC65" s="19"/>
    </row>
    <row r="66" spans="1:29">
      <c r="A66" t="s">
        <v>130</v>
      </c>
      <c r="B66" s="54" t="s">
        <v>46</v>
      </c>
      <c r="C66" s="20">
        <f t="shared" ref="C66:O66" si="22">SUM(C59:C65)</f>
        <v>4063.05</v>
      </c>
      <c r="D66" s="20">
        <f t="shared" si="22"/>
        <v>5568.53</v>
      </c>
      <c r="E66" s="20">
        <f t="shared" si="22"/>
        <v>4284.03</v>
      </c>
      <c r="F66" s="20">
        <f t="shared" si="22"/>
        <v>8702</v>
      </c>
      <c r="G66" s="20">
        <f t="shared" si="22"/>
        <v>12080</v>
      </c>
      <c r="H66" s="20">
        <f t="shared" si="22"/>
        <v>11187</v>
      </c>
      <c r="I66" s="20">
        <f t="shared" si="22"/>
        <v>4647</v>
      </c>
      <c r="J66" s="20">
        <f t="shared" si="22"/>
        <v>2011</v>
      </c>
      <c r="K66" s="20">
        <f t="shared" si="22"/>
        <v>3356</v>
      </c>
      <c r="L66" s="20">
        <f t="shared" si="22"/>
        <v>3614</v>
      </c>
      <c r="M66" s="20">
        <f t="shared" si="22"/>
        <v>3303.6</v>
      </c>
      <c r="N66" s="20">
        <f t="shared" si="22"/>
        <v>3329.48</v>
      </c>
      <c r="O66" s="104">
        <f t="shared" si="22"/>
        <v>66145.69</v>
      </c>
      <c r="P66" s="19"/>
      <c r="Q66" s="19"/>
      <c r="R66" s="19"/>
      <c r="S66" s="19"/>
      <c r="T66" s="19"/>
      <c r="U66" s="19"/>
      <c r="V66" s="19"/>
      <c r="W66" s="19"/>
      <c r="X66" s="19"/>
      <c r="Y66" s="19"/>
      <c r="Z66" s="19"/>
      <c r="AA66" s="19"/>
      <c r="AB66" s="19"/>
      <c r="AC66" s="19"/>
    </row>
    <row r="67" spans="1:29">
      <c r="B67" s="54"/>
      <c r="F67" s="19"/>
      <c r="G67" s="19"/>
      <c r="H67" s="19"/>
      <c r="I67" s="19"/>
      <c r="J67" s="19"/>
      <c r="K67" s="19"/>
      <c r="L67" s="19"/>
      <c r="M67" s="19"/>
      <c r="N67" s="19"/>
      <c r="O67" s="107"/>
      <c r="P67" s="19"/>
      <c r="Q67" s="19"/>
      <c r="R67" s="19"/>
      <c r="S67" s="19"/>
      <c r="T67" s="19"/>
      <c r="U67" s="19"/>
      <c r="V67" s="19"/>
      <c r="W67" s="19"/>
      <c r="X67" s="19"/>
      <c r="Y67" s="19"/>
      <c r="Z67" s="19"/>
      <c r="AA67" s="19"/>
      <c r="AB67" s="19"/>
      <c r="AC67" s="19"/>
    </row>
    <row r="68" spans="1:29" ht="15.75" thickBot="1">
      <c r="A68" t="s">
        <v>131</v>
      </c>
      <c r="B68" s="54" t="s">
        <v>124</v>
      </c>
      <c r="C68" s="62">
        <f>C66+C56+C46</f>
        <v>527525.45000000007</v>
      </c>
      <c r="D68" s="62">
        <f t="shared" ref="D68:O68" si="23">D66+D56+D46</f>
        <v>621921.42000000004</v>
      </c>
      <c r="E68" s="62">
        <f t="shared" si="23"/>
        <v>557057.78</v>
      </c>
      <c r="F68" s="22">
        <f t="shared" si="23"/>
        <v>457652</v>
      </c>
      <c r="G68" s="22">
        <f t="shared" si="23"/>
        <v>246583</v>
      </c>
      <c r="H68" s="22">
        <f t="shared" si="23"/>
        <v>400272</v>
      </c>
      <c r="I68" s="22">
        <f t="shared" si="23"/>
        <v>501125</v>
      </c>
      <c r="J68" s="22">
        <f t="shared" si="23"/>
        <v>266056</v>
      </c>
      <c r="K68" s="22">
        <f t="shared" si="23"/>
        <v>326060</v>
      </c>
      <c r="L68" s="22">
        <f t="shared" si="23"/>
        <v>334899</v>
      </c>
      <c r="M68" s="22">
        <f t="shared" si="23"/>
        <v>591344.4</v>
      </c>
      <c r="N68" s="22">
        <f t="shared" si="23"/>
        <v>705734.57</v>
      </c>
      <c r="O68" s="106">
        <f t="shared" si="23"/>
        <v>5536230.6200000001</v>
      </c>
      <c r="P68" s="19"/>
      <c r="Q68" s="19"/>
      <c r="R68" s="19"/>
      <c r="S68" s="19"/>
      <c r="T68" s="19"/>
      <c r="U68" s="19"/>
      <c r="V68" s="19"/>
      <c r="W68" s="19"/>
      <c r="X68" s="19"/>
      <c r="Y68" s="19"/>
      <c r="Z68" s="19"/>
      <c r="AA68" s="19"/>
      <c r="AB68" s="19"/>
      <c r="AC68" s="19"/>
    </row>
    <row r="69" spans="1:29" ht="15.75" thickTop="1">
      <c r="B69" s="56"/>
      <c r="F69" s="19"/>
      <c r="G69" s="19"/>
      <c r="H69" s="19"/>
      <c r="I69" s="19"/>
      <c r="J69" s="19"/>
      <c r="K69" s="19"/>
      <c r="L69" s="19"/>
      <c r="M69" s="19"/>
      <c r="N69" s="19"/>
      <c r="O69" s="107"/>
      <c r="P69" s="19"/>
      <c r="Q69" s="19"/>
      <c r="R69" s="19"/>
      <c r="S69" s="19"/>
      <c r="T69" s="19"/>
      <c r="U69" s="19"/>
      <c r="V69" s="19"/>
      <c r="W69" s="19"/>
      <c r="X69" s="19"/>
      <c r="Y69" s="19"/>
      <c r="Z69" s="19"/>
      <c r="AA69" s="19"/>
      <c r="AB69" s="19"/>
      <c r="AC69" s="19"/>
    </row>
    <row r="70" spans="1:29">
      <c r="B70" s="57" t="s">
        <v>47</v>
      </c>
      <c r="F70" s="19"/>
      <c r="G70" s="19"/>
      <c r="H70" s="19"/>
      <c r="I70" s="19"/>
      <c r="J70" s="19"/>
      <c r="K70" s="19"/>
      <c r="L70" s="19"/>
      <c r="M70" s="19"/>
      <c r="N70" s="19"/>
      <c r="O70" s="107"/>
      <c r="P70" s="19"/>
      <c r="Q70" s="19"/>
      <c r="R70" s="19"/>
      <c r="S70" s="19"/>
      <c r="T70" s="19"/>
      <c r="U70" s="19"/>
      <c r="V70" s="19"/>
      <c r="W70" s="19"/>
      <c r="X70" s="19"/>
      <c r="Y70" s="19"/>
      <c r="Z70" s="19"/>
      <c r="AA70" s="19"/>
      <c r="AB70" s="19"/>
      <c r="AC70" s="19"/>
    </row>
    <row r="71" spans="1:29">
      <c r="B71" s="57" t="s">
        <v>125</v>
      </c>
      <c r="F71" s="19"/>
      <c r="G71" s="19"/>
      <c r="H71" s="19"/>
      <c r="I71" s="19"/>
      <c r="J71" s="19"/>
      <c r="K71" s="19"/>
      <c r="L71" s="19"/>
      <c r="M71" s="19"/>
      <c r="N71" s="19"/>
      <c r="O71" s="107"/>
      <c r="P71" s="19"/>
      <c r="Q71" s="19"/>
      <c r="R71" s="19"/>
      <c r="S71" s="19"/>
      <c r="T71" s="19"/>
      <c r="U71" s="19"/>
      <c r="V71" s="19"/>
      <c r="W71" s="19"/>
      <c r="X71" s="19"/>
      <c r="Y71" s="19"/>
      <c r="Z71" s="19"/>
      <c r="AA71" s="19"/>
      <c r="AB71" s="19"/>
      <c r="AC71" s="19"/>
    </row>
    <row r="72" spans="1:29">
      <c r="B72" s="58" t="s">
        <v>37</v>
      </c>
      <c r="C72" s="21">
        <f>C7-C39</f>
        <v>-31642.666666666657</v>
      </c>
      <c r="D72" s="21">
        <f t="shared" ref="D72:E72" si="24">D7-D39</f>
        <v>-102511.16666666666</v>
      </c>
      <c r="E72" s="21">
        <f t="shared" si="24"/>
        <v>-85195.666666666657</v>
      </c>
      <c r="F72" s="21">
        <f t="shared" ref="F72:G72" si="25">F7-F39</f>
        <v>-58878.666666666657</v>
      </c>
      <c r="G72" s="21">
        <f t="shared" si="25"/>
        <v>126053.33333333334</v>
      </c>
      <c r="H72" s="21">
        <f t="shared" ref="H72:I72" si="26">H7-H39</f>
        <v>85078.333333333343</v>
      </c>
      <c r="I72" s="21">
        <f t="shared" si="26"/>
        <v>-83150.666666666657</v>
      </c>
      <c r="J72" s="21">
        <f t="shared" ref="J72:K72" si="27">J7-J39</f>
        <v>106589.33333333334</v>
      </c>
      <c r="K72" s="21">
        <f t="shared" si="27"/>
        <v>62070.333333333343</v>
      </c>
      <c r="L72" s="21">
        <f t="shared" ref="L72:N72" si="28">L7-L39</f>
        <v>100439.33333333334</v>
      </c>
      <c r="M72" s="21">
        <f t="shared" si="28"/>
        <v>85209.333333333343</v>
      </c>
      <c r="N72" s="21">
        <f t="shared" si="28"/>
        <v>-33617.666666666657</v>
      </c>
      <c r="O72" s="103">
        <f t="shared" ref="O72:O78" si="29">SUM(C72:N72)</f>
        <v>170443.50000000012</v>
      </c>
      <c r="P72" s="19"/>
      <c r="Q72" s="19"/>
      <c r="R72" s="19"/>
      <c r="S72" s="19"/>
      <c r="T72" s="19"/>
      <c r="U72" s="19"/>
      <c r="V72" s="19"/>
      <c r="W72" s="19"/>
      <c r="X72" s="19"/>
      <c r="Y72" s="19"/>
      <c r="Z72" s="19"/>
      <c r="AA72" s="19"/>
      <c r="AB72" s="19"/>
      <c r="AC72" s="19"/>
    </row>
    <row r="73" spans="1:29">
      <c r="B73" s="58" t="s">
        <v>38</v>
      </c>
      <c r="C73" s="21">
        <f t="shared" ref="C73:E79" si="30">C8-C40</f>
        <v>-70732.426666666666</v>
      </c>
      <c r="D73" s="21">
        <f t="shared" si="30"/>
        <v>-112003.29666666666</v>
      </c>
      <c r="E73" s="21">
        <f t="shared" si="30"/>
        <v>8035.3233333333337</v>
      </c>
      <c r="F73" s="21">
        <f t="shared" ref="F73:G73" si="31">F8-F40</f>
        <v>-4567.416666666657</v>
      </c>
      <c r="G73" s="21">
        <f t="shared" si="31"/>
        <v>17902.583333333343</v>
      </c>
      <c r="H73" s="21">
        <f t="shared" ref="H73:I73" si="32">H8-H40</f>
        <v>-20186.416666666657</v>
      </c>
      <c r="I73" s="21">
        <f t="shared" si="32"/>
        <v>-8001.416666666657</v>
      </c>
      <c r="J73" s="21">
        <f t="shared" ref="J73:K73" si="33">J8-J40</f>
        <v>38519.583333333343</v>
      </c>
      <c r="K73" s="21">
        <f t="shared" si="33"/>
        <v>46605.583333333343</v>
      </c>
      <c r="L73" s="21">
        <f t="shared" ref="L73:N73" si="34">L8-L40</f>
        <v>-39424.416666666657</v>
      </c>
      <c r="M73" s="21">
        <f t="shared" si="34"/>
        <v>-145747.35666666666</v>
      </c>
      <c r="N73" s="21">
        <f t="shared" si="34"/>
        <v>-120019.14666666664</v>
      </c>
      <c r="O73" s="103">
        <f t="shared" si="29"/>
        <v>-409618.81999999983</v>
      </c>
      <c r="P73" s="19"/>
      <c r="Q73" s="19"/>
      <c r="R73" s="19"/>
      <c r="S73" s="19"/>
      <c r="T73" s="19"/>
      <c r="U73" s="19"/>
      <c r="V73" s="19"/>
      <c r="W73" s="19"/>
      <c r="X73" s="19"/>
      <c r="Y73" s="19"/>
      <c r="Z73" s="19"/>
      <c r="AA73" s="19"/>
      <c r="AB73" s="19"/>
      <c r="AC73" s="19"/>
    </row>
    <row r="74" spans="1:29">
      <c r="B74" s="58" t="s">
        <v>242</v>
      </c>
      <c r="C74" s="21">
        <f t="shared" si="30"/>
        <v>30550.993333333336</v>
      </c>
      <c r="D74" s="21">
        <f t="shared" si="30"/>
        <v>45482.67333333334</v>
      </c>
      <c r="E74" s="21">
        <f t="shared" si="30"/>
        <v>-31256.826666666668</v>
      </c>
      <c r="F74" s="21">
        <f t="shared" ref="F74:G74" si="35">F9-F41</f>
        <v>44603.333333333336</v>
      </c>
      <c r="G74" s="21">
        <f t="shared" si="35"/>
        <v>46868.333333333336</v>
      </c>
      <c r="H74" s="21">
        <f t="shared" ref="H74:I74" si="36">H9-H41</f>
        <v>-17375.666666666664</v>
      </c>
      <c r="I74" s="21">
        <f t="shared" si="36"/>
        <v>48795.333333333336</v>
      </c>
      <c r="J74" s="21">
        <f t="shared" ref="J74:K74" si="37">J9-J41</f>
        <v>16449.333333333336</v>
      </c>
      <c r="K74" s="21">
        <f t="shared" si="37"/>
        <v>14808.333333333336</v>
      </c>
      <c r="L74" s="21">
        <f t="shared" ref="L74:N74" si="38">L9-L41</f>
        <v>40183.333333333336</v>
      </c>
      <c r="M74" s="21">
        <f t="shared" si="38"/>
        <v>23959.213333333337</v>
      </c>
      <c r="N74" s="21">
        <f t="shared" si="38"/>
        <v>-68489.136666666658</v>
      </c>
      <c r="O74" s="103">
        <f t="shared" si="29"/>
        <v>194579.25000000006</v>
      </c>
      <c r="P74" s="19"/>
      <c r="Q74" s="19"/>
      <c r="R74" s="19"/>
      <c r="S74" s="19"/>
      <c r="T74" s="19"/>
      <c r="U74" s="19"/>
      <c r="V74" s="19"/>
      <c r="W74" s="19"/>
      <c r="X74" s="19"/>
      <c r="Y74" s="19"/>
      <c r="Z74" s="19"/>
      <c r="AA74" s="19"/>
      <c r="AB74" s="19"/>
      <c r="AC74" s="19"/>
    </row>
    <row r="75" spans="1:29" hidden="1">
      <c r="B75" s="58" t="s">
        <v>40</v>
      </c>
      <c r="C75" s="21">
        <f t="shared" si="30"/>
        <v>0</v>
      </c>
      <c r="D75" s="21">
        <f t="shared" si="30"/>
        <v>0</v>
      </c>
      <c r="E75" s="21">
        <f t="shared" si="30"/>
        <v>0</v>
      </c>
      <c r="F75" s="21">
        <f t="shared" ref="F75:G75" si="39">F10-F42</f>
        <v>0</v>
      </c>
      <c r="G75" s="21">
        <f t="shared" si="39"/>
        <v>0</v>
      </c>
      <c r="H75" s="21">
        <f t="shared" ref="H75:I75" si="40">H10-H42</f>
        <v>0</v>
      </c>
      <c r="I75" s="21">
        <f t="shared" si="40"/>
        <v>0</v>
      </c>
      <c r="J75" s="21">
        <f t="shared" ref="J75:K75" si="41">J10-J42</f>
        <v>0</v>
      </c>
      <c r="K75" s="21">
        <f t="shared" si="41"/>
        <v>0</v>
      </c>
      <c r="L75" s="21">
        <f t="shared" ref="L75:N75" si="42">L10-L42</f>
        <v>0</v>
      </c>
      <c r="M75" s="21">
        <f t="shared" si="42"/>
        <v>0</v>
      </c>
      <c r="N75" s="21">
        <f t="shared" si="42"/>
        <v>0</v>
      </c>
      <c r="O75" s="103">
        <f t="shared" si="29"/>
        <v>0</v>
      </c>
      <c r="P75" s="19"/>
      <c r="Q75" s="19"/>
      <c r="R75" s="19"/>
      <c r="S75" s="19"/>
      <c r="T75" s="19"/>
      <c r="U75" s="19"/>
      <c r="V75" s="19"/>
      <c r="W75" s="19"/>
      <c r="X75" s="19"/>
      <c r="Y75" s="19"/>
      <c r="Z75" s="19"/>
      <c r="AA75" s="19"/>
      <c r="AB75" s="19"/>
      <c r="AC75" s="19"/>
    </row>
    <row r="76" spans="1:29" hidden="1">
      <c r="B76" s="58" t="s">
        <v>41</v>
      </c>
      <c r="C76" s="21">
        <f t="shared" si="30"/>
        <v>0</v>
      </c>
      <c r="D76" s="21">
        <f t="shared" si="30"/>
        <v>0</v>
      </c>
      <c r="E76" s="21">
        <f t="shared" si="30"/>
        <v>0</v>
      </c>
      <c r="F76" s="21">
        <f t="shared" ref="F76:G76" si="43">F11-F43</f>
        <v>0</v>
      </c>
      <c r="G76" s="21">
        <f t="shared" si="43"/>
        <v>0</v>
      </c>
      <c r="H76" s="21">
        <f t="shared" ref="H76:I76" si="44">H11-H43</f>
        <v>0</v>
      </c>
      <c r="I76" s="21">
        <f t="shared" si="44"/>
        <v>0</v>
      </c>
      <c r="J76" s="21">
        <f t="shared" ref="J76:K76" si="45">J11-J43</f>
        <v>0</v>
      </c>
      <c r="K76" s="21">
        <f t="shared" si="45"/>
        <v>0</v>
      </c>
      <c r="L76" s="21">
        <f t="shared" ref="L76:N76" si="46">L11-L43</f>
        <v>0</v>
      </c>
      <c r="M76" s="21">
        <f t="shared" si="46"/>
        <v>0</v>
      </c>
      <c r="N76" s="21">
        <f t="shared" si="46"/>
        <v>0</v>
      </c>
      <c r="O76" s="103">
        <f t="shared" si="29"/>
        <v>0</v>
      </c>
      <c r="P76" s="19"/>
      <c r="Q76" s="19"/>
      <c r="R76" s="19"/>
      <c r="S76" s="19"/>
      <c r="T76" s="19"/>
      <c r="U76" s="19"/>
      <c r="V76" s="19"/>
      <c r="W76" s="19"/>
      <c r="X76" s="19"/>
      <c r="Y76" s="19"/>
      <c r="Z76" s="19"/>
      <c r="AA76" s="19"/>
      <c r="AB76" s="19"/>
      <c r="AC76" s="19"/>
    </row>
    <row r="77" spans="1:29" hidden="1">
      <c r="B77" s="58" t="s">
        <v>42</v>
      </c>
      <c r="C77" s="21">
        <f t="shared" si="30"/>
        <v>0</v>
      </c>
      <c r="D77" s="21">
        <f t="shared" si="30"/>
        <v>0</v>
      </c>
      <c r="E77" s="21">
        <f t="shared" si="30"/>
        <v>0</v>
      </c>
      <c r="F77" s="21">
        <f t="shared" ref="F77:G77" si="47">F12-F44</f>
        <v>0</v>
      </c>
      <c r="G77" s="21">
        <f t="shared" si="47"/>
        <v>0</v>
      </c>
      <c r="H77" s="21">
        <f t="shared" ref="H77:I77" si="48">H12-H44</f>
        <v>0</v>
      </c>
      <c r="I77" s="21">
        <f t="shared" si="48"/>
        <v>0</v>
      </c>
      <c r="J77" s="21">
        <f t="shared" ref="J77:K77" si="49">J12-J44</f>
        <v>0</v>
      </c>
      <c r="K77" s="21">
        <f t="shared" si="49"/>
        <v>0</v>
      </c>
      <c r="L77" s="21">
        <f t="shared" ref="L77:N77" si="50">L12-L44</f>
        <v>0</v>
      </c>
      <c r="M77" s="21">
        <f t="shared" si="50"/>
        <v>0</v>
      </c>
      <c r="N77" s="21">
        <f t="shared" si="50"/>
        <v>0</v>
      </c>
      <c r="O77" s="103">
        <f t="shared" si="29"/>
        <v>0</v>
      </c>
      <c r="P77" s="19"/>
      <c r="Q77" s="19"/>
      <c r="R77" s="19"/>
      <c r="S77" s="19"/>
      <c r="T77" s="19"/>
      <c r="U77" s="19"/>
      <c r="V77" s="19"/>
      <c r="W77" s="19"/>
      <c r="X77" s="19"/>
      <c r="Y77" s="19"/>
      <c r="Z77" s="19"/>
      <c r="AA77" s="19"/>
      <c r="AB77" s="19"/>
      <c r="AC77" s="19"/>
    </row>
    <row r="78" spans="1:29" hidden="1">
      <c r="B78" s="58" t="s">
        <v>43</v>
      </c>
      <c r="C78" s="21">
        <f t="shared" si="30"/>
        <v>0</v>
      </c>
      <c r="D78" s="21">
        <f t="shared" si="30"/>
        <v>0</v>
      </c>
      <c r="E78" s="21">
        <f t="shared" si="30"/>
        <v>0</v>
      </c>
      <c r="F78" s="21">
        <f t="shared" ref="F78:G78" si="51">F13-F45</f>
        <v>0</v>
      </c>
      <c r="G78" s="21">
        <f t="shared" si="51"/>
        <v>0</v>
      </c>
      <c r="H78" s="21">
        <f t="shared" ref="H78:I78" si="52">H13-H45</f>
        <v>0</v>
      </c>
      <c r="I78" s="21">
        <f t="shared" si="52"/>
        <v>0</v>
      </c>
      <c r="J78" s="21">
        <f t="shared" ref="J78:K78" si="53">J13-J45</f>
        <v>0</v>
      </c>
      <c r="K78" s="21">
        <f t="shared" si="53"/>
        <v>0</v>
      </c>
      <c r="L78" s="21">
        <f t="shared" ref="L78:N78" si="54">L13-L45</f>
        <v>0</v>
      </c>
      <c r="M78" s="21">
        <f t="shared" si="54"/>
        <v>0</v>
      </c>
      <c r="N78" s="21">
        <f t="shared" si="54"/>
        <v>0</v>
      </c>
      <c r="O78" s="103">
        <f t="shared" si="29"/>
        <v>0</v>
      </c>
      <c r="P78" s="19"/>
      <c r="Q78" s="19"/>
      <c r="R78" s="19"/>
      <c r="S78" s="19"/>
      <c r="T78" s="19"/>
      <c r="U78" s="19"/>
      <c r="V78" s="19"/>
      <c r="W78" s="19"/>
      <c r="X78" s="19"/>
      <c r="Y78" s="19"/>
      <c r="Z78" s="19"/>
      <c r="AA78" s="19"/>
      <c r="AB78" s="19"/>
      <c r="AC78" s="19"/>
    </row>
    <row r="79" spans="1:29">
      <c r="A79" t="s">
        <v>132</v>
      </c>
      <c r="B79" s="57" t="s">
        <v>48</v>
      </c>
      <c r="C79" s="20">
        <f t="shared" si="30"/>
        <v>-71824.100000000035</v>
      </c>
      <c r="D79" s="20">
        <f t="shared" si="30"/>
        <v>-169031.79000000004</v>
      </c>
      <c r="E79" s="20">
        <f t="shared" si="30"/>
        <v>-108417.17000000004</v>
      </c>
      <c r="F79" s="20">
        <f t="shared" ref="F79:G79" si="55">F14-F46</f>
        <v>-18842.75</v>
      </c>
      <c r="G79" s="20">
        <f t="shared" si="55"/>
        <v>190824.25</v>
      </c>
      <c r="H79" s="20">
        <f t="shared" ref="H79:I79" si="56">H14-H46</f>
        <v>47516.25</v>
      </c>
      <c r="I79" s="20">
        <f t="shared" si="56"/>
        <v>-42356.75</v>
      </c>
      <c r="J79" s="20">
        <f t="shared" ref="J79:K79" si="57">J14-J46</f>
        <v>161558.25</v>
      </c>
      <c r="K79" s="20">
        <f t="shared" si="57"/>
        <v>123484.25</v>
      </c>
      <c r="L79" s="20">
        <f t="shared" ref="L79:N79" si="58">L14-L46</f>
        <v>101198.25</v>
      </c>
      <c r="M79" s="20">
        <f t="shared" si="58"/>
        <v>-36578.81</v>
      </c>
      <c r="N79" s="20">
        <f t="shared" si="58"/>
        <v>-222125.94999999995</v>
      </c>
      <c r="O79" s="104">
        <f t="shared" ref="O79" si="59">SUM(O72:O78)</f>
        <v>-44596.069999999658</v>
      </c>
      <c r="P79" s="19"/>
      <c r="Q79" s="19"/>
      <c r="R79" s="19"/>
      <c r="S79" s="19"/>
      <c r="T79" s="19"/>
      <c r="U79" s="19"/>
      <c r="V79" s="19"/>
      <c r="W79" s="19"/>
      <c r="X79" s="19"/>
      <c r="Y79" s="19"/>
      <c r="Z79" s="19"/>
      <c r="AA79" s="19"/>
      <c r="AB79" s="19"/>
      <c r="AC79" s="19"/>
    </row>
    <row r="80" spans="1:29">
      <c r="B80" s="57"/>
      <c r="F80" s="21"/>
      <c r="G80" s="21"/>
      <c r="H80" s="21"/>
      <c r="I80" s="21"/>
      <c r="J80" s="21"/>
      <c r="K80" s="21"/>
      <c r="L80" s="21"/>
      <c r="M80" s="21"/>
      <c r="N80" s="21"/>
      <c r="O80" s="107"/>
      <c r="P80" s="19"/>
      <c r="Q80" s="19"/>
      <c r="R80" s="19"/>
      <c r="S80" s="19"/>
      <c r="T80" s="19"/>
      <c r="U80" s="19"/>
      <c r="V80" s="19"/>
      <c r="W80" s="19"/>
      <c r="X80" s="19"/>
      <c r="Y80" s="19"/>
      <c r="Z80" s="19"/>
      <c r="AA80" s="19"/>
      <c r="AB80" s="19"/>
      <c r="AC80" s="19"/>
    </row>
    <row r="81" spans="1:29">
      <c r="B81" s="57" t="s">
        <v>126</v>
      </c>
      <c r="F81" s="21"/>
      <c r="G81" s="21"/>
      <c r="H81" s="21"/>
      <c r="I81" s="21"/>
      <c r="J81" s="21"/>
      <c r="K81" s="21"/>
      <c r="L81" s="21"/>
      <c r="M81" s="21"/>
      <c r="N81" s="21"/>
      <c r="O81" s="103"/>
      <c r="P81" s="19"/>
      <c r="Q81" s="19"/>
      <c r="R81" s="19"/>
      <c r="S81" s="19"/>
      <c r="T81" s="19"/>
      <c r="U81" s="19"/>
      <c r="V81" s="19"/>
      <c r="W81" s="19"/>
      <c r="X81" s="19"/>
      <c r="Y81" s="19"/>
      <c r="Z81" s="19"/>
      <c r="AA81" s="19"/>
      <c r="AB81" s="19"/>
      <c r="AC81" s="19"/>
    </row>
    <row r="82" spans="1:29">
      <c r="B82" s="58" t="s">
        <v>37</v>
      </c>
      <c r="C82" s="21">
        <f t="shared" ref="C82:E89" si="60">C17-C49</f>
        <v>-9597.3666666666668</v>
      </c>
      <c r="D82" s="21">
        <f t="shared" si="60"/>
        <v>-3523.6466666666661</v>
      </c>
      <c r="E82" s="21">
        <f t="shared" si="60"/>
        <v>-3731.4666666666667</v>
      </c>
      <c r="F82" s="21">
        <f t="shared" ref="F82:G82" si="61">F17-F49</f>
        <v>-5086.416666666667</v>
      </c>
      <c r="G82" s="21">
        <f t="shared" si="61"/>
        <v>-2408.4166666666665</v>
      </c>
      <c r="H82" s="21">
        <f t="shared" ref="H82:I82" si="62">H17-H49</f>
        <v>-8037.416666666667</v>
      </c>
      <c r="I82" s="21">
        <f t="shared" si="62"/>
        <v>-4187.416666666667</v>
      </c>
      <c r="J82" s="21">
        <f t="shared" ref="J82:K82" si="63">J17-J49</f>
        <v>-2674.4166666666665</v>
      </c>
      <c r="K82" s="21">
        <f t="shared" si="63"/>
        <v>-4461.416666666667</v>
      </c>
      <c r="L82" s="21">
        <f t="shared" ref="L82:N82" si="64">L17-L49</f>
        <v>-3661.4166666666665</v>
      </c>
      <c r="M82" s="21">
        <f t="shared" si="64"/>
        <v>-3127.9266666666667</v>
      </c>
      <c r="N82" s="21">
        <f t="shared" si="64"/>
        <v>-5637.7866666666669</v>
      </c>
      <c r="O82" s="103">
        <f t="shared" ref="O82:O88" si="65">SUM(C82:N82)</f>
        <v>-56135.109999999993</v>
      </c>
      <c r="P82" s="19"/>
      <c r="Q82" s="19"/>
      <c r="R82" s="19"/>
      <c r="S82" s="19"/>
      <c r="T82" s="19"/>
      <c r="U82" s="19"/>
      <c r="V82" s="19"/>
      <c r="W82" s="19"/>
      <c r="X82" s="19"/>
      <c r="Y82" s="19"/>
      <c r="Z82" s="19"/>
      <c r="AA82" s="19"/>
      <c r="AB82" s="19"/>
      <c r="AC82" s="19"/>
    </row>
    <row r="83" spans="1:29">
      <c r="B83" s="58" t="s">
        <v>38</v>
      </c>
      <c r="C83" s="21">
        <f t="shared" si="60"/>
        <v>-10696.863333333331</v>
      </c>
      <c r="D83" s="21">
        <f t="shared" si="60"/>
        <v>-12532.633333333331</v>
      </c>
      <c r="E83" s="21">
        <f t="shared" si="60"/>
        <v>-3454.1033333333335</v>
      </c>
      <c r="F83" s="21">
        <f t="shared" ref="F83:G83" si="66">F18-F50</f>
        <v>1262.416666666667</v>
      </c>
      <c r="G83" s="21">
        <f t="shared" si="66"/>
        <v>3547.416666666667</v>
      </c>
      <c r="H83" s="21">
        <f t="shared" ref="H83:I83" si="67">H18-H50</f>
        <v>3060.416666666667</v>
      </c>
      <c r="I83" s="21">
        <f t="shared" si="67"/>
        <v>-6797.583333333333</v>
      </c>
      <c r="J83" s="21">
        <f t="shared" ref="J83:K83" si="68">J18-J50</f>
        <v>5829.416666666667</v>
      </c>
      <c r="K83" s="21">
        <f t="shared" si="68"/>
        <v>-18014.583333333332</v>
      </c>
      <c r="L83" s="21">
        <f t="shared" ref="L83:N83" si="69">L18-L50</f>
        <v>-6977.583333333333</v>
      </c>
      <c r="M83" s="21">
        <f t="shared" si="69"/>
        <v>-118064.04333333332</v>
      </c>
      <c r="N83" s="21">
        <f t="shared" si="69"/>
        <v>-26364.013333333325</v>
      </c>
      <c r="O83" s="103">
        <f t="shared" si="65"/>
        <v>-189201.74</v>
      </c>
      <c r="P83" s="19"/>
      <c r="Q83" s="19"/>
      <c r="R83" s="19"/>
      <c r="S83" s="19"/>
      <c r="T83" s="19"/>
      <c r="U83" s="19"/>
      <c r="V83" s="19"/>
      <c r="W83" s="19"/>
      <c r="X83" s="19"/>
      <c r="Y83" s="19"/>
      <c r="Z83" s="19"/>
      <c r="AA83" s="19"/>
      <c r="AB83" s="19"/>
      <c r="AC83" s="19"/>
    </row>
    <row r="84" spans="1:29" hidden="1">
      <c r="B84" s="58" t="s">
        <v>39</v>
      </c>
      <c r="C84" s="21">
        <f t="shared" si="60"/>
        <v>-5810.97</v>
      </c>
      <c r="D84" s="21">
        <f t="shared" si="60"/>
        <v>-1987.46</v>
      </c>
      <c r="E84" s="21">
        <f t="shared" si="60"/>
        <v>-1939.32</v>
      </c>
      <c r="F84" s="21">
        <f t="shared" ref="F84:G84" si="70">F19-F51</f>
        <v>-1527</v>
      </c>
      <c r="G84" s="21">
        <f t="shared" si="70"/>
        <v>2370</v>
      </c>
      <c r="H84" s="21">
        <f t="shared" ref="H84:I84" si="71">H19-H51</f>
        <v>-1660</v>
      </c>
      <c r="I84" s="21">
        <f t="shared" si="71"/>
        <v>-1931</v>
      </c>
      <c r="J84" s="21">
        <f t="shared" ref="J84:K84" si="72">J19-J51</f>
        <v>-2367</v>
      </c>
      <c r="K84" s="21">
        <f t="shared" si="72"/>
        <v>-2141</v>
      </c>
      <c r="L84" s="21">
        <f t="shared" ref="L84:N84" si="73">L19-L51</f>
        <v>-1616</v>
      </c>
      <c r="M84" s="21">
        <f t="shared" si="73"/>
        <v>-1681.27</v>
      </c>
      <c r="N84" s="21">
        <f t="shared" si="73"/>
        <v>-13440.19</v>
      </c>
      <c r="O84" s="103">
        <f t="shared" si="65"/>
        <v>-33731.21</v>
      </c>
      <c r="P84" s="19"/>
      <c r="Q84" s="19"/>
      <c r="R84" s="19"/>
      <c r="S84" s="19"/>
      <c r="T84" s="19"/>
      <c r="U84" s="19"/>
      <c r="V84" s="19"/>
      <c r="W84" s="19"/>
      <c r="X84" s="19"/>
      <c r="Y84" s="19"/>
      <c r="Z84" s="19"/>
      <c r="AA84" s="19"/>
      <c r="AB84" s="19"/>
      <c r="AC84" s="19"/>
    </row>
    <row r="85" spans="1:29" hidden="1">
      <c r="B85" s="58" t="s">
        <v>40</v>
      </c>
      <c r="C85" s="21">
        <f t="shared" si="60"/>
        <v>0</v>
      </c>
      <c r="D85" s="21">
        <f t="shared" si="60"/>
        <v>0</v>
      </c>
      <c r="E85" s="21">
        <f t="shared" si="60"/>
        <v>0</v>
      </c>
      <c r="F85" s="21">
        <f t="shared" ref="F85:G85" si="74">F20-F52</f>
        <v>0</v>
      </c>
      <c r="G85" s="21">
        <f t="shared" si="74"/>
        <v>0</v>
      </c>
      <c r="H85" s="21">
        <f t="shared" ref="H85:I85" si="75">H20-H52</f>
        <v>0</v>
      </c>
      <c r="I85" s="21">
        <f t="shared" si="75"/>
        <v>0</v>
      </c>
      <c r="J85" s="21">
        <f t="shared" ref="J85:K85" si="76">J20-J52</f>
        <v>0</v>
      </c>
      <c r="K85" s="21">
        <f t="shared" si="76"/>
        <v>0</v>
      </c>
      <c r="L85" s="21">
        <f t="shared" ref="L85:N85" si="77">L20-L52</f>
        <v>0</v>
      </c>
      <c r="M85" s="21">
        <f t="shared" si="77"/>
        <v>0</v>
      </c>
      <c r="N85" s="21">
        <f t="shared" si="77"/>
        <v>0</v>
      </c>
      <c r="O85" s="103">
        <f t="shared" si="65"/>
        <v>0</v>
      </c>
      <c r="P85" s="19"/>
      <c r="Q85" s="19"/>
      <c r="R85" s="19"/>
      <c r="S85" s="19"/>
      <c r="T85" s="19"/>
      <c r="U85" s="19"/>
      <c r="V85" s="19"/>
      <c r="W85" s="19"/>
      <c r="X85" s="19"/>
      <c r="Y85" s="19"/>
      <c r="Z85" s="19"/>
      <c r="AA85" s="19"/>
      <c r="AB85" s="19"/>
      <c r="AC85" s="19"/>
    </row>
    <row r="86" spans="1:29" hidden="1">
      <c r="B86" s="58" t="s">
        <v>41</v>
      </c>
      <c r="C86" s="21">
        <f t="shared" si="60"/>
        <v>0</v>
      </c>
      <c r="D86" s="21">
        <f t="shared" si="60"/>
        <v>0</v>
      </c>
      <c r="E86" s="21">
        <f t="shared" si="60"/>
        <v>0</v>
      </c>
      <c r="F86" s="21">
        <f t="shared" ref="F86:G86" si="78">F21-F53</f>
        <v>0</v>
      </c>
      <c r="G86" s="21">
        <f t="shared" si="78"/>
        <v>0</v>
      </c>
      <c r="H86" s="21">
        <f t="shared" ref="H86:I86" si="79">H21-H53</f>
        <v>0</v>
      </c>
      <c r="I86" s="21">
        <f t="shared" si="79"/>
        <v>0</v>
      </c>
      <c r="J86" s="21">
        <f t="shared" ref="J86:K86" si="80">J21-J53</f>
        <v>0</v>
      </c>
      <c r="K86" s="21">
        <f t="shared" si="80"/>
        <v>0</v>
      </c>
      <c r="L86" s="21">
        <f t="shared" ref="L86:N86" si="81">L21-L53</f>
        <v>0</v>
      </c>
      <c r="M86" s="21">
        <f t="shared" si="81"/>
        <v>0</v>
      </c>
      <c r="N86" s="21">
        <f t="shared" si="81"/>
        <v>0</v>
      </c>
      <c r="O86" s="103">
        <f t="shared" si="65"/>
        <v>0</v>
      </c>
      <c r="P86" s="19"/>
      <c r="Q86" s="19"/>
      <c r="R86" s="19"/>
      <c r="S86" s="19"/>
      <c r="T86" s="19"/>
      <c r="U86" s="19"/>
      <c r="V86" s="19"/>
      <c r="W86" s="19"/>
      <c r="X86" s="19"/>
      <c r="Y86" s="19"/>
      <c r="Z86" s="19"/>
      <c r="AA86" s="19"/>
      <c r="AB86" s="19"/>
      <c r="AC86" s="19"/>
    </row>
    <row r="87" spans="1:29" hidden="1">
      <c r="B87" s="58" t="s">
        <v>42</v>
      </c>
      <c r="C87" s="21">
        <f t="shared" si="60"/>
        <v>0</v>
      </c>
      <c r="D87" s="21">
        <f t="shared" si="60"/>
        <v>0</v>
      </c>
      <c r="E87" s="21">
        <f t="shared" si="60"/>
        <v>0</v>
      </c>
      <c r="F87" s="21">
        <f t="shared" ref="F87:G87" si="82">F22-F54</f>
        <v>0</v>
      </c>
      <c r="G87" s="21">
        <f t="shared" si="82"/>
        <v>0</v>
      </c>
      <c r="H87" s="21">
        <f t="shared" ref="H87:I87" si="83">H22-H54</f>
        <v>0</v>
      </c>
      <c r="I87" s="21">
        <f t="shared" si="83"/>
        <v>0</v>
      </c>
      <c r="J87" s="21">
        <f t="shared" ref="J87:K87" si="84">J22-J54</f>
        <v>0</v>
      </c>
      <c r="K87" s="21">
        <f t="shared" si="84"/>
        <v>0</v>
      </c>
      <c r="L87" s="21">
        <f t="shared" ref="L87:N87" si="85">L22-L54</f>
        <v>0</v>
      </c>
      <c r="M87" s="21">
        <f t="shared" si="85"/>
        <v>0</v>
      </c>
      <c r="N87" s="21">
        <f t="shared" si="85"/>
        <v>-9854.8100000000013</v>
      </c>
      <c r="O87" s="103">
        <f t="shared" si="65"/>
        <v>-9854.8100000000013</v>
      </c>
      <c r="P87" s="19"/>
      <c r="Q87" s="19"/>
      <c r="R87" s="19"/>
      <c r="S87" s="19"/>
      <c r="T87" s="19"/>
      <c r="U87" s="19"/>
      <c r="V87" s="19"/>
      <c r="W87" s="19"/>
      <c r="X87" s="19"/>
      <c r="Y87" s="19"/>
      <c r="Z87" s="19"/>
      <c r="AA87" s="19"/>
      <c r="AB87" s="19"/>
      <c r="AC87" s="19"/>
    </row>
    <row r="88" spans="1:29">
      <c r="B88" s="58" t="s">
        <v>43</v>
      </c>
      <c r="C88" s="21">
        <f t="shared" si="60"/>
        <v>-20413.683333333334</v>
      </c>
      <c r="D88" s="21">
        <f t="shared" si="60"/>
        <v>-24157.943333333336</v>
      </c>
      <c r="E88" s="21">
        <f t="shared" si="60"/>
        <v>-30112.273333333338</v>
      </c>
      <c r="F88" s="21">
        <f t="shared" ref="F88:G88" si="86">F23-F55</f>
        <v>-19636.833333333336</v>
      </c>
      <c r="G88" s="21">
        <f t="shared" si="86"/>
        <v>-23716.833333333336</v>
      </c>
      <c r="H88" s="21">
        <f t="shared" ref="H88:I88" si="87">H23-H55</f>
        <v>-24844.833333333336</v>
      </c>
      <c r="I88" s="21">
        <f t="shared" si="87"/>
        <v>-36085.833333333336</v>
      </c>
      <c r="J88" s="21">
        <f t="shared" ref="J88:K88" si="88">J23-J55</f>
        <v>-21271.833333333336</v>
      </c>
      <c r="K88" s="21">
        <f t="shared" si="88"/>
        <v>-16451.833333333336</v>
      </c>
      <c r="L88" s="21">
        <f t="shared" ref="L88:N88" si="89">L23-L55</f>
        <v>-15108.833333333336</v>
      </c>
      <c r="M88" s="21">
        <f t="shared" si="89"/>
        <v>-23469.333333333336</v>
      </c>
      <c r="N88" s="21">
        <f t="shared" si="89"/>
        <v>-19862.923333333332</v>
      </c>
      <c r="O88" s="103">
        <f t="shared" si="65"/>
        <v>-275132.99000000005</v>
      </c>
      <c r="P88" s="19"/>
      <c r="Q88" s="19"/>
      <c r="R88" s="19"/>
      <c r="S88" s="19"/>
      <c r="T88" s="19"/>
      <c r="U88" s="19"/>
      <c r="V88" s="19"/>
      <c r="W88" s="19"/>
      <c r="X88" s="19"/>
      <c r="Y88" s="19"/>
      <c r="Z88" s="19"/>
      <c r="AA88" s="19"/>
      <c r="AB88" s="19"/>
      <c r="AC88" s="19"/>
    </row>
    <row r="89" spans="1:29">
      <c r="A89" t="s">
        <v>133</v>
      </c>
      <c r="B89" s="57" t="s">
        <v>48</v>
      </c>
      <c r="C89" s="20">
        <f t="shared" si="60"/>
        <v>-46518.883333333324</v>
      </c>
      <c r="D89" s="20">
        <f t="shared" si="60"/>
        <v>-42201.683333333342</v>
      </c>
      <c r="E89" s="20">
        <f t="shared" si="60"/>
        <v>-39237.163333333338</v>
      </c>
      <c r="F89" s="20">
        <f t="shared" ref="F89:G89" si="90">F24-F56</f>
        <v>-24987.833333333336</v>
      </c>
      <c r="G89" s="20">
        <f t="shared" si="90"/>
        <v>-20207.833333333336</v>
      </c>
      <c r="H89" s="20">
        <f t="shared" ref="H89:I89" si="91">H24-H56</f>
        <v>-31481.833333333336</v>
      </c>
      <c r="I89" s="20">
        <f t="shared" si="91"/>
        <v>-49001.833333333336</v>
      </c>
      <c r="J89" s="20">
        <f t="shared" ref="J89:K89" si="92">J24-J56</f>
        <v>-20483.833333333336</v>
      </c>
      <c r="K89" s="20">
        <f t="shared" si="92"/>
        <v>-41068.833333333336</v>
      </c>
      <c r="L89" s="20">
        <f t="shared" ref="L89:N89" si="93">L24-L56</f>
        <v>-27363.833333333336</v>
      </c>
      <c r="M89" s="20">
        <f t="shared" si="93"/>
        <v>-146342.57333333333</v>
      </c>
      <c r="N89" s="20">
        <f t="shared" si="93"/>
        <v>-75159.723333333328</v>
      </c>
      <c r="O89" s="104">
        <f t="shared" ref="O89" si="94">SUM(O82:O88)</f>
        <v>-564055.8600000001</v>
      </c>
      <c r="P89" s="19"/>
      <c r="Q89" s="19"/>
      <c r="R89" s="19"/>
      <c r="S89" s="19"/>
      <c r="T89" s="19"/>
      <c r="U89" s="19"/>
      <c r="V89" s="19"/>
      <c r="W89" s="19"/>
      <c r="X89" s="19"/>
      <c r="Y89" s="19"/>
      <c r="Z89" s="19"/>
      <c r="AA89" s="19"/>
      <c r="AB89" s="19"/>
      <c r="AC89" s="19"/>
    </row>
    <row r="90" spans="1:29">
      <c r="B90" s="57"/>
      <c r="F90" s="21"/>
      <c r="G90" s="21"/>
      <c r="H90" s="21"/>
      <c r="I90" s="21"/>
      <c r="J90" s="21"/>
      <c r="K90" s="21"/>
      <c r="L90" s="21"/>
      <c r="M90" s="21"/>
      <c r="N90" s="21"/>
      <c r="O90" s="107"/>
      <c r="P90" s="19"/>
      <c r="Q90" s="19"/>
      <c r="R90" s="19"/>
      <c r="S90" s="19"/>
      <c r="T90" s="19"/>
      <c r="U90" s="19"/>
      <c r="V90" s="19"/>
      <c r="W90" s="19"/>
      <c r="X90" s="19"/>
      <c r="Y90" s="19"/>
      <c r="Z90" s="19"/>
      <c r="AA90" s="19"/>
      <c r="AB90" s="19"/>
      <c r="AC90" s="19"/>
    </row>
    <row r="91" spans="1:29">
      <c r="B91" s="57" t="s">
        <v>127</v>
      </c>
      <c r="F91" s="21"/>
      <c r="G91" s="21"/>
      <c r="H91" s="21"/>
      <c r="I91" s="21"/>
      <c r="J91" s="21"/>
      <c r="K91" s="21"/>
      <c r="L91" s="21"/>
      <c r="M91" s="21"/>
      <c r="N91" s="21"/>
      <c r="O91" s="107"/>
      <c r="P91" s="19"/>
      <c r="Q91" s="19"/>
      <c r="R91" s="19"/>
      <c r="S91" s="19"/>
      <c r="T91" s="19"/>
      <c r="U91" s="19"/>
      <c r="V91" s="19"/>
      <c r="W91" s="19"/>
      <c r="X91" s="19"/>
      <c r="Y91" s="19"/>
      <c r="Z91" s="19"/>
      <c r="AA91" s="19"/>
      <c r="AB91" s="19"/>
      <c r="AC91" s="19"/>
    </row>
    <row r="92" spans="1:29">
      <c r="B92" s="58" t="s">
        <v>37</v>
      </c>
      <c r="C92" s="21">
        <f t="shared" ref="C92:E99" si="95">C27-C59</f>
        <v>-1970.5500000000002</v>
      </c>
      <c r="D92" s="21">
        <f t="shared" si="95"/>
        <v>-3476.0299999999997</v>
      </c>
      <c r="E92" s="21">
        <f t="shared" si="95"/>
        <v>-2191.5299999999997</v>
      </c>
      <c r="F92" s="21">
        <f t="shared" ref="F92:G92" si="96">F27-F59</f>
        <v>-3713.5</v>
      </c>
      <c r="G92" s="21">
        <f t="shared" si="96"/>
        <v>-1052.5</v>
      </c>
      <c r="H92" s="21">
        <f t="shared" ref="H92:I92" si="97">H27-H59</f>
        <v>-1250.5</v>
      </c>
      <c r="I92" s="21">
        <f t="shared" si="97"/>
        <v>-2415.5</v>
      </c>
      <c r="J92" s="21">
        <f t="shared" ref="J92:K92" si="98">J27-J59</f>
        <v>437.5</v>
      </c>
      <c r="K92" s="21">
        <f t="shared" si="98"/>
        <v>-1263.5</v>
      </c>
      <c r="L92" s="21">
        <f t="shared" ref="L92:N92" si="99">L27-L59</f>
        <v>-1521.5</v>
      </c>
      <c r="M92" s="21">
        <f t="shared" si="99"/>
        <v>-1211.0999999999999</v>
      </c>
      <c r="N92" s="21">
        <f t="shared" si="99"/>
        <v>-1236.98</v>
      </c>
      <c r="O92" s="103">
        <f t="shared" ref="O92:O98" si="100">SUM(C92:N92)</f>
        <v>-20865.689999999999</v>
      </c>
      <c r="P92" s="19"/>
      <c r="Q92" s="19"/>
      <c r="R92" s="19"/>
      <c r="S92" s="19"/>
      <c r="T92" s="19"/>
      <c r="U92" s="19"/>
      <c r="V92" s="19"/>
      <c r="W92" s="19"/>
      <c r="X92" s="19"/>
      <c r="Y92" s="19"/>
      <c r="Z92" s="19"/>
      <c r="AA92" s="19"/>
      <c r="AB92" s="19"/>
      <c r="AC92" s="19"/>
    </row>
    <row r="93" spans="1:29">
      <c r="B93" s="58" t="s">
        <v>38</v>
      </c>
      <c r="C93" s="21">
        <f t="shared" si="95"/>
        <v>962.58333333333337</v>
      </c>
      <c r="D93" s="21">
        <f t="shared" si="95"/>
        <v>962.58333333333337</v>
      </c>
      <c r="E93" s="21">
        <f t="shared" si="95"/>
        <v>962.58333333333337</v>
      </c>
      <c r="F93" s="21">
        <f t="shared" ref="F93:G93" si="101">F28-F60</f>
        <v>-1697.4166666666665</v>
      </c>
      <c r="G93" s="21">
        <f t="shared" si="101"/>
        <v>-7512.416666666667</v>
      </c>
      <c r="H93" s="21">
        <f t="shared" ref="H93:I93" si="102">H28-H60</f>
        <v>-6249.416666666667</v>
      </c>
      <c r="I93" s="21">
        <f t="shared" si="102"/>
        <v>665.58333333333337</v>
      </c>
      <c r="J93" s="21">
        <f t="shared" ref="J93:K93" si="103">J28-J60</f>
        <v>606.58333333333337</v>
      </c>
      <c r="K93" s="21">
        <f t="shared" si="103"/>
        <v>962.58333333333337</v>
      </c>
      <c r="L93" s="21">
        <f t="shared" ref="L93:N93" si="104">L28-L60</f>
        <v>962.58333333333337</v>
      </c>
      <c r="M93" s="21">
        <f t="shared" si="104"/>
        <v>962.58333333333337</v>
      </c>
      <c r="N93" s="21">
        <f t="shared" si="104"/>
        <v>962.58333333333337</v>
      </c>
      <c r="O93" s="103">
        <f t="shared" si="100"/>
        <v>-7448.9999999999973</v>
      </c>
      <c r="P93" s="19"/>
      <c r="Q93" s="19"/>
      <c r="R93" s="19"/>
      <c r="S93" s="19"/>
      <c r="T93" s="19"/>
      <c r="U93" s="19"/>
      <c r="V93" s="19"/>
      <c r="W93" s="19"/>
      <c r="X93" s="19"/>
      <c r="Y93" s="19"/>
      <c r="Z93" s="19"/>
      <c r="AA93" s="19"/>
      <c r="AB93" s="19"/>
      <c r="AC93" s="19"/>
    </row>
    <row r="94" spans="1:29">
      <c r="B94" s="58" t="s">
        <v>242</v>
      </c>
      <c r="C94" s="21">
        <f t="shared" si="95"/>
        <v>179.75</v>
      </c>
      <c r="D94" s="21">
        <f t="shared" si="95"/>
        <v>179.75</v>
      </c>
      <c r="E94" s="21">
        <f t="shared" si="95"/>
        <v>179.75</v>
      </c>
      <c r="F94" s="21">
        <f t="shared" ref="F94:G94" si="105">F29-F61</f>
        <v>179.75</v>
      </c>
      <c r="G94" s="21">
        <f t="shared" si="105"/>
        <v>179.75</v>
      </c>
      <c r="H94" s="21">
        <f t="shared" ref="H94:I94" si="106">H29-H61</f>
        <v>179.75</v>
      </c>
      <c r="I94" s="21">
        <f t="shared" si="106"/>
        <v>179.75</v>
      </c>
      <c r="J94" s="21">
        <f t="shared" ref="J94:K94" si="107">J29-J61</f>
        <v>179.75</v>
      </c>
      <c r="K94" s="21">
        <f t="shared" si="107"/>
        <v>179.75</v>
      </c>
      <c r="L94" s="21">
        <f t="shared" ref="L94:N94" si="108">L29-L61</f>
        <v>179.75</v>
      </c>
      <c r="M94" s="21">
        <f t="shared" si="108"/>
        <v>179.75</v>
      </c>
      <c r="N94" s="21">
        <f t="shared" si="108"/>
        <v>179.75</v>
      </c>
      <c r="O94" s="103">
        <f t="shared" si="100"/>
        <v>2157</v>
      </c>
      <c r="P94" s="19"/>
      <c r="Q94" s="19"/>
      <c r="R94" s="19"/>
      <c r="S94" s="19"/>
      <c r="T94" s="19"/>
      <c r="U94" s="19"/>
      <c r="V94" s="19"/>
      <c r="W94" s="19"/>
      <c r="X94" s="19"/>
      <c r="Y94" s="19"/>
      <c r="Z94" s="19"/>
      <c r="AA94" s="19"/>
      <c r="AB94" s="19"/>
      <c r="AC94" s="19"/>
    </row>
    <row r="95" spans="1:29" hidden="1">
      <c r="B95" s="58" t="s">
        <v>40</v>
      </c>
      <c r="C95" s="21">
        <f t="shared" si="95"/>
        <v>0</v>
      </c>
      <c r="D95" s="21">
        <f t="shared" si="95"/>
        <v>0</v>
      </c>
      <c r="E95" s="21">
        <f t="shared" si="95"/>
        <v>0</v>
      </c>
      <c r="F95" s="21">
        <f t="shared" ref="F95:G95" si="109">F30-F62</f>
        <v>0</v>
      </c>
      <c r="G95" s="21">
        <f t="shared" si="109"/>
        <v>0</v>
      </c>
      <c r="H95" s="21">
        <f t="shared" ref="H95:I95" si="110">H30-H62</f>
        <v>0</v>
      </c>
      <c r="I95" s="21">
        <f t="shared" si="110"/>
        <v>0</v>
      </c>
      <c r="J95" s="21">
        <f t="shared" ref="J95:K95" si="111">J30-J62</f>
        <v>0</v>
      </c>
      <c r="K95" s="21">
        <f t="shared" si="111"/>
        <v>0</v>
      </c>
      <c r="L95" s="21">
        <f t="shared" ref="L95:N95" si="112">L30-L62</f>
        <v>0</v>
      </c>
      <c r="M95" s="21">
        <f t="shared" si="112"/>
        <v>0</v>
      </c>
      <c r="N95" s="21">
        <f t="shared" si="112"/>
        <v>0</v>
      </c>
      <c r="O95" s="103">
        <f t="shared" si="100"/>
        <v>0</v>
      </c>
      <c r="P95" s="19"/>
      <c r="Q95" s="19"/>
      <c r="R95" s="19"/>
      <c r="S95" s="19"/>
      <c r="T95" s="19"/>
      <c r="U95" s="19"/>
      <c r="V95" s="19"/>
      <c r="W95" s="19"/>
      <c r="X95" s="19"/>
      <c r="Y95" s="19"/>
      <c r="Z95" s="19"/>
      <c r="AA95" s="19"/>
      <c r="AB95" s="19"/>
      <c r="AC95" s="19"/>
    </row>
    <row r="96" spans="1:29" hidden="1">
      <c r="B96" s="58" t="s">
        <v>41</v>
      </c>
      <c r="C96" s="21">
        <f t="shared" si="95"/>
        <v>0</v>
      </c>
      <c r="D96" s="21">
        <f t="shared" si="95"/>
        <v>0</v>
      </c>
      <c r="E96" s="21">
        <f t="shared" si="95"/>
        <v>0</v>
      </c>
      <c r="F96" s="21">
        <f t="shared" ref="F96:G96" si="113">F31-F63</f>
        <v>0</v>
      </c>
      <c r="G96" s="21">
        <f t="shared" si="113"/>
        <v>0</v>
      </c>
      <c r="H96" s="21">
        <f t="shared" ref="H96:I96" si="114">H31-H63</f>
        <v>0</v>
      </c>
      <c r="I96" s="21">
        <f t="shared" si="114"/>
        <v>0</v>
      </c>
      <c r="J96" s="21">
        <f t="shared" ref="J96:K96" si="115">J31-J63</f>
        <v>0</v>
      </c>
      <c r="K96" s="21">
        <f t="shared" si="115"/>
        <v>0</v>
      </c>
      <c r="L96" s="21">
        <f t="shared" ref="L96:N96" si="116">L31-L63</f>
        <v>0</v>
      </c>
      <c r="M96" s="21">
        <f t="shared" si="116"/>
        <v>0</v>
      </c>
      <c r="N96" s="21">
        <f t="shared" si="116"/>
        <v>0</v>
      </c>
      <c r="O96" s="103">
        <f t="shared" si="100"/>
        <v>0</v>
      </c>
      <c r="P96" s="19"/>
      <c r="Q96" s="19"/>
      <c r="R96" s="19"/>
      <c r="S96" s="19"/>
      <c r="T96" s="19"/>
      <c r="U96" s="19"/>
      <c r="V96" s="19"/>
      <c r="W96" s="19"/>
      <c r="X96" s="19"/>
      <c r="Y96" s="19"/>
      <c r="Z96" s="19"/>
      <c r="AA96" s="19"/>
      <c r="AB96" s="19"/>
      <c r="AC96" s="19"/>
    </row>
    <row r="97" spans="1:29" hidden="1">
      <c r="B97" s="58" t="s">
        <v>42</v>
      </c>
      <c r="C97" s="21">
        <f t="shared" si="95"/>
        <v>0</v>
      </c>
      <c r="D97" s="21">
        <f t="shared" si="95"/>
        <v>0</v>
      </c>
      <c r="E97" s="21">
        <f t="shared" si="95"/>
        <v>0</v>
      </c>
      <c r="F97" s="21">
        <f t="shared" ref="F97:G97" si="117">F32-F64</f>
        <v>0</v>
      </c>
      <c r="G97" s="21">
        <f t="shared" si="117"/>
        <v>0</v>
      </c>
      <c r="H97" s="21">
        <f t="shared" ref="H97:I97" si="118">H32-H64</f>
        <v>0</v>
      </c>
      <c r="I97" s="21">
        <f t="shared" si="118"/>
        <v>0</v>
      </c>
      <c r="J97" s="21">
        <f t="shared" ref="J97:K97" si="119">J32-J64</f>
        <v>0</v>
      </c>
      <c r="K97" s="21">
        <f t="shared" si="119"/>
        <v>0</v>
      </c>
      <c r="L97" s="21">
        <f t="shared" ref="L97:N97" si="120">L32-L64</f>
        <v>0</v>
      </c>
      <c r="M97" s="21">
        <f t="shared" si="120"/>
        <v>0</v>
      </c>
      <c r="N97" s="21">
        <f t="shared" si="120"/>
        <v>0</v>
      </c>
      <c r="O97" s="103">
        <f t="shared" si="100"/>
        <v>0</v>
      </c>
      <c r="P97" s="19"/>
      <c r="Q97" s="19"/>
      <c r="R97" s="19"/>
      <c r="S97" s="19"/>
      <c r="T97" s="19"/>
      <c r="U97" s="19"/>
      <c r="V97" s="19"/>
      <c r="W97" s="19"/>
      <c r="X97" s="19"/>
      <c r="Y97" s="19"/>
      <c r="Z97" s="19"/>
      <c r="AA97" s="19"/>
      <c r="AB97" s="19"/>
      <c r="AC97" s="19"/>
    </row>
    <row r="98" spans="1:29">
      <c r="B98" s="58" t="s">
        <v>43</v>
      </c>
      <c r="C98" s="21">
        <f t="shared" si="95"/>
        <v>27996</v>
      </c>
      <c r="D98" s="21">
        <f t="shared" si="95"/>
        <v>27996</v>
      </c>
      <c r="E98" s="21">
        <f t="shared" si="95"/>
        <v>27996</v>
      </c>
      <c r="F98" s="21">
        <f t="shared" ref="F98:G98" si="121">F33-F65</f>
        <v>27760</v>
      </c>
      <c r="G98" s="21">
        <f t="shared" si="121"/>
        <v>27536</v>
      </c>
      <c r="H98" s="21">
        <f t="shared" ref="H98:I98" si="122">H33-H65</f>
        <v>27364</v>
      </c>
      <c r="I98" s="21">
        <f t="shared" si="122"/>
        <v>28154</v>
      </c>
      <c r="J98" s="21">
        <f t="shared" ref="J98:K98" si="123">J33-J65</f>
        <v>27996</v>
      </c>
      <c r="K98" s="21">
        <f t="shared" si="123"/>
        <v>27996</v>
      </c>
      <c r="L98" s="21">
        <f t="shared" ref="L98:N98" si="124">L33-L65</f>
        <v>27996</v>
      </c>
      <c r="M98" s="21">
        <f t="shared" si="124"/>
        <v>27996</v>
      </c>
      <c r="N98" s="21">
        <f t="shared" si="124"/>
        <v>27996</v>
      </c>
      <c r="O98" s="103">
        <f t="shared" si="100"/>
        <v>334782</v>
      </c>
      <c r="P98" s="19"/>
      <c r="Q98" s="19"/>
      <c r="R98" s="19"/>
      <c r="S98" s="19"/>
      <c r="T98" s="19"/>
      <c r="U98" s="19"/>
      <c r="V98" s="19"/>
      <c r="W98" s="19"/>
      <c r="X98" s="19"/>
      <c r="Y98" s="19"/>
      <c r="Z98" s="19"/>
      <c r="AA98" s="19"/>
      <c r="AB98" s="19"/>
      <c r="AC98" s="19"/>
    </row>
    <row r="99" spans="1:29">
      <c r="A99" t="s">
        <v>134</v>
      </c>
      <c r="B99" s="57" t="s">
        <v>48</v>
      </c>
      <c r="C99" s="20">
        <f t="shared" si="95"/>
        <v>27167.783333333333</v>
      </c>
      <c r="D99" s="20">
        <f t="shared" si="95"/>
        <v>25662.303333333333</v>
      </c>
      <c r="E99" s="20">
        <f t="shared" si="95"/>
        <v>26946.803333333333</v>
      </c>
      <c r="F99" s="20">
        <f t="shared" ref="F99:G99" si="125">F34-F66</f>
        <v>22528.833333333332</v>
      </c>
      <c r="G99" s="20">
        <f t="shared" si="125"/>
        <v>19150.833333333332</v>
      </c>
      <c r="H99" s="20">
        <f t="shared" ref="H99:I99" si="126">H34-H66</f>
        <v>20043.833333333332</v>
      </c>
      <c r="I99" s="20">
        <f t="shared" si="126"/>
        <v>26583.833333333332</v>
      </c>
      <c r="J99" s="20">
        <f t="shared" ref="J99:K99" si="127">J34-J66</f>
        <v>29219.833333333332</v>
      </c>
      <c r="K99" s="20">
        <f t="shared" si="127"/>
        <v>27874.833333333332</v>
      </c>
      <c r="L99" s="20">
        <f t="shared" ref="L99:N99" si="128">L34-L66</f>
        <v>27616.833333333332</v>
      </c>
      <c r="M99" s="20">
        <f t="shared" si="128"/>
        <v>27927.233333333334</v>
      </c>
      <c r="N99" s="20">
        <f t="shared" si="128"/>
        <v>27901.353333333333</v>
      </c>
      <c r="O99" s="104">
        <f t="shared" ref="O99" si="129">SUM(O92:O98)</f>
        <v>308624.31</v>
      </c>
      <c r="P99" s="19"/>
      <c r="Q99" s="19"/>
      <c r="R99" s="19"/>
      <c r="S99" s="19"/>
      <c r="T99" s="19"/>
      <c r="U99" s="19"/>
      <c r="V99" s="19"/>
      <c r="W99" s="19"/>
      <c r="X99" s="19"/>
      <c r="Y99" s="19"/>
      <c r="Z99" s="19"/>
      <c r="AA99" s="19"/>
      <c r="AB99" s="19"/>
      <c r="AC99" s="19"/>
    </row>
    <row r="100" spans="1:29">
      <c r="B100" s="57"/>
      <c r="F100" s="21"/>
      <c r="G100" s="21"/>
      <c r="H100" s="21"/>
      <c r="I100" s="21"/>
      <c r="J100" s="21"/>
      <c r="K100" s="21"/>
      <c r="L100" s="21"/>
      <c r="M100" s="21"/>
      <c r="N100" s="21"/>
      <c r="O100" s="107"/>
      <c r="P100" s="19"/>
      <c r="Q100" s="19"/>
      <c r="R100" s="19"/>
      <c r="S100" s="19"/>
      <c r="T100" s="19"/>
      <c r="U100" s="19"/>
      <c r="V100" s="19"/>
      <c r="W100" s="19"/>
      <c r="X100" s="19"/>
      <c r="Y100" s="19"/>
      <c r="Z100" s="19"/>
      <c r="AA100" s="19"/>
      <c r="AB100" s="19"/>
      <c r="AC100" s="19"/>
    </row>
    <row r="101" spans="1:29" ht="13.5" customHeight="1" thickBot="1">
      <c r="B101" s="57" t="s">
        <v>48</v>
      </c>
      <c r="C101" s="62">
        <f>C36-C68</f>
        <v>-91175.20000000007</v>
      </c>
      <c r="D101" s="62">
        <f t="shared" ref="D101:E101" si="130">D36-D68</f>
        <v>-185571.17000000004</v>
      </c>
      <c r="E101" s="62">
        <f t="shared" si="130"/>
        <v>-120707.53000000003</v>
      </c>
      <c r="F101" s="62">
        <f t="shared" ref="F101:G101" si="131">F36-F68</f>
        <v>-21301.75</v>
      </c>
      <c r="G101" s="62">
        <f t="shared" si="131"/>
        <v>189767.25</v>
      </c>
      <c r="H101" s="62">
        <f t="shared" ref="H101:I101" si="132">H36-H68</f>
        <v>36078.25</v>
      </c>
      <c r="I101" s="62">
        <f t="shared" si="132"/>
        <v>-64774.75</v>
      </c>
      <c r="J101" s="62">
        <f t="shared" ref="J101:K101" si="133">J36-J68</f>
        <v>170294.25</v>
      </c>
      <c r="K101" s="62">
        <f t="shared" si="133"/>
        <v>110290.25</v>
      </c>
      <c r="L101" s="62">
        <f t="shared" ref="L101:N101" si="134">L36-L68</f>
        <v>101451.25</v>
      </c>
      <c r="M101" s="62">
        <f t="shared" si="134"/>
        <v>-154994.15000000002</v>
      </c>
      <c r="N101" s="62">
        <f t="shared" si="134"/>
        <v>-269384.31999999995</v>
      </c>
      <c r="O101" s="22">
        <f t="shared" ref="O101" si="135">O99+O89+O79</f>
        <v>-300027.61999999976</v>
      </c>
      <c r="P101" s="19"/>
      <c r="Q101" s="19"/>
      <c r="R101" s="19"/>
      <c r="S101" s="19"/>
      <c r="T101" s="19"/>
      <c r="U101" s="19"/>
      <c r="V101" s="19"/>
      <c r="W101" s="19"/>
      <c r="X101" s="19"/>
      <c r="Y101" s="19"/>
      <c r="Z101" s="19"/>
      <c r="AA101" s="19"/>
      <c r="AB101" s="19"/>
      <c r="AC101" s="19"/>
    </row>
    <row r="102" spans="1:29" ht="15.75" thickTop="1">
      <c r="B102" s="56"/>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row>
    <row r="103" spans="1:29">
      <c r="B103" s="56"/>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row>
    <row r="104" spans="1:29">
      <c r="B104" s="56" t="s">
        <v>77</v>
      </c>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row>
    <row r="105" spans="1:29" ht="27.75" customHeight="1">
      <c r="B105" s="149" t="s">
        <v>86</v>
      </c>
      <c r="C105" s="149"/>
      <c r="D105" s="149"/>
      <c r="E105" s="149"/>
      <c r="F105" s="149"/>
      <c r="G105" s="149"/>
      <c r="H105" s="149"/>
      <c r="I105" s="149"/>
      <c r="J105" s="149"/>
      <c r="K105" s="149"/>
      <c r="L105" s="149"/>
      <c r="M105" s="149"/>
      <c r="N105" s="149"/>
      <c r="O105" s="149"/>
      <c r="P105" s="19"/>
      <c r="Q105" s="19"/>
      <c r="R105" s="19"/>
      <c r="S105" s="19"/>
      <c r="T105" s="19"/>
      <c r="U105" s="19"/>
      <c r="V105" s="19"/>
      <c r="W105" s="19"/>
      <c r="X105" s="19"/>
      <c r="Y105" s="19"/>
      <c r="Z105" s="19"/>
      <c r="AA105" s="19"/>
      <c r="AB105" s="19"/>
      <c r="AC105" s="19"/>
    </row>
    <row r="106" spans="1:29" ht="27.75" customHeight="1">
      <c r="B106" s="149" t="s">
        <v>87</v>
      </c>
      <c r="C106" s="149"/>
      <c r="D106" s="149"/>
      <c r="E106" s="149"/>
      <c r="F106" s="149"/>
      <c r="G106" s="149"/>
      <c r="H106" s="149"/>
      <c r="I106" s="149"/>
      <c r="J106" s="149"/>
      <c r="K106" s="149"/>
      <c r="L106" s="149"/>
      <c r="M106" s="149"/>
      <c r="N106" s="149"/>
      <c r="O106" s="149"/>
      <c r="P106" s="19"/>
      <c r="Q106" s="19"/>
      <c r="R106" s="19"/>
      <c r="S106" s="19"/>
      <c r="T106" s="19"/>
      <c r="U106" s="19"/>
      <c r="V106" s="19"/>
      <c r="W106" s="19"/>
      <c r="X106" s="19"/>
      <c r="Y106" s="19"/>
      <c r="Z106" s="19"/>
      <c r="AA106" s="19"/>
      <c r="AB106" s="19"/>
      <c r="AC106" s="19"/>
    </row>
    <row r="107" spans="1:29">
      <c r="B107" s="1"/>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row>
    <row r="108" spans="1:29">
      <c r="B108" s="112" t="s">
        <v>79</v>
      </c>
      <c r="P108" s="19"/>
      <c r="Q108" s="19"/>
      <c r="R108" s="19"/>
      <c r="S108" s="19"/>
      <c r="T108" s="19"/>
      <c r="U108" s="19"/>
      <c r="V108" s="19"/>
      <c r="W108" s="19"/>
      <c r="X108" s="19"/>
      <c r="Y108" s="19"/>
      <c r="Z108" s="19"/>
      <c r="AA108" s="19"/>
      <c r="AB108" s="19"/>
      <c r="AC108" s="19"/>
    </row>
    <row r="109" spans="1:29" ht="31.5" customHeight="1">
      <c r="B109" s="144" t="s">
        <v>80</v>
      </c>
      <c r="C109" s="144"/>
      <c r="D109" s="144"/>
      <c r="E109" s="144"/>
      <c r="F109" s="144"/>
      <c r="G109" s="144"/>
      <c r="H109" s="144"/>
      <c r="I109" s="144"/>
      <c r="J109" s="144"/>
      <c r="K109" s="144"/>
      <c r="L109" s="144"/>
      <c r="M109" s="144"/>
      <c r="N109" s="144"/>
      <c r="O109" s="144"/>
      <c r="P109" s="19"/>
      <c r="Q109" s="19"/>
      <c r="R109" s="19"/>
      <c r="S109" s="19"/>
      <c r="T109" s="19"/>
      <c r="U109" s="19"/>
      <c r="V109" s="19"/>
      <c r="W109" s="19"/>
      <c r="X109" s="19"/>
      <c r="Y109" s="19"/>
      <c r="Z109" s="19"/>
      <c r="AA109" s="19"/>
      <c r="AB109" s="19"/>
      <c r="AC109" s="19"/>
    </row>
    <row r="110" spans="1:29" ht="30.75" customHeight="1">
      <c r="B110" s="144" t="s">
        <v>81</v>
      </c>
      <c r="C110" s="144"/>
      <c r="D110" s="144"/>
      <c r="E110" s="144"/>
      <c r="F110" s="144"/>
      <c r="G110" s="144"/>
      <c r="H110" s="144"/>
      <c r="I110" s="144"/>
      <c r="J110" s="144"/>
      <c r="K110" s="144"/>
      <c r="L110" s="144"/>
      <c r="M110" s="144"/>
      <c r="N110" s="144"/>
      <c r="O110" s="144"/>
      <c r="P110" s="19"/>
      <c r="Q110" s="19"/>
      <c r="R110" s="19"/>
      <c r="S110" s="19"/>
      <c r="T110" s="19"/>
      <c r="U110" s="19"/>
      <c r="V110" s="19"/>
      <c r="W110" s="19"/>
      <c r="X110" s="19"/>
      <c r="Y110" s="19"/>
      <c r="Z110" s="19"/>
      <c r="AA110" s="19"/>
      <c r="AB110" s="19"/>
      <c r="AC110" s="19"/>
    </row>
    <row r="111" spans="1:29" ht="30" customHeight="1">
      <c r="B111" s="144" t="s">
        <v>84</v>
      </c>
      <c r="C111" s="144"/>
      <c r="D111" s="144"/>
      <c r="E111" s="144"/>
      <c r="F111" s="144"/>
      <c r="G111" s="144"/>
      <c r="H111" s="144"/>
      <c r="I111" s="144"/>
      <c r="J111" s="144"/>
      <c r="K111" s="144"/>
      <c r="L111" s="144"/>
      <c r="M111" s="144"/>
      <c r="N111" s="144"/>
      <c r="O111" s="144"/>
    </row>
    <row r="112" spans="1:29" ht="30.75" customHeight="1">
      <c r="B112" s="144" t="s">
        <v>166</v>
      </c>
      <c r="C112" s="144"/>
      <c r="D112" s="144"/>
      <c r="E112" s="144"/>
      <c r="F112" s="144"/>
      <c r="G112" s="144"/>
      <c r="H112" s="144"/>
      <c r="I112" s="144"/>
      <c r="J112" s="144"/>
      <c r="K112" s="144"/>
      <c r="L112" s="144"/>
      <c r="M112" s="144"/>
      <c r="N112" s="144"/>
      <c r="O112" s="144"/>
    </row>
    <row r="113" spans="2:15">
      <c r="B113" s="144" t="s">
        <v>182</v>
      </c>
      <c r="C113" s="144"/>
      <c r="D113" s="144"/>
      <c r="E113" s="144"/>
      <c r="F113" s="144"/>
      <c r="G113" s="144"/>
      <c r="H113" s="144"/>
      <c r="I113" s="144"/>
      <c r="J113" s="144"/>
      <c r="K113" s="144"/>
      <c r="L113" s="144"/>
      <c r="M113" s="144"/>
      <c r="N113" s="144"/>
      <c r="O113" s="144"/>
    </row>
    <row r="114" spans="2:15">
      <c r="B114" s="144" t="s">
        <v>192</v>
      </c>
      <c r="C114" s="144"/>
      <c r="D114" s="144"/>
      <c r="E114" s="144"/>
      <c r="F114" s="144"/>
      <c r="G114" s="144"/>
      <c r="H114" s="144"/>
      <c r="I114" s="144"/>
      <c r="J114" s="144"/>
      <c r="K114" s="144"/>
      <c r="L114" s="144"/>
      <c r="M114" s="144"/>
      <c r="N114" s="144"/>
      <c r="O114" s="144"/>
    </row>
    <row r="115" spans="2:15">
      <c r="B115" s="144" t="s">
        <v>207</v>
      </c>
      <c r="C115" s="144"/>
      <c r="D115" s="144"/>
      <c r="E115" s="144"/>
      <c r="F115" s="144"/>
      <c r="G115" s="144"/>
      <c r="H115" s="144"/>
      <c r="I115" s="144"/>
      <c r="J115" s="144"/>
      <c r="K115" s="144"/>
      <c r="L115" s="144"/>
      <c r="M115" s="144"/>
      <c r="N115" s="144"/>
      <c r="O115" s="144"/>
    </row>
    <row r="116" spans="2:15">
      <c r="B116" s="144" t="s">
        <v>218</v>
      </c>
      <c r="C116" s="144"/>
      <c r="D116" s="144"/>
      <c r="E116" s="144"/>
      <c r="F116" s="144"/>
      <c r="G116" s="144"/>
      <c r="H116" s="144"/>
      <c r="I116" s="144"/>
      <c r="J116" s="144"/>
      <c r="K116" s="144"/>
      <c r="L116" s="144"/>
      <c r="M116" s="144"/>
      <c r="N116" s="144"/>
      <c r="O116" s="144"/>
    </row>
    <row r="117" spans="2:15">
      <c r="B117" s="144" t="s">
        <v>234</v>
      </c>
      <c r="C117" s="144"/>
      <c r="D117" s="144"/>
      <c r="E117" s="144"/>
      <c r="F117" s="144"/>
      <c r="G117" s="144"/>
      <c r="H117" s="144"/>
      <c r="I117" s="144"/>
      <c r="J117" s="144"/>
      <c r="K117" s="144"/>
      <c r="L117" s="144"/>
      <c r="M117" s="144"/>
      <c r="N117" s="144"/>
      <c r="O117" s="144"/>
    </row>
    <row r="118" spans="2:15">
      <c r="B118" s="144" t="s">
        <v>247</v>
      </c>
      <c r="C118" s="144"/>
      <c r="D118" s="144"/>
      <c r="E118" s="144"/>
      <c r="F118" s="144"/>
      <c r="G118" s="144"/>
      <c r="H118" s="144"/>
      <c r="I118" s="144"/>
      <c r="J118" s="144"/>
      <c r="K118" s="144"/>
      <c r="L118" s="144"/>
      <c r="M118" s="144"/>
      <c r="N118" s="144"/>
      <c r="O118" s="144"/>
    </row>
    <row r="119" spans="2:15">
      <c r="B119" s="144" t="s">
        <v>259</v>
      </c>
      <c r="C119" s="144"/>
      <c r="D119" s="144"/>
      <c r="E119" s="144"/>
      <c r="F119" s="144"/>
      <c r="G119" s="144"/>
      <c r="H119" s="144"/>
      <c r="I119" s="144"/>
      <c r="J119" s="144"/>
      <c r="K119" s="144"/>
      <c r="L119" s="144"/>
      <c r="M119" s="144"/>
      <c r="N119" s="144"/>
      <c r="O119" s="144"/>
    </row>
  </sheetData>
  <mergeCells count="13">
    <mergeCell ref="B119:O119"/>
    <mergeCell ref="B118:O118"/>
    <mergeCell ref="B117:O117"/>
    <mergeCell ref="B105:O105"/>
    <mergeCell ref="B109:O109"/>
    <mergeCell ref="B110:O110"/>
    <mergeCell ref="B111:O111"/>
    <mergeCell ref="B106:O106"/>
    <mergeCell ref="B116:O116"/>
    <mergeCell ref="B115:O115"/>
    <mergeCell ref="B114:O114"/>
    <mergeCell ref="B113:O113"/>
    <mergeCell ref="B112:O112"/>
  </mergeCells>
  <pageMargins left="0" right="0"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8B777AB53222F48ABE74CFDB1F2A548" ma:contentTypeVersion="131" ma:contentTypeDescription="" ma:contentTypeScope="" ma:versionID="d6bd52c79baaa7ba80cbe1a3fc250d6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2010-01-29T08:00:00+00:00</OpenedDate>
    <Date1 xmlns="dc463f71-b30c-4ab2-9473-d307f9d35888">2011-02-03T08:00:00+00:00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100176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884940EB-7935-486F-B6A2-6DBB30FA0FD6}"/>
</file>

<file path=customXml/itemProps2.xml><?xml version="1.0" encoding="utf-8"?>
<ds:datastoreItem xmlns:ds="http://schemas.openxmlformats.org/officeDocument/2006/customXml" ds:itemID="{E7069C96-B3D1-48E2-B378-B0C2A2F41D54}"/>
</file>

<file path=customXml/itemProps3.xml><?xml version="1.0" encoding="utf-8"?>
<ds:datastoreItem xmlns:ds="http://schemas.openxmlformats.org/officeDocument/2006/customXml" ds:itemID="{EA9FA337-01B8-4DE0-9948-E250E709E3CC}"/>
</file>

<file path=customXml/itemProps4.xml><?xml version="1.0" encoding="utf-8"?>
<ds:datastoreItem xmlns:ds="http://schemas.openxmlformats.org/officeDocument/2006/customXml" ds:itemID="{7E38453E-5AA6-4896-88E5-6F077C9F8F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WAID Act vs Budget savings</vt:lpstr>
      <vt:lpstr>WA-Sch91 Bal Projection</vt:lpstr>
      <vt:lpstr>WA-Sch91 Rider Balance</vt:lpstr>
      <vt:lpstr>WA-Sch91 Forecasted-Act Rev</vt:lpstr>
      <vt:lpstr>WA-Sch91 Budget-Act Exp</vt:lpstr>
      <vt:lpstr>WA-Sch191 Bal Projection </vt:lpstr>
      <vt:lpstr>WA-Sch191 Rider Balance</vt:lpstr>
      <vt:lpstr>WA-Sch191 Forecasted-Act Rev</vt:lpstr>
      <vt:lpstr>WA-Sch191 Budget-Act Exp </vt:lpstr>
      <vt:lpstr>ID-Sch91 Bal Projection </vt:lpstr>
      <vt:lpstr>ID-Sch91 Rider Balance</vt:lpstr>
      <vt:lpstr>ID-Sch91 Forecasted-Act Rev</vt:lpstr>
      <vt:lpstr>ID-Sch91 Budget-Act Exp</vt:lpstr>
      <vt:lpstr>ID-Sch191 Bal Projection</vt:lpstr>
      <vt:lpstr>ID-Sch191 Rider Balance</vt:lpstr>
      <vt:lpstr>ID-Sch191 Forecasted-Act Rev</vt:lpstr>
      <vt:lpstr>ID-Sch191 Budget-Act Exp</vt:lpstr>
      <vt:lpstr>'ID-Sch91 Budget-Act Exp'!DSMFlag</vt:lpstr>
      <vt:lpstr>'ID-Sch91 Forecasted-Act Rev'!DSMFlag</vt:lpstr>
      <vt:lpstr>'WA-Sch191 Budget-Act Exp '!DSMFlag</vt:lpstr>
      <vt:lpstr>'WA-Sch91 Budget-Act Exp'!DSMFlag</vt:lpstr>
      <vt:lpstr>'WA-Sch91 Rider Balance'!DSMFlag</vt:lpstr>
      <vt:lpstr>DSMFlag</vt:lpstr>
      <vt:lpstr>'ID-Sch191 Forecasted-Act Rev'!Print_Area</vt:lpstr>
      <vt:lpstr>'ID-Sch91 Forecasted-Act Rev'!Print_Area</vt:lpstr>
      <vt:lpstr>'WA-Sch191 Forecasted-Act Rev'!Print_Area</vt:lpstr>
      <vt:lpstr>'WA-Sch91 Budget-Act Exp'!Print_Area</vt:lpstr>
      <vt:lpstr>'WA-Sch91 Forecasted-Act Rev'!Print_Area</vt:lpstr>
      <vt:lpstr>'ID-Sch191 Rider Balance'!Print_Titles</vt:lpstr>
      <vt:lpstr>'ID-Sch91 Rider Balance'!Print_Titles</vt:lpstr>
      <vt:lpstr>'WA-Sch191 Rider Balance'!Print_Titles</vt:lpstr>
      <vt:lpstr>'WA-Sch91 Rider Balance'!Print_Titles</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dc:creator>
  <cp:lastModifiedBy> Joni Higgins, Customer Service Specialist 2</cp:lastModifiedBy>
  <cp:lastPrinted>2011-02-04T00:11:25Z</cp:lastPrinted>
  <dcterms:created xsi:type="dcterms:W3CDTF">2010-03-25T21:27:14Z</dcterms:created>
  <dcterms:modified xsi:type="dcterms:W3CDTF">2011-02-04T00:11:42Z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0x0101006E56B4D1795A2E4DB2F0B01679ED314A00B8B777AB53222F48ABE74CFDB1F2A548</vt:lpwstr>
  </property>
  <property fmtid="{D5CDD505-2E9C-101B-9397-08002B2CF9AE}" pid="4" name="_docset_NoMedatataSyncRequired">
    <vt:lpwstr>False</vt:lpwstr>
  </property>
</Properties>
</file>