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690" windowHeight="7290" tabRatio="731" activeTab="2"/>
  </bookViews>
  <sheets>
    <sheet name="Index" sheetId="1" r:id="rId1"/>
    <sheet name="WGJ-5" sheetId="2" r:id="rId2"/>
    <sheet name="WGJ-2" sheetId="3" r:id="rId3"/>
    <sheet name="WGJ-4" sheetId="4" r:id="rId4"/>
    <sheet name="Aurora" sheetId="5" r:id="rId5"/>
  </sheets>
  <definedNames>
    <definedName name="_xlnm.Print_Area" localSheetId="2">'WGJ-2'!$A$1:$F$122</definedName>
    <definedName name="_xlnm.Print_Area" localSheetId="3">'WGJ-4'!$A$1:$O$53</definedName>
    <definedName name="_xlnm.Print_Titles" localSheetId="2">'WGJ-2'!$1:$7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<sst xmlns="http://schemas.openxmlformats.org/spreadsheetml/2006/main" count="297" uniqueCount="243">
  <si>
    <t>Line</t>
  </si>
  <si>
    <t>No.</t>
  </si>
  <si>
    <t>Actuals</t>
  </si>
  <si>
    <t>Adjustment</t>
  </si>
  <si>
    <t>555 PURCHASED POWER</t>
  </si>
  <si>
    <t>Rocky Reach</t>
  </si>
  <si>
    <t>Wanapum</t>
  </si>
  <si>
    <t>Wells</t>
  </si>
  <si>
    <t>WNP-3</t>
  </si>
  <si>
    <t>Deer Lake-IP&amp;L</t>
  </si>
  <si>
    <t>Spokane-Upriver</t>
  </si>
  <si>
    <t>Total Account 555</t>
  </si>
  <si>
    <t xml:space="preserve"> </t>
  </si>
  <si>
    <t>565 TRANSMISSION OF ELECTRICITY BY OTHERS</t>
  </si>
  <si>
    <t>Garrison-Burke</t>
  </si>
  <si>
    <t>Total Account 565</t>
  </si>
  <si>
    <t>Broker Commission Fees</t>
  </si>
  <si>
    <t>Total Account 557</t>
  </si>
  <si>
    <t>536 WATER FOR POWER</t>
  </si>
  <si>
    <t>TOTAL EXPENSE</t>
  </si>
  <si>
    <t>447 SALES FOR RESALE</t>
  </si>
  <si>
    <t>Total Account 447</t>
  </si>
  <si>
    <t>456 OTHER ELECTRIC REVENUE</t>
  </si>
  <si>
    <t>Total Account 456</t>
  </si>
  <si>
    <t>TOTAL REVENUE</t>
  </si>
  <si>
    <t>Kettle Falls</t>
  </si>
  <si>
    <t>Total Account 501</t>
  </si>
  <si>
    <t>Colstrip</t>
  </si>
  <si>
    <t>BPA Townsend-Garrison Wheeling</t>
  </si>
  <si>
    <t>Upstream Storage Revenue</t>
  </si>
  <si>
    <t>Black Creek Wheeling</t>
  </si>
  <si>
    <t>557 OTHER EXPENSES</t>
  </si>
  <si>
    <t>453 SALES OF WATER AND WATER POWER</t>
  </si>
  <si>
    <t>Black Creek Index Purchase</t>
  </si>
  <si>
    <t>PGE Firm Wheeling</t>
  </si>
  <si>
    <t>Nichols Pumping Sale</t>
  </si>
  <si>
    <t>Pend Oreille DES &amp; Spinning</t>
  </si>
  <si>
    <t>Avista Corp.</t>
  </si>
  <si>
    <t>Total</t>
  </si>
  <si>
    <t>Colstrip MWh</t>
  </si>
  <si>
    <t>Colstrip Fuel Cost</t>
  </si>
  <si>
    <t>Kettle Falls MWh</t>
  </si>
  <si>
    <t>Kettle Falls Fuel Cost</t>
  </si>
  <si>
    <t>Rathdrum MWh</t>
  </si>
  <si>
    <t>Rathdrum Fuel Cost</t>
  </si>
  <si>
    <t>Total Fuel Expense</t>
  </si>
  <si>
    <t>Nichols Pumping</t>
  </si>
  <si>
    <t>Sales</t>
  </si>
  <si>
    <t>Northeast MWh</t>
  </si>
  <si>
    <t>Northeast Fuel Cost</t>
  </si>
  <si>
    <t>Total Account 547</t>
  </si>
  <si>
    <t>Rathdrum Municipal Payment</t>
  </si>
  <si>
    <t>Kettle Falls - Wood Fuel</t>
  </si>
  <si>
    <t>Colstrip - Coal</t>
  </si>
  <si>
    <t>Kettle Falls - Gas</t>
  </si>
  <si>
    <t>Colstip - Oil</t>
  </si>
  <si>
    <t>501 THERMAL FUEL EXPENSE</t>
  </si>
  <si>
    <t>547 OTHER FUEL EXPENSE</t>
  </si>
  <si>
    <t>549 MISC OTHER GENERATION EXPENSE</t>
  </si>
  <si>
    <t xml:space="preserve">Non-Monetary </t>
  </si>
  <si>
    <t>454 MISC RENTS</t>
  </si>
  <si>
    <t>Colstrip Rents</t>
  </si>
  <si>
    <t>$</t>
  </si>
  <si>
    <t>Secondary Sales - MWh</t>
  </si>
  <si>
    <t>Secondary Purchase - MWh</t>
  </si>
  <si>
    <t>Boulder Park Fuel Cost</t>
  </si>
  <si>
    <t>Boulder Park MWh</t>
  </si>
  <si>
    <t>Kettle Falls CT Fuel Cost</t>
  </si>
  <si>
    <t>Kettle Falls CT MWh</t>
  </si>
  <si>
    <t>Coyote Springs Gas</t>
  </si>
  <si>
    <t>Boulder Park Gas</t>
  </si>
  <si>
    <t>Kettle Falls CT Gas</t>
  </si>
  <si>
    <t>Northeast CT Gas</t>
  </si>
  <si>
    <t>Rathdrum  Gas</t>
  </si>
  <si>
    <t>Scenario 1</t>
  </si>
  <si>
    <t>ANNUAL</t>
  </si>
  <si>
    <t>GENERATION (GWh)</t>
  </si>
  <si>
    <t>Boulder Park</t>
  </si>
  <si>
    <t>Coyote Springs</t>
  </si>
  <si>
    <t>Kettle Falls CT</t>
  </si>
  <si>
    <t>Northeast</t>
  </si>
  <si>
    <t>Rathdrum</t>
  </si>
  <si>
    <t>FUEL COST ($000)</t>
  </si>
  <si>
    <t>MARKET (GWh)</t>
  </si>
  <si>
    <t>Market Purch</t>
  </si>
  <si>
    <t>Market Sale</t>
  </si>
  <si>
    <t>MARKET ($000)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</si>
  <si>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</si>
  <si>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</si>
  <si>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</si>
  <si>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</si>
  <si>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</si>
  <si>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</si>
  <si>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</si>
  <si>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</si>
  <si>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</si>
  <si>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</si>
  <si>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</si>
  <si>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</si>
  <si>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Coyote Springs Fuel Cost</t>
  </si>
  <si>
    <t>Net Fuel and Purchase Expense</t>
  </si>
  <si>
    <t>Coyote Springs  MWh</t>
  </si>
  <si>
    <t>(GWh)</t>
  </si>
  <si>
    <t>FUEL USE (MMBtu)</t>
  </si>
  <si>
    <t>NET POWER SUPPLY COST ($000)</t>
  </si>
  <si>
    <t>MWh</t>
  </si>
  <si>
    <t>Kootenai for Worley</t>
  </si>
  <si>
    <t>PTP for Colstrip &amp; Coyote</t>
  </si>
  <si>
    <t>Avista on BPA - Borderline</t>
  </si>
  <si>
    <t>Gas Not Consumed Sales Revenue</t>
  </si>
  <si>
    <t>Rathdrum Fuel Cost $/MWh</t>
  </si>
  <si>
    <t>Northeast Fuel Cost $/MWh</t>
  </si>
  <si>
    <t>Coyote Springs Fuel Cost  $/MWh</t>
  </si>
  <si>
    <t>Boulder Park Fuel Cost $/MWh</t>
  </si>
  <si>
    <t>Kettle Falls Fuel Cost $/MWh</t>
  </si>
  <si>
    <t>Colstrip Fuel Cost $/MWh</t>
  </si>
  <si>
    <t>Kettle Falls CT Fuel Cost $/MWh</t>
  </si>
  <si>
    <t>Headwater Benefits Payments</t>
  </si>
  <si>
    <t>Revenue</t>
  </si>
  <si>
    <t>Average Market Sales Price -$/ MWh</t>
  </si>
  <si>
    <t>Market Sales - Dollars</t>
  </si>
  <si>
    <t>Market Sales - MWh</t>
  </si>
  <si>
    <t>Market Purchases - Dollars</t>
  </si>
  <si>
    <t>Net Market Purchases (Sales) MWh</t>
  </si>
  <si>
    <t>Average Market Purchase Price - $/MWh</t>
  </si>
  <si>
    <t>Net Market Purchases (Sales) aMW</t>
  </si>
  <si>
    <t>Market Purchases - MWh</t>
  </si>
  <si>
    <t>Average Sale and Purchase Price - $/MWh</t>
  </si>
  <si>
    <t>Gas Transportation Charge</t>
  </si>
  <si>
    <t>Spokane Energy Service Fee - Peaker Sale</t>
  </si>
  <si>
    <t>Peaker (PGE) Capacity Sale</t>
  </si>
  <si>
    <t>Wheeling for System Sales &amp; Purchases</t>
  </si>
  <si>
    <t>normal $0</t>
  </si>
  <si>
    <t>Auth PCA Net Expense</t>
  </si>
  <si>
    <t>Comment</t>
  </si>
  <si>
    <t>Market Purchases and Sales, Plant Generation and Fuel Cost Summary</t>
  </si>
  <si>
    <t>modeled MWh x Midpoint</t>
  </si>
  <si>
    <t>Potlatch Co-Gen Purchase</t>
  </si>
  <si>
    <t>Purchases</t>
  </si>
  <si>
    <t>Contract C</t>
  </si>
  <si>
    <t>Contract D</t>
  </si>
  <si>
    <t>PPM Wind Purchase</t>
  </si>
  <si>
    <t>Sovereign/Kaiser DES</t>
  </si>
  <si>
    <t>Northwestern Load Following</t>
  </si>
  <si>
    <t>Douglas Settlement</t>
  </si>
  <si>
    <t>Grant Displacement</t>
  </si>
  <si>
    <t>modeled energy higher than actual</t>
  </si>
  <si>
    <t>no CS2.5 trans, in lieu in 555, 447</t>
  </si>
  <si>
    <t>index</t>
  </si>
  <si>
    <t>model</t>
  </si>
  <si>
    <t>only gas burned modeled</t>
  </si>
  <si>
    <t>exchange capacity not modeled</t>
  </si>
  <si>
    <t>modeled MWh x new contract rate</t>
  </si>
  <si>
    <t>Sagle-Northern Lights</t>
  </si>
  <si>
    <t>Jan 06 - Dec 06</t>
  </si>
  <si>
    <t>Proforma</t>
  </si>
  <si>
    <t>Current</t>
  </si>
  <si>
    <t>Authorized</t>
  </si>
  <si>
    <t>ERM Authorized</t>
  </si>
  <si>
    <t>TRC Purpa Purchase</t>
  </si>
  <si>
    <t>thru Nov</t>
  </si>
  <si>
    <t>****LOAD NEW FLAT PRICES*****</t>
  </si>
  <si>
    <t>Contract A</t>
  </si>
  <si>
    <t>Contract B</t>
  </si>
  <si>
    <t>Small Power</t>
  </si>
  <si>
    <t>Modeled Electric Price</t>
  </si>
  <si>
    <t>Black Creek Expense</t>
  </si>
  <si>
    <t>Priest Rapids Meaningful Priority, MWh</t>
  </si>
  <si>
    <t>Priest Rapids Meaningful Priority Expense</t>
  </si>
  <si>
    <t>Reasonable Portion Revenue</t>
  </si>
  <si>
    <t>Net Meaningful Priority Cost</t>
  </si>
  <si>
    <t>Net Meaningful Priority Cost per MWh</t>
  </si>
  <si>
    <t>CS2 Exchange</t>
  </si>
  <si>
    <t>includes Mean Pri &amp; Reas Port</t>
  </si>
  <si>
    <t xml:space="preserve">  Meaningful Priority</t>
  </si>
  <si>
    <t xml:space="preserve">  Surplus Conversion</t>
  </si>
  <si>
    <t>Surplus Conversion Cost</t>
  </si>
  <si>
    <t>Surplus Conversion MWh</t>
  </si>
  <si>
    <t xml:space="preserve">  Avista Total Slice</t>
  </si>
  <si>
    <t>Power Supply Expense</t>
  </si>
  <si>
    <t>Transmission Expense</t>
  </si>
  <si>
    <t>Douglas Exchange Capacity</t>
  </si>
  <si>
    <t>Seattle Exchange Capacity</t>
  </si>
  <si>
    <t>Grant Transmission Losses</t>
  </si>
  <si>
    <t>BPA NT Deviation Energy</t>
  </si>
  <si>
    <t>Bankruptcy Write-Off</t>
  </si>
  <si>
    <t>Renewable Energy Credit Sales</t>
  </si>
  <si>
    <t>TOTAL NET EXPENSE</t>
  </si>
  <si>
    <t>SMUD Sale</t>
  </si>
  <si>
    <t>Ancillary Services</t>
  </si>
  <si>
    <t>Grant Transmission</t>
  </si>
  <si>
    <t>REC Purchases</t>
  </si>
  <si>
    <t>Total Adjustment Including Potlatch</t>
  </si>
  <si>
    <t>Potlatch Purchase Assigned to Idaho</t>
  </si>
  <si>
    <t>Broker Fees</t>
  </si>
  <si>
    <t>Total Power Supply Expense</t>
  </si>
  <si>
    <t>Account 447 - Sale for Resale</t>
  </si>
  <si>
    <t>Account 547 - Natrual Gas Fuel</t>
  </si>
  <si>
    <t>Account 501 - Thermal Fuel</t>
  </si>
  <si>
    <t>Transmission Revenue</t>
  </si>
  <si>
    <t>Account 555 - Purchased Power</t>
  </si>
  <si>
    <t>Jan 07 - Dec 07</t>
  </si>
  <si>
    <t>Stimson</t>
  </si>
  <si>
    <t>2009 Loads</t>
  </si>
  <si>
    <t>Jan 09 - Dec 09</t>
  </si>
  <si>
    <t>Jan - Oct</t>
  </si>
  <si>
    <t>BPA Spinning Reserve</t>
  </si>
  <si>
    <t>Priest Rapids Project, MWh</t>
  </si>
  <si>
    <t xml:space="preserve">  Grant's Share of Reasonable Portion Revenue</t>
  </si>
  <si>
    <t>Priest Rapids Project Cost</t>
  </si>
  <si>
    <t>Wanapum Total Cost</t>
  </si>
  <si>
    <t>Wanapum Total Generation, aMW</t>
  </si>
  <si>
    <t>Wanapum Total Cost per MWh</t>
  </si>
  <si>
    <t>Priest Rapids Total Generation, aMW</t>
  </si>
  <si>
    <t>Priest Rapids Total Generation, MWh</t>
  </si>
  <si>
    <t>Priest Rapids Total Cost</t>
  </si>
  <si>
    <t>Priest Rapids Total Cost per MWh</t>
  </si>
  <si>
    <t>Combined Total Cost per MWh</t>
  </si>
  <si>
    <t>Priest Rapids Project</t>
  </si>
  <si>
    <t>Market Price</t>
  </si>
  <si>
    <t>Surplus Conversion Cost per MWh</t>
  </si>
  <si>
    <t>Total Priest Rapids Product Cost</t>
  </si>
  <si>
    <t>Total Priest Rapids Product Cost per MWh</t>
  </si>
  <si>
    <t>Total Project Genration and Cost</t>
  </si>
  <si>
    <t>Rick?</t>
  </si>
  <si>
    <t>Sand Dunes-Warden</t>
  </si>
  <si>
    <t>Black Creek, MWh</t>
  </si>
  <si>
    <t>Modeled Short-Term Market Purchases</t>
  </si>
  <si>
    <t>Modeled Short-Term Market Sales</t>
  </si>
  <si>
    <t>NWestern Load Following Deviation Energy</t>
  </si>
  <si>
    <t>System Numbers - 2007 Actual and 2009 Pro forma</t>
  </si>
  <si>
    <t>Power Supply Pro forma - Washington Jurisdiction</t>
  </si>
  <si>
    <t>Pro forma</t>
  </si>
  <si>
    <t>Actual Short-Term Market Purchases</t>
  </si>
  <si>
    <t>Actual Short-Term Market Sales</t>
  </si>
  <si>
    <t>Natural Gas Fuel Purchases</t>
  </si>
  <si>
    <t>Avista Corp</t>
  </si>
  <si>
    <t>ERM Authorized Power Supply Expense and Retail Sales</t>
  </si>
  <si>
    <t xml:space="preserve">ERM Authorized Power Supply Expense </t>
  </si>
  <si>
    <t>ERM Authorized Washington Retail Sales</t>
  </si>
  <si>
    <t>Total Retail Sales, MWh</t>
  </si>
  <si>
    <t>Pro forma January 2009 - December 2009</t>
  </si>
  <si>
    <t>Washington Pro forma January 2009 - December 2009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</si>
</sst>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d/yy"/>
    <numFmt numFmtId="165" formatCode="#,##0\ ;\(#,##0\)"/>
    <numFmt numFmtId="166" formatCode="0.0000"/>
    <numFmt numFmtId="167" formatCode="0.0"/>
    <numFmt numFmtId="168" formatCode="&quot;$&quot;#,##0"/>
    <numFmt numFmtId="169" formatCode="&quot;$&quot;#,##0.0"/>
    <numFmt numFmtId="170" formatCode="&quot;$&quot;#,##0.00"/>
    <numFmt numFmtId="171" formatCode="0.000"/>
    <numFmt numFmtId="172" formatCode="#,##0.0_);[Red]\(#,##0.0\)"/>
    <numFmt numFmtId="173" formatCode="#,##0.0"/>
    <numFmt numFmtId="174" formatCode="&quot;$&quot;#,##0.000\ ;\(&quot;$&quot;#,##0.00\)"/>
    <numFmt numFmtId="175" formatCode="#,##0.000"/>
    <numFmt numFmtId="176" formatCode="&quot; &quot;"/>
    <numFmt numFmtId="177" formatCode="&quot;$&quot;#,##0.000"/>
    <numFmt numFmtId="178" formatCode="&quot;$&quot;#,##0.0000"/>
    <numFmt numFmtId="179" formatCode="&quot;$&quot;#,##0.00000"/>
    <numFmt numFmtId="180" formatCode="&quot;$&quot;#,##0.0_);\(&quot;$&quot;#,##0.0\)"/>
    <numFmt numFmtId="181" formatCode="&quot;$&quot;#,##0.000_);\(&quot;$&quot;#,##0.000\)"/>
    <numFmt numFmtId="182" formatCode="&quot;$&quot;#,##0.0000_);\(&quot;$&quot;#,##0.0000\)"/>
    <numFmt numFmtId="183" formatCode="#,##0.000_);[Red]\(#,##0.000\)"/>
    <numFmt numFmtId="184" formatCode="#,##0.0000_);[Red]\(#,##0.0000\)"/>
    <numFmt numFmtId="185" formatCode="&quot;$&quot;#,##0.0_);[Red]\(&quot;$&quot;#,##0.0\)"/>
    <numFmt numFmtId="186" formatCode="0.0%"/>
    <numFmt numFmtId="187" formatCode="m/d"/>
    <numFmt numFmtId="188" formatCode="0.000000"/>
    <numFmt numFmtId="189" formatCode="0.00000"/>
    <numFmt numFmtId="190" formatCode="&quot;$&quot;#,##0\ "/>
    <numFmt numFmtId="191" formatCode="&quot;$&quot;#,##0.000000"/>
    <numFmt numFmtId="192" formatCode="_(&quot;$&quot;* #,##0_);_(&quot;$&quot;* \(#,##0\);_(&quot;$&quot;* &quot;-&quot;??_);_(@_)"/>
    <numFmt numFmtId="193" formatCode="_(* #,##0_);_(* \(#,##0\);_(* &quot;-&quot;??_);_(@_)"/>
    <numFmt numFmtId="194" formatCode="0_);\(0\)"/>
  </numFmts>
  <fonts count="5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name val="Geneva"/>
      <family val="0"/>
    </font>
    <font>
      <sz val="9"/>
      <name val="Geneva"/>
      <family val="0"/>
    </font>
    <font>
      <sz val="8"/>
      <name val="Geneva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4"/>
      <name val="Geneva"/>
      <family val="0"/>
    </font>
    <font>
      <b/>
      <u val="single"/>
      <sz val="10"/>
      <name val="Geneva"/>
      <family val="0"/>
    </font>
    <font>
      <sz val="10"/>
      <color indexed="8"/>
      <name val="Arial"/>
      <family val="0"/>
    </font>
    <font>
      <b/>
      <sz val="12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 horizontal="left"/>
    </xf>
    <xf numFmtId="3" fontId="0" fillId="0" borderId="0" xfId="0" applyNumberForma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8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17" fontId="0" fillId="0" borderId="10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0" fillId="0" borderId="0" xfId="0" applyNumberFormat="1" applyAlignment="1">
      <alignment/>
    </xf>
    <xf numFmtId="165" fontId="0" fillId="0" borderId="13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0" fontId="0" fillId="0" borderId="13" xfId="0" applyNumberFormat="1" applyBorder="1" applyAlignment="1">
      <alignment horizontal="center"/>
    </xf>
    <xf numFmtId="170" fontId="0" fillId="0" borderId="0" xfId="0" applyNumberFormat="1" applyAlignment="1">
      <alignment/>
    </xf>
    <xf numFmtId="168" fontId="1" fillId="0" borderId="12" xfId="0" applyNumberFormat="1" applyFont="1" applyBorder="1" applyAlignment="1">
      <alignment horizontal="center"/>
    </xf>
    <xf numFmtId="5" fontId="0" fillId="0" borderId="11" xfId="0" applyNumberFormat="1" applyBorder="1" applyAlignment="1">
      <alignment/>
    </xf>
    <xf numFmtId="168" fontId="0" fillId="0" borderId="11" xfId="0" applyNumberFormat="1" applyBorder="1" applyAlignment="1">
      <alignment/>
    </xf>
    <xf numFmtId="168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5" fontId="0" fillId="0" borderId="0" xfId="0" applyNumberFormat="1" applyBorder="1" applyAlignment="1">
      <alignment/>
    </xf>
    <xf numFmtId="0" fontId="6" fillId="0" borderId="0" xfId="0" applyFont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7" fontId="0" fillId="0" borderId="10" xfId="0" applyNumberFormat="1" applyBorder="1" applyAlignment="1">
      <alignment/>
    </xf>
    <xf numFmtId="17" fontId="0" fillId="0" borderId="0" xfId="0" applyNumberFormat="1" applyBorder="1" applyAlignment="1">
      <alignment/>
    </xf>
    <xf numFmtId="170" fontId="0" fillId="0" borderId="0" xfId="0" applyNumberFormat="1" applyFont="1" applyAlignment="1">
      <alignment/>
    </xf>
    <xf numFmtId="0" fontId="0" fillId="0" borderId="17" xfId="0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5" fontId="1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72" fontId="8" fillId="0" borderId="18" xfId="0" applyNumberFormat="1" applyFont="1" applyBorder="1" applyAlignment="1">
      <alignment/>
    </xf>
    <xf numFmtId="172" fontId="0" fillId="0" borderId="18" xfId="0" applyNumberFormat="1" applyBorder="1" applyAlignment="1">
      <alignment/>
    </xf>
    <xf numFmtId="172" fontId="7" fillId="0" borderId="18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9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38" fontId="10" fillId="0" borderId="0" xfId="0" applyNumberFormat="1" applyFont="1" applyAlignment="1">
      <alignment horizontal="center"/>
    </xf>
    <xf numFmtId="172" fontId="10" fillId="0" borderId="0" xfId="0" applyNumberFormat="1" applyFont="1" applyAlignment="1">
      <alignment horizontal="center"/>
    </xf>
    <xf numFmtId="172" fontId="0" fillId="0" borderId="0" xfId="0" applyNumberFormat="1" applyAlignment="1">
      <alignment horizontal="right"/>
    </xf>
    <xf numFmtId="38" fontId="0" fillId="0" borderId="0" xfId="0" applyNumberFormat="1" applyAlignment="1">
      <alignment/>
    </xf>
    <xf numFmtId="38" fontId="7" fillId="0" borderId="0" xfId="0" applyNumberFormat="1" applyFont="1" applyAlignment="1">
      <alignment/>
    </xf>
    <xf numFmtId="38" fontId="9" fillId="0" borderId="0" xfId="0" applyNumberFormat="1" applyFont="1" applyAlignment="1">
      <alignment/>
    </xf>
    <xf numFmtId="38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70" fontId="0" fillId="0" borderId="19" xfId="0" applyNumberFormat="1" applyBorder="1" applyAlignment="1">
      <alignment horizontal="center"/>
    </xf>
    <xf numFmtId="172" fontId="9" fillId="0" borderId="0" xfId="0" applyNumberFormat="1" applyFont="1" applyAlignment="1">
      <alignment horizontal="left"/>
    </xf>
    <xf numFmtId="172" fontId="7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170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3" fontId="0" fillId="0" borderId="0" xfId="0" applyNumberFormat="1" applyFont="1" applyAlignment="1">
      <alignment horizontal="right"/>
    </xf>
    <xf numFmtId="170" fontId="1" fillId="0" borderId="13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0" fillId="0" borderId="0" xfId="0" applyNumberFormat="1" applyAlignment="1">
      <alignment horizontal="right"/>
    </xf>
    <xf numFmtId="5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3" fontId="0" fillId="0" borderId="10" xfId="0" applyNumberFormat="1" applyBorder="1" applyAlignment="1">
      <alignment/>
    </xf>
    <xf numFmtId="173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168" fontId="0" fillId="0" borderId="0" xfId="0" applyNumberFormat="1" applyBorder="1" applyAlignment="1">
      <alignment horizontal="left"/>
    </xf>
    <xf numFmtId="173" fontId="0" fillId="0" borderId="0" xfId="0" applyNumberFormat="1" applyBorder="1" applyAlignment="1">
      <alignment horizontal="left"/>
    </xf>
    <xf numFmtId="3" fontId="0" fillId="0" borderId="0" xfId="0" applyNumberFormat="1" applyFill="1" applyAlignment="1">
      <alignment horizontal="right"/>
    </xf>
    <xf numFmtId="3" fontId="0" fillId="0" borderId="15" xfId="0" applyNumberFormat="1" applyBorder="1" applyAlignment="1">
      <alignment/>
    </xf>
    <xf numFmtId="37" fontId="0" fillId="0" borderId="0" xfId="0" applyNumberFormat="1" applyAlignment="1">
      <alignment/>
    </xf>
    <xf numFmtId="170" fontId="0" fillId="33" borderId="0" xfId="42" applyNumberFormat="1" applyFont="1" applyFill="1" applyAlignment="1">
      <alignment/>
    </xf>
    <xf numFmtId="168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0" fontId="0" fillId="0" borderId="0" xfId="59" applyNumberFormat="1" applyFont="1" applyBorder="1" applyAlignment="1">
      <alignment horizontal="center"/>
    </xf>
    <xf numFmtId="168" fontId="0" fillId="34" borderId="0" xfId="0" applyNumberFormat="1" applyFont="1" applyFill="1" applyBorder="1" applyAlignment="1">
      <alignment horizontal="center"/>
    </xf>
    <xf numFmtId="168" fontId="0" fillId="34" borderId="0" xfId="0" applyNumberForma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ill="1" applyBorder="1" applyAlignment="1">
      <alignment horizontal="right"/>
    </xf>
    <xf numFmtId="3" fontId="0" fillId="34" borderId="0" xfId="0" applyNumberFormat="1" applyFill="1" applyBorder="1" applyAlignment="1">
      <alignment horizontal="center"/>
    </xf>
    <xf numFmtId="168" fontId="0" fillId="34" borderId="13" xfId="0" applyNumberFormat="1" applyFill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0" fontId="14" fillId="0" borderId="0" xfId="0" applyFont="1" applyAlignment="1">
      <alignment/>
    </xf>
    <xf numFmtId="37" fontId="0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4" fillId="35" borderId="0" xfId="0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8" fontId="0" fillId="34" borderId="0" xfId="0" applyNumberFormat="1" applyFill="1" applyAlignment="1">
      <alignment horizontal="center"/>
    </xf>
    <xf numFmtId="9" fontId="0" fillId="33" borderId="0" xfId="59" applyNumberFormat="1" applyFont="1" applyFill="1" applyBorder="1" applyAlignment="1">
      <alignment horizontal="center"/>
    </xf>
    <xf numFmtId="168" fontId="0" fillId="33" borderId="0" xfId="0" applyNumberFormat="1" applyFill="1" applyAlignment="1">
      <alignment/>
    </xf>
    <xf numFmtId="170" fontId="0" fillId="33" borderId="0" xfId="0" applyNumberFormat="1" applyFill="1" applyAlignment="1">
      <alignment/>
    </xf>
    <xf numFmtId="17" fontId="4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3" fontId="0" fillId="0" borderId="0" xfId="0" applyNumberFormat="1" applyFont="1" applyBorder="1" applyAlignment="1">
      <alignment horizontal="left"/>
    </xf>
    <xf numFmtId="9" fontId="0" fillId="0" borderId="0" xfId="59" applyFont="1" applyAlignment="1">
      <alignment/>
    </xf>
    <xf numFmtId="173" fontId="0" fillId="0" borderId="13" xfId="0" applyNumberFormat="1" applyBorder="1" applyAlignment="1">
      <alignment horizontal="center"/>
    </xf>
    <xf numFmtId="0" fontId="16" fillId="0" borderId="0" xfId="0" applyFont="1" applyAlignment="1">
      <alignment/>
    </xf>
    <xf numFmtId="0" fontId="14" fillId="33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17" fontId="4" fillId="35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0"/>
  <sheetViews>
    <sheetView zoomScalePageLayoutView="0" workbookViewId="0" topLeftCell="A24">
      <selection activeCell="D24" sqref="D24:O24"/>
    </sheetView>
  </sheetViews>
  <sheetFormatPr defaultColWidth="9.00390625" defaultRowHeight="12.75"/>
  <cols>
    <col min="1" max="1" width="6.875" style="0" customWidth="1"/>
    <col min="2" max="2" width="36.875" style="0" customWidth="1"/>
    <col min="3" max="3" width="13.75390625" style="0" customWidth="1"/>
    <col min="4" max="10" width="10.75390625" style="0" customWidth="1"/>
    <col min="11" max="11" width="11.875" style="0" customWidth="1"/>
    <col min="12" max="15" width="10.75390625" style="0" customWidth="1"/>
  </cols>
  <sheetData>
    <row r="3" ht="12.75">
      <c r="D3" s="2" t="s">
        <v>161</v>
      </c>
    </row>
    <row r="6" spans="3:15" ht="12.75">
      <c r="C6" s="40">
        <f>SUM(D6:O6)</f>
        <v>8760</v>
      </c>
      <c r="D6" s="50">
        <f>'WGJ-4'!D6</f>
        <v>744</v>
      </c>
      <c r="E6" s="50">
        <v>672</v>
      </c>
      <c r="F6" s="50">
        <v>743</v>
      </c>
      <c r="G6" s="50">
        <v>720</v>
      </c>
      <c r="H6" s="50">
        <f>'WGJ-4'!H6</f>
        <v>744</v>
      </c>
      <c r="I6" s="50">
        <f>'WGJ-4'!I6</f>
        <v>720</v>
      </c>
      <c r="J6" s="50">
        <f>'WGJ-4'!J6</f>
        <v>744</v>
      </c>
      <c r="K6" s="50">
        <f>'WGJ-4'!K6</f>
        <v>744</v>
      </c>
      <c r="L6" s="50">
        <f>'WGJ-4'!L6</f>
        <v>720</v>
      </c>
      <c r="M6" s="50">
        <v>744</v>
      </c>
      <c r="N6" s="50">
        <v>721</v>
      </c>
      <c r="O6" s="50">
        <f>'WGJ-4'!O6</f>
        <v>744</v>
      </c>
    </row>
    <row r="7" spans="3:15" ht="12.75">
      <c r="C7" s="54" t="s">
        <v>38</v>
      </c>
      <c r="D7" s="51">
        <v>38356</v>
      </c>
      <c r="E7" s="51">
        <v>38387</v>
      </c>
      <c r="F7" s="51">
        <v>38415</v>
      </c>
      <c r="G7" s="51">
        <v>38446</v>
      </c>
      <c r="H7" s="51">
        <v>38476</v>
      </c>
      <c r="I7" s="51">
        <v>38507</v>
      </c>
      <c r="J7" s="51">
        <v>38537</v>
      </c>
      <c r="K7" s="51">
        <v>38568</v>
      </c>
      <c r="L7" s="51">
        <v>38599</v>
      </c>
      <c r="M7" s="51">
        <v>38629</v>
      </c>
      <c r="N7" s="51">
        <v>38660</v>
      </c>
      <c r="O7" s="51">
        <v>38690</v>
      </c>
    </row>
    <row r="8" spans="3:15" ht="12.75">
      <c r="C8" s="80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ht="12.75">
      <c r="A9" s="2" t="s">
        <v>165</v>
      </c>
      <c r="C9" s="31">
        <f>AVERAGE(D9:O9)</f>
        <v>57.403357574939726</v>
      </c>
      <c r="D9" s="106">
        <v>57.94820114135742</v>
      </c>
      <c r="E9" s="106">
        <v>62.65511184692383</v>
      </c>
      <c r="F9" s="106">
        <v>58.96760643005371</v>
      </c>
      <c r="G9" s="106">
        <v>52.12363319396972</v>
      </c>
      <c r="H9" s="106">
        <v>47.24958293914795</v>
      </c>
      <c r="I9" s="106">
        <v>41.325842962265014</v>
      </c>
      <c r="J9" s="106">
        <v>57.89856342315674</v>
      </c>
      <c r="K9" s="106">
        <v>65.02944129943847</v>
      </c>
      <c r="L9" s="106">
        <v>61.48937370300293</v>
      </c>
      <c r="M9" s="106">
        <v>59.02318649291992</v>
      </c>
      <c r="N9" s="106">
        <v>63.08802185058594</v>
      </c>
      <c r="O9" s="106">
        <v>62.041725616455075</v>
      </c>
    </row>
    <row r="10" spans="3:15" ht="12.75">
      <c r="C10" s="30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3" ht="12.75">
      <c r="A11" s="2" t="s">
        <v>47</v>
      </c>
      <c r="C11" s="30"/>
    </row>
    <row r="12" spans="2:3" ht="12.75">
      <c r="B12" t="s">
        <v>46</v>
      </c>
      <c r="C12" s="30"/>
    </row>
    <row r="13" spans="2:15" ht="12.75">
      <c r="B13" t="s">
        <v>105</v>
      </c>
      <c r="C13" s="29">
        <f>SUM(D13:O13)</f>
        <v>67890</v>
      </c>
      <c r="D13" s="3">
        <v>5766</v>
      </c>
      <c r="E13" s="3">
        <v>5208</v>
      </c>
      <c r="F13" s="3">
        <v>5766</v>
      </c>
      <c r="G13" s="3">
        <v>5580</v>
      </c>
      <c r="H13" s="3">
        <v>5766</v>
      </c>
      <c r="I13" s="3">
        <v>5580</v>
      </c>
      <c r="J13" s="3">
        <v>5766</v>
      </c>
      <c r="K13" s="3">
        <v>5766</v>
      </c>
      <c r="L13" s="3">
        <v>5580</v>
      </c>
      <c r="M13" s="3">
        <v>5766</v>
      </c>
      <c r="N13" s="3">
        <v>5580</v>
      </c>
      <c r="O13" s="3">
        <v>5766</v>
      </c>
    </row>
    <row r="14" spans="2:15" ht="12.75">
      <c r="B14" t="s">
        <v>118</v>
      </c>
      <c r="C14" s="116">
        <f>SUM(D14:O14)</f>
        <v>3896338.5667766193</v>
      </c>
      <c r="D14" s="27">
        <f aca="true" t="shared" si="0" ref="D14:O14">D9*D13</f>
        <v>334129.3277810669</v>
      </c>
      <c r="E14" s="27">
        <f t="shared" si="0"/>
        <v>326307.82249877934</v>
      </c>
      <c r="F14" s="27">
        <f t="shared" si="0"/>
        <v>340007.2186756897</v>
      </c>
      <c r="G14" s="27">
        <f t="shared" si="0"/>
        <v>290849.873222351</v>
      </c>
      <c r="H14" s="27">
        <f t="shared" si="0"/>
        <v>272441.0952271271</v>
      </c>
      <c r="I14" s="27">
        <f t="shared" si="0"/>
        <v>230598.20372943877</v>
      </c>
      <c r="J14" s="27">
        <f t="shared" si="0"/>
        <v>333843.11669792177</v>
      </c>
      <c r="K14" s="27">
        <f t="shared" si="0"/>
        <v>374959.75853256223</v>
      </c>
      <c r="L14" s="27">
        <f t="shared" si="0"/>
        <v>343110.7052627564</v>
      </c>
      <c r="M14" s="27">
        <f t="shared" si="0"/>
        <v>340327.69331817626</v>
      </c>
      <c r="N14" s="27">
        <f t="shared" si="0"/>
        <v>352031.16192626953</v>
      </c>
      <c r="O14" s="27">
        <f t="shared" si="0"/>
        <v>357732.58990448</v>
      </c>
    </row>
    <row r="15" ht="12.75">
      <c r="C15" s="30"/>
    </row>
    <row r="17" ht="12.75">
      <c r="A17" s="2" t="s">
        <v>138</v>
      </c>
    </row>
    <row r="18" spans="2:13" ht="12.75">
      <c r="B18" t="s">
        <v>226</v>
      </c>
      <c r="M18" s="3">
        <v>3720</v>
      </c>
    </row>
    <row r="19" spans="2:13" ht="12.75">
      <c r="B19" t="s">
        <v>166</v>
      </c>
      <c r="C19" s="115">
        <f>SUM(D19:O19)</f>
        <v>189806.2537536621</v>
      </c>
      <c r="K19" s="32"/>
      <c r="L19" s="32"/>
      <c r="M19" s="27">
        <f>(M9-8)*M18</f>
        <v>189806.2537536621</v>
      </c>
    </row>
    <row r="20" spans="3:13" ht="12.75">
      <c r="C20" s="122"/>
      <c r="K20" s="32"/>
      <c r="L20" s="32"/>
      <c r="M20" s="27"/>
    </row>
    <row r="21" spans="3:13" ht="12.75">
      <c r="C21" s="122"/>
      <c r="K21" s="32"/>
      <c r="L21" s="32"/>
      <c r="M21" s="27"/>
    </row>
    <row r="22" spans="1:15" ht="12.75">
      <c r="A22" s="2" t="s">
        <v>218</v>
      </c>
      <c r="C22" s="122"/>
      <c r="D22" s="127" t="s">
        <v>87</v>
      </c>
      <c r="E22" s="127" t="s">
        <v>88</v>
      </c>
      <c r="F22" s="127" t="s">
        <v>89</v>
      </c>
      <c r="G22" s="127" t="s">
        <v>90</v>
      </c>
      <c r="H22" s="127" t="s">
        <v>91</v>
      </c>
      <c r="I22" s="127" t="s">
        <v>92</v>
      </c>
      <c r="J22" s="127" t="s">
        <v>93</v>
      </c>
      <c r="K22" s="127" t="s">
        <v>94</v>
      </c>
      <c r="L22" s="127" t="s">
        <v>95</v>
      </c>
      <c r="M22" s="127" t="s">
        <v>96</v>
      </c>
      <c r="N22" s="127" t="s">
        <v>97</v>
      </c>
      <c r="O22" s="127" t="s">
        <v>98</v>
      </c>
    </row>
    <row r="23" spans="1:13" ht="12.75">
      <c r="A23" s="2"/>
      <c r="C23" s="122"/>
      <c r="K23" s="32"/>
      <c r="L23" s="32"/>
      <c r="M23" s="27"/>
    </row>
    <row r="24" spans="2:15" ht="12.75">
      <c r="B24" t="s">
        <v>219</v>
      </c>
      <c r="C24" s="122"/>
      <c r="D24" s="106">
        <f>D9</f>
        <v>57.94820114135742</v>
      </c>
      <c r="E24" s="106">
        <f aca="true" t="shared" si="1" ref="E24:O24">E9</f>
        <v>62.65511184692383</v>
      </c>
      <c r="F24" s="106">
        <f t="shared" si="1"/>
        <v>58.96760643005371</v>
      </c>
      <c r="G24" s="106">
        <f t="shared" si="1"/>
        <v>52.12363319396972</v>
      </c>
      <c r="H24" s="106">
        <f t="shared" si="1"/>
        <v>47.24958293914795</v>
      </c>
      <c r="I24" s="106">
        <f t="shared" si="1"/>
        <v>41.325842962265014</v>
      </c>
      <c r="J24" s="106">
        <f t="shared" si="1"/>
        <v>57.89856342315674</v>
      </c>
      <c r="K24" s="106">
        <f t="shared" si="1"/>
        <v>65.02944129943847</v>
      </c>
      <c r="L24" s="106">
        <f t="shared" si="1"/>
        <v>61.48937370300293</v>
      </c>
      <c r="M24" s="106">
        <f t="shared" si="1"/>
        <v>59.02318649291992</v>
      </c>
      <c r="N24" s="106">
        <f t="shared" si="1"/>
        <v>63.08802185058594</v>
      </c>
      <c r="O24" s="106">
        <f t="shared" si="1"/>
        <v>62.041725616455075</v>
      </c>
    </row>
    <row r="25" spans="11:13" ht="12.75">
      <c r="K25" s="32"/>
      <c r="L25" s="32"/>
      <c r="M25" s="27"/>
    </row>
    <row r="26" spans="2:15" ht="12.75">
      <c r="B26" t="s">
        <v>207</v>
      </c>
      <c r="C26" s="108">
        <f>SUM(D26:O26)</f>
        <v>155901.53373325893</v>
      </c>
      <c r="D26" s="3">
        <v>15871.797596958706</v>
      </c>
      <c r="E26" s="3">
        <v>11915.675916399274</v>
      </c>
      <c r="F26" s="3">
        <v>10453.633340890066</v>
      </c>
      <c r="G26" s="3">
        <v>8955.433368355887</v>
      </c>
      <c r="H26" s="3">
        <v>6768.473121425083</v>
      </c>
      <c r="I26" s="3">
        <v>9260.321418980191</v>
      </c>
      <c r="J26" s="3">
        <v>10569.711302839007</v>
      </c>
      <c r="K26" s="3">
        <v>10284.14994768415</v>
      </c>
      <c r="L26" s="3">
        <v>8889.61594063895</v>
      </c>
      <c r="M26" s="3">
        <v>10337.287892368862</v>
      </c>
      <c r="N26" s="3">
        <v>23952.646554129464</v>
      </c>
      <c r="O26" s="3">
        <v>28642.787332589283</v>
      </c>
    </row>
    <row r="27" spans="2:15" ht="12.75">
      <c r="B27" t="s">
        <v>174</v>
      </c>
      <c r="C27" s="109"/>
      <c r="D27" s="109">
        <v>0.0287</v>
      </c>
      <c r="E27" s="109">
        <v>0.0287</v>
      </c>
      <c r="F27" s="109">
        <v>0.0287</v>
      </c>
      <c r="G27" s="109">
        <v>0.0287</v>
      </c>
      <c r="H27" s="109">
        <v>0.0287</v>
      </c>
      <c r="I27" s="109">
        <v>0.0287</v>
      </c>
      <c r="J27" s="109">
        <v>0.0287</v>
      </c>
      <c r="K27" s="109">
        <v>0.0287</v>
      </c>
      <c r="L27" s="109">
        <v>0.0287</v>
      </c>
      <c r="M27" s="109">
        <v>0.0287</v>
      </c>
      <c r="N27" s="109">
        <v>0.033</v>
      </c>
      <c r="O27" s="109">
        <v>0.033</v>
      </c>
    </row>
    <row r="28" spans="2:15" ht="12.75">
      <c r="B28" t="s">
        <v>175</v>
      </c>
      <c r="C28" s="109"/>
      <c r="D28" s="109">
        <v>0.0041</v>
      </c>
      <c r="E28" s="109">
        <v>0.0041</v>
      </c>
      <c r="F28" s="109">
        <v>0.0041</v>
      </c>
      <c r="G28" s="109">
        <v>0.0041</v>
      </c>
      <c r="H28" s="109">
        <v>0.0041</v>
      </c>
      <c r="I28" s="109">
        <v>0.0041</v>
      </c>
      <c r="J28" s="109">
        <v>0.0041</v>
      </c>
      <c r="K28" s="109">
        <v>0.0041</v>
      </c>
      <c r="L28" s="109">
        <v>0.0041</v>
      </c>
      <c r="M28" s="109">
        <v>0.0041</v>
      </c>
      <c r="N28" s="109">
        <v>0.0049</v>
      </c>
      <c r="O28" s="109">
        <v>0.0049</v>
      </c>
    </row>
    <row r="29" spans="2:15" ht="12.75">
      <c r="B29" t="s">
        <v>178</v>
      </c>
      <c r="C29" s="109"/>
      <c r="D29" s="109">
        <f>SUM(D27:D28)</f>
        <v>0.0328</v>
      </c>
      <c r="E29" s="109">
        <f aca="true" t="shared" si="2" ref="E29:O29">SUM(E27:E28)</f>
        <v>0.0328</v>
      </c>
      <c r="F29" s="109">
        <f t="shared" si="2"/>
        <v>0.0328</v>
      </c>
      <c r="G29" s="109">
        <f t="shared" si="2"/>
        <v>0.0328</v>
      </c>
      <c r="H29" s="109">
        <f t="shared" si="2"/>
        <v>0.0328</v>
      </c>
      <c r="I29" s="109">
        <f t="shared" si="2"/>
        <v>0.0328</v>
      </c>
      <c r="J29" s="109">
        <f t="shared" si="2"/>
        <v>0.0328</v>
      </c>
      <c r="K29" s="109">
        <f t="shared" si="2"/>
        <v>0.0328</v>
      </c>
      <c r="L29" s="109">
        <f t="shared" si="2"/>
        <v>0.0328</v>
      </c>
      <c r="M29" s="109">
        <f t="shared" si="2"/>
        <v>0.0328</v>
      </c>
      <c r="N29" s="109">
        <f t="shared" si="2"/>
        <v>0.0379</v>
      </c>
      <c r="O29" s="109">
        <f t="shared" si="2"/>
        <v>0.0379</v>
      </c>
    </row>
    <row r="30" spans="2:15" ht="12.75">
      <c r="B30" t="s">
        <v>208</v>
      </c>
      <c r="C30" s="109"/>
      <c r="D30" s="124">
        <v>1</v>
      </c>
      <c r="E30" s="124">
        <v>1</v>
      </c>
      <c r="F30" s="124">
        <v>1</v>
      </c>
      <c r="G30" s="124">
        <v>1</v>
      </c>
      <c r="H30" s="124">
        <v>1</v>
      </c>
      <c r="I30" s="124">
        <v>1</v>
      </c>
      <c r="J30" s="124">
        <v>1</v>
      </c>
      <c r="K30" s="124">
        <v>1</v>
      </c>
      <c r="L30" s="124">
        <v>1</v>
      </c>
      <c r="M30" s="124">
        <v>1</v>
      </c>
      <c r="N30" s="124">
        <v>0.5</v>
      </c>
      <c r="O30" s="124">
        <v>0.5</v>
      </c>
    </row>
    <row r="31" ht="12.75">
      <c r="C31" s="108"/>
    </row>
    <row r="32" spans="2:15" ht="12.75">
      <c r="B32" t="s">
        <v>167</v>
      </c>
      <c r="C32" s="108">
        <f>SUM(D32:O32)</f>
        <v>136188.33388977853</v>
      </c>
      <c r="D32" s="3">
        <f>D26*(D27/D29)</f>
        <v>13887.822897338867</v>
      </c>
      <c r="E32" s="3">
        <f aca="true" t="shared" si="3" ref="E32:O32">E26*(E27/E29)</f>
        <v>10426.216426849363</v>
      </c>
      <c r="F32" s="3">
        <f t="shared" si="3"/>
        <v>9146.929173278806</v>
      </c>
      <c r="G32" s="3">
        <f t="shared" si="3"/>
        <v>7836.0041973114</v>
      </c>
      <c r="H32" s="3">
        <f t="shared" si="3"/>
        <v>5922.4139812469475</v>
      </c>
      <c r="I32" s="3">
        <f t="shared" si="3"/>
        <v>8102.781241607666</v>
      </c>
      <c r="J32" s="3">
        <f t="shared" si="3"/>
        <v>9248.49738998413</v>
      </c>
      <c r="K32" s="3">
        <f t="shared" si="3"/>
        <v>8998.631204223631</v>
      </c>
      <c r="L32" s="3">
        <f t="shared" si="3"/>
        <v>7778.413948059081</v>
      </c>
      <c r="M32" s="3">
        <f t="shared" si="3"/>
        <v>9045.126905822754</v>
      </c>
      <c r="N32" s="3">
        <f t="shared" si="3"/>
        <v>20855.866392777632</v>
      </c>
      <c r="O32" s="3">
        <f t="shared" si="3"/>
        <v>24939.630131278267</v>
      </c>
    </row>
    <row r="33" spans="2:15" ht="12.75">
      <c r="B33" t="s">
        <v>168</v>
      </c>
      <c r="C33" s="107">
        <f>SUM(D33:O33)</f>
        <v>8016395.225748443</v>
      </c>
      <c r="D33" s="27">
        <f aca="true" t="shared" si="4" ref="D33:O33">D9*D32</f>
        <v>804774.3546705418</v>
      </c>
      <c r="E33" s="27">
        <f t="shared" si="4"/>
        <v>653255.7563644814</v>
      </c>
      <c r="F33" s="27">
        <f t="shared" si="4"/>
        <v>539372.5195334812</v>
      </c>
      <c r="G33" s="27">
        <f t="shared" si="4"/>
        <v>408441.00848706655</v>
      </c>
      <c r="H33" s="27">
        <f t="shared" si="4"/>
        <v>279831.5906068971</v>
      </c>
      <c r="I33" s="27">
        <f t="shared" si="4"/>
        <v>334854.2651482651</v>
      </c>
      <c r="J33" s="27">
        <f t="shared" si="4"/>
        <v>535474.7127028956</v>
      </c>
      <c r="K33" s="27">
        <f t="shared" si="4"/>
        <v>585175.959670356</v>
      </c>
      <c r="L33" s="27">
        <f t="shared" si="4"/>
        <v>478289.80206885526</v>
      </c>
      <c r="M33" s="27">
        <f t="shared" si="4"/>
        <v>533872.2122145041</v>
      </c>
      <c r="N33" s="27">
        <f t="shared" si="4"/>
        <v>1315755.3547004561</v>
      </c>
      <c r="O33" s="27">
        <f t="shared" si="4"/>
        <v>1547297.6895806417</v>
      </c>
    </row>
    <row r="34" ht="12.75">
      <c r="D34" s="27"/>
    </row>
    <row r="35" spans="2:15" ht="12.75">
      <c r="B35" t="s">
        <v>169</v>
      </c>
      <c r="C35" s="107">
        <f>SUM(D35:O35)</f>
        <v>995393.7554408943</v>
      </c>
      <c r="D35" s="27">
        <f aca="true" t="shared" si="5" ref="D35:O35">(D32*(1-D30))*(D9-D42)</f>
        <v>0</v>
      </c>
      <c r="E35" s="27">
        <f t="shared" si="5"/>
        <v>0</v>
      </c>
      <c r="F35" s="27">
        <f t="shared" si="5"/>
        <v>0</v>
      </c>
      <c r="G35" s="27">
        <f t="shared" si="5"/>
        <v>0</v>
      </c>
      <c r="H35" s="27">
        <f t="shared" si="5"/>
        <v>0</v>
      </c>
      <c r="I35" s="27">
        <f t="shared" si="5"/>
        <v>0</v>
      </c>
      <c r="J35" s="27">
        <f t="shared" si="5"/>
        <v>0</v>
      </c>
      <c r="K35" s="27">
        <f t="shared" si="5"/>
        <v>0</v>
      </c>
      <c r="L35" s="27">
        <f t="shared" si="5"/>
        <v>0</v>
      </c>
      <c r="M35" s="27">
        <f t="shared" si="5"/>
        <v>0</v>
      </c>
      <c r="N35" s="27">
        <f t="shared" si="5"/>
        <v>459257.1272482665</v>
      </c>
      <c r="O35" s="27">
        <f t="shared" si="5"/>
        <v>536136.6281926278</v>
      </c>
    </row>
    <row r="37" spans="2:15" ht="12.75">
      <c r="B37" t="s">
        <v>170</v>
      </c>
      <c r="C37" s="110">
        <f>SUM(D37:O37)</f>
        <v>7021001.4703075485</v>
      </c>
      <c r="D37" s="27">
        <f>D33-D35</f>
        <v>804774.3546705418</v>
      </c>
      <c r="E37" s="27">
        <f aca="true" t="shared" si="6" ref="E37:O37">E33-E35</f>
        <v>653255.7563644814</v>
      </c>
      <c r="F37" s="27">
        <f t="shared" si="6"/>
        <v>539372.5195334812</v>
      </c>
      <c r="G37" s="27">
        <f t="shared" si="6"/>
        <v>408441.00848706655</v>
      </c>
      <c r="H37" s="27">
        <f t="shared" si="6"/>
        <v>279831.5906068971</v>
      </c>
      <c r="I37" s="27">
        <f t="shared" si="6"/>
        <v>334854.2651482651</v>
      </c>
      <c r="J37" s="27">
        <f t="shared" si="6"/>
        <v>535474.7127028956</v>
      </c>
      <c r="K37" s="27">
        <f t="shared" si="6"/>
        <v>585175.959670356</v>
      </c>
      <c r="L37" s="27">
        <f t="shared" si="6"/>
        <v>478289.80206885526</v>
      </c>
      <c r="M37" s="27">
        <f t="shared" si="6"/>
        <v>533872.2122145041</v>
      </c>
      <c r="N37" s="27">
        <f t="shared" si="6"/>
        <v>856498.2274521897</v>
      </c>
      <c r="O37" s="27">
        <f t="shared" si="6"/>
        <v>1011161.0613880139</v>
      </c>
    </row>
    <row r="38" spans="2:15" ht="12.75">
      <c r="B38" t="s">
        <v>171</v>
      </c>
      <c r="C38" s="128">
        <f aca="true" t="shared" si="7" ref="C38:O38">C37/C32</f>
        <v>51.55361894646471</v>
      </c>
      <c r="D38" s="32">
        <f t="shared" si="7"/>
        <v>57.94820114135742</v>
      </c>
      <c r="E38" s="32">
        <f t="shared" si="7"/>
        <v>62.65511184692383</v>
      </c>
      <c r="F38" s="32">
        <f t="shared" si="7"/>
        <v>58.96760643005371</v>
      </c>
      <c r="G38" s="32">
        <f t="shared" si="7"/>
        <v>52.12363319396972</v>
      </c>
      <c r="H38" s="32">
        <f t="shared" si="7"/>
        <v>47.249582939147956</v>
      </c>
      <c r="I38" s="32">
        <f t="shared" si="7"/>
        <v>41.325842962265014</v>
      </c>
      <c r="J38" s="32">
        <f t="shared" si="7"/>
        <v>57.89856342315673</v>
      </c>
      <c r="K38" s="32">
        <f t="shared" si="7"/>
        <v>65.02944129943847</v>
      </c>
      <c r="L38" s="32">
        <f t="shared" si="7"/>
        <v>61.48937370300293</v>
      </c>
      <c r="M38" s="32">
        <f t="shared" si="7"/>
        <v>59.023186492919926</v>
      </c>
      <c r="N38" s="32">
        <f t="shared" si="7"/>
        <v>41.067496853009864</v>
      </c>
      <c r="O38" s="32">
        <f t="shared" si="7"/>
        <v>40.54434873594444</v>
      </c>
    </row>
    <row r="41" spans="2:15" ht="12.75">
      <c r="B41" t="s">
        <v>177</v>
      </c>
      <c r="C41" s="108">
        <f>SUM(D41:O41)</f>
        <v>19713.199843480368</v>
      </c>
      <c r="D41" s="3">
        <f>D26*(D28/D29)</f>
        <v>1983.9746996198382</v>
      </c>
      <c r="E41" s="3">
        <f aca="true" t="shared" si="8" ref="E41:O41">E26*(E28/E29)</f>
        <v>1489.4594895499092</v>
      </c>
      <c r="F41" s="3">
        <f t="shared" si="8"/>
        <v>1306.7041676112583</v>
      </c>
      <c r="G41" s="3">
        <f t="shared" si="8"/>
        <v>1119.4291710444859</v>
      </c>
      <c r="H41" s="3">
        <f t="shared" si="8"/>
        <v>846.0591401781354</v>
      </c>
      <c r="I41" s="3">
        <f t="shared" si="8"/>
        <v>1157.5401773725239</v>
      </c>
      <c r="J41" s="3">
        <f t="shared" si="8"/>
        <v>1321.2139128548758</v>
      </c>
      <c r="K41" s="3">
        <f t="shared" si="8"/>
        <v>1285.5187434605189</v>
      </c>
      <c r="L41" s="3">
        <f t="shared" si="8"/>
        <v>1111.2019925798688</v>
      </c>
      <c r="M41" s="3">
        <f t="shared" si="8"/>
        <v>1292.1609865461078</v>
      </c>
      <c r="N41" s="3">
        <f t="shared" si="8"/>
        <v>3096.78016135183</v>
      </c>
      <c r="O41" s="3">
        <f t="shared" si="8"/>
        <v>3703.1572013110153</v>
      </c>
    </row>
    <row r="42" spans="2:15" ht="12.75">
      <c r="B42" t="s">
        <v>209</v>
      </c>
      <c r="D42" s="126">
        <f>$C58</f>
        <v>18.031826658601986</v>
      </c>
      <c r="E42" s="126">
        <f aca="true" t="shared" si="9" ref="E42:M42">$C58</f>
        <v>18.031826658601986</v>
      </c>
      <c r="F42" s="126">
        <f t="shared" si="9"/>
        <v>18.031826658601986</v>
      </c>
      <c r="G42" s="126">
        <f t="shared" si="9"/>
        <v>18.031826658601986</v>
      </c>
      <c r="H42" s="126">
        <f t="shared" si="9"/>
        <v>18.031826658601986</v>
      </c>
      <c r="I42" s="126">
        <f t="shared" si="9"/>
        <v>18.031826658601986</v>
      </c>
      <c r="J42" s="126">
        <f t="shared" si="9"/>
        <v>18.031826658601986</v>
      </c>
      <c r="K42" s="126">
        <f t="shared" si="9"/>
        <v>18.031826658601986</v>
      </c>
      <c r="L42" s="126">
        <f t="shared" si="9"/>
        <v>18.031826658601986</v>
      </c>
      <c r="M42" s="126">
        <f t="shared" si="9"/>
        <v>18.031826658601986</v>
      </c>
      <c r="N42" s="126">
        <f>$C60</f>
        <v>19.046971855433807</v>
      </c>
      <c r="O42" s="126">
        <f>$C60</f>
        <v>19.046971855433807</v>
      </c>
    </row>
    <row r="43" spans="2:15" ht="12.75">
      <c r="B43" t="s">
        <v>176</v>
      </c>
      <c r="C43" s="111">
        <f>SUM(D43:O43)</f>
        <v>362367.9262164822</v>
      </c>
      <c r="D43" s="27">
        <f>D41*D42</f>
        <v>35774.687878596866</v>
      </c>
      <c r="E43" s="27">
        <f aca="true" t="shared" si="10" ref="E43:O43">E41*E42</f>
        <v>26857.67533057376</v>
      </c>
      <c r="F43" s="27">
        <f t="shared" si="10"/>
        <v>23562.263044439005</v>
      </c>
      <c r="G43" s="27">
        <f t="shared" si="10"/>
        <v>20185.352768856683</v>
      </c>
      <c r="H43" s="27">
        <f t="shared" si="10"/>
        <v>15255.991758617976</v>
      </c>
      <c r="I43" s="27">
        <f t="shared" si="10"/>
        <v>20872.56382874875</v>
      </c>
      <c r="J43" s="27">
        <f t="shared" si="10"/>
        <v>23823.90025553239</v>
      </c>
      <c r="K43" s="27">
        <f t="shared" si="10"/>
        <v>23180.25114846391</v>
      </c>
      <c r="L43" s="27">
        <f t="shared" si="10"/>
        <v>20037.001712893325</v>
      </c>
      <c r="M43" s="27">
        <f t="shared" si="10"/>
        <v>23300.02292440755</v>
      </c>
      <c r="N43" s="27">
        <f t="shared" si="10"/>
        <v>58984.28457573407</v>
      </c>
      <c r="O43" s="27">
        <f t="shared" si="10"/>
        <v>70533.93098961793</v>
      </c>
    </row>
    <row r="44" spans="2:15" ht="12.75">
      <c r="B44" t="s">
        <v>220</v>
      </c>
      <c r="C44" s="128">
        <f>C43/C41</f>
        <v>18.381994252258647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4:15" ht="12.75"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2:15" ht="12.75">
      <c r="B46" t="s">
        <v>221</v>
      </c>
      <c r="C46" s="123">
        <f>C37+C43</f>
        <v>7383369.396524031</v>
      </c>
      <c r="D46" s="27">
        <f>D37+D43</f>
        <v>840549.0425491387</v>
      </c>
      <c r="E46" s="27">
        <f aca="true" t="shared" si="11" ref="E46:O46">E37+E43</f>
        <v>680113.4316950552</v>
      </c>
      <c r="F46" s="27">
        <f t="shared" si="11"/>
        <v>562934.7825779202</v>
      </c>
      <c r="G46" s="27">
        <f t="shared" si="11"/>
        <v>428626.3612559232</v>
      </c>
      <c r="H46" s="27">
        <f t="shared" si="11"/>
        <v>295087.58236551506</v>
      </c>
      <c r="I46" s="27">
        <f t="shared" si="11"/>
        <v>355726.8289770139</v>
      </c>
      <c r="J46" s="27">
        <f t="shared" si="11"/>
        <v>559298.612958428</v>
      </c>
      <c r="K46" s="27">
        <f t="shared" si="11"/>
        <v>608356.2108188199</v>
      </c>
      <c r="L46" s="27">
        <f t="shared" si="11"/>
        <v>498326.8037817486</v>
      </c>
      <c r="M46" s="27">
        <f t="shared" si="11"/>
        <v>557172.2351389116</v>
      </c>
      <c r="N46" s="27">
        <f t="shared" si="11"/>
        <v>915482.5120279237</v>
      </c>
      <c r="O46" s="27">
        <f t="shared" si="11"/>
        <v>1081694.9923776318</v>
      </c>
    </row>
    <row r="47" spans="2:3" ht="12.75">
      <c r="B47" t="s">
        <v>222</v>
      </c>
      <c r="C47" s="128">
        <f>C46/C26</f>
        <v>47.35918383687405</v>
      </c>
    </row>
    <row r="49" ht="12.75">
      <c r="B49" s="2" t="s">
        <v>223</v>
      </c>
    </row>
    <row r="50" spans="2:15" ht="12.75">
      <c r="B50" t="s">
        <v>211</v>
      </c>
      <c r="D50" s="60">
        <v>581.7073170731708</v>
      </c>
      <c r="E50" s="60">
        <v>491.46341463414626</v>
      </c>
      <c r="F50" s="60">
        <v>420.73170731707313</v>
      </c>
      <c r="G50" s="60">
        <v>491.46341463414626</v>
      </c>
      <c r="H50" s="60">
        <v>578.0487804878048</v>
      </c>
      <c r="I50" s="60">
        <v>636.5853658536586</v>
      </c>
      <c r="J50" s="60">
        <v>559.7560975609756</v>
      </c>
      <c r="K50" s="60">
        <v>331.7073170731707</v>
      </c>
      <c r="L50" s="60">
        <v>324.390243902439</v>
      </c>
      <c r="M50" s="60">
        <v>373.1707317073171</v>
      </c>
      <c r="N50" s="60">
        <v>413.4146341463414</v>
      </c>
      <c r="O50" s="60">
        <v>482.9268292682927</v>
      </c>
    </row>
    <row r="51" spans="2:15" ht="12.75">
      <c r="B51" t="s">
        <v>211</v>
      </c>
      <c r="C51" s="122">
        <f>SUM(D51:O51)</f>
        <v>4149739.0243902435</v>
      </c>
      <c r="D51" s="60">
        <f aca="true" t="shared" si="12" ref="D51:O51">D6*D50</f>
        <v>432790.2439024391</v>
      </c>
      <c r="E51" s="60">
        <f t="shared" si="12"/>
        <v>330263.41463414626</v>
      </c>
      <c r="F51" s="60">
        <f t="shared" si="12"/>
        <v>312603.65853658534</v>
      </c>
      <c r="G51" s="60">
        <f t="shared" si="12"/>
        <v>353853.6585365853</v>
      </c>
      <c r="H51" s="60">
        <f t="shared" si="12"/>
        <v>430068.2926829268</v>
      </c>
      <c r="I51" s="60">
        <f t="shared" si="12"/>
        <v>458341.46341463417</v>
      </c>
      <c r="J51" s="60">
        <f t="shared" si="12"/>
        <v>416458.53658536583</v>
      </c>
      <c r="K51" s="60">
        <f t="shared" si="12"/>
        <v>246790.24390243902</v>
      </c>
      <c r="L51" s="60">
        <f t="shared" si="12"/>
        <v>233560.97560975607</v>
      </c>
      <c r="M51" s="60">
        <f t="shared" si="12"/>
        <v>277639.0243902439</v>
      </c>
      <c r="N51" s="60">
        <f t="shared" si="12"/>
        <v>298071.95121951215</v>
      </c>
      <c r="O51" s="60">
        <f t="shared" si="12"/>
        <v>359297.56097560975</v>
      </c>
    </row>
    <row r="52" spans="2:3" ht="12.75">
      <c r="B52" t="s">
        <v>210</v>
      </c>
      <c r="C52" s="125">
        <v>82951000</v>
      </c>
    </row>
    <row r="53" spans="2:3" ht="12.75">
      <c r="B53" t="s">
        <v>212</v>
      </c>
      <c r="C53" s="32">
        <f>C52/C51</f>
        <v>19.989449821411046</v>
      </c>
    </row>
    <row r="55" spans="2:15" ht="12.75">
      <c r="B55" t="s">
        <v>213</v>
      </c>
      <c r="D55" s="60">
        <v>645.4545454545455</v>
      </c>
      <c r="E55" s="60">
        <v>536.3636363636363</v>
      </c>
      <c r="F55" s="60">
        <v>427.27272727272725</v>
      </c>
      <c r="G55" s="60">
        <v>375.75757575757575</v>
      </c>
      <c r="H55" s="60">
        <v>275.75757575757575</v>
      </c>
      <c r="I55" s="60">
        <v>390.9090909090909</v>
      </c>
      <c r="J55" s="60">
        <v>430.30303030303025</v>
      </c>
      <c r="K55" s="60">
        <v>418.1818181818182</v>
      </c>
      <c r="L55" s="60">
        <v>372.72727272727275</v>
      </c>
      <c r="M55" s="60">
        <v>421.2121212121212</v>
      </c>
      <c r="N55" s="60">
        <v>460.60606060606057</v>
      </c>
      <c r="O55" s="60">
        <v>527.2727272727273</v>
      </c>
    </row>
    <row r="56" spans="2:15" ht="12.75">
      <c r="B56" t="s">
        <v>214</v>
      </c>
      <c r="C56" s="122">
        <f>SUM(D56:O56)</f>
        <v>3852687.8787878784</v>
      </c>
      <c r="D56" s="60">
        <f aca="true" t="shared" si="13" ref="D56:O56">D6*D55</f>
        <v>480218.1818181818</v>
      </c>
      <c r="E56" s="60">
        <f t="shared" si="13"/>
        <v>360436.3636363636</v>
      </c>
      <c r="F56" s="60">
        <f t="shared" si="13"/>
        <v>317463.63636363635</v>
      </c>
      <c r="G56" s="60">
        <f t="shared" si="13"/>
        <v>270545.45454545453</v>
      </c>
      <c r="H56" s="60">
        <f t="shared" si="13"/>
        <v>205163.63636363635</v>
      </c>
      <c r="I56" s="60">
        <f t="shared" si="13"/>
        <v>281454.5454545454</v>
      </c>
      <c r="J56" s="60">
        <f t="shared" si="13"/>
        <v>320145.45454545453</v>
      </c>
      <c r="K56" s="60">
        <f t="shared" si="13"/>
        <v>311127.2727272727</v>
      </c>
      <c r="L56" s="60">
        <f t="shared" si="13"/>
        <v>268363.63636363635</v>
      </c>
      <c r="M56" s="60">
        <f t="shared" si="13"/>
        <v>313381.8181818182</v>
      </c>
      <c r="N56" s="60">
        <f t="shared" si="13"/>
        <v>332096.96969696967</v>
      </c>
      <c r="O56" s="60">
        <f t="shared" si="13"/>
        <v>392290.90909090906</v>
      </c>
    </row>
    <row r="57" spans="2:3" ht="12.75">
      <c r="B57" t="s">
        <v>215</v>
      </c>
      <c r="C57" s="125">
        <v>69471000</v>
      </c>
    </row>
    <row r="58" spans="2:3" ht="12.75">
      <c r="B58" t="s">
        <v>216</v>
      </c>
      <c r="C58" s="32">
        <f>C57/C56</f>
        <v>18.031826658601986</v>
      </c>
    </row>
    <row r="60" spans="2:3" ht="12.75">
      <c r="B60" t="s">
        <v>217</v>
      </c>
      <c r="C60" s="32">
        <f>(C57+C52)/(C51+C56)</f>
        <v>19.046971855433807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4">
      <selection activeCell="C23" sqref="C23:N23"/>
    </sheetView>
  </sheetViews>
  <sheetFormatPr defaultColWidth="9.00390625" defaultRowHeight="12.75"/>
  <cols>
    <col min="1" max="1" width="28.625" style="0" customWidth="1"/>
    <col min="2" max="2" width="13.00390625" style="0" customWidth="1"/>
    <col min="3" max="14" width="11.75390625" style="0" customWidth="1"/>
  </cols>
  <sheetData>
    <row r="1" ht="15.75">
      <c r="A1" s="132" t="s">
        <v>236</v>
      </c>
    </row>
    <row r="2" ht="15.75">
      <c r="A2" s="132" t="s">
        <v>241</v>
      </c>
    </row>
    <row r="3" ht="15.75">
      <c r="A3" s="132" t="s">
        <v>237</v>
      </c>
    </row>
    <row r="4" ht="15.75">
      <c r="A4" s="132"/>
    </row>
    <row r="5" ht="12.75">
      <c r="A5" s="2"/>
    </row>
    <row r="6" ht="12.75">
      <c r="A6" s="2"/>
    </row>
    <row r="7" spans="1:2" ht="12.75">
      <c r="A7" s="133" t="s">
        <v>238</v>
      </c>
      <c r="B7" s="58"/>
    </row>
    <row r="8" ht="12.75">
      <c r="A8" s="134"/>
    </row>
    <row r="9" spans="2:14" ht="12.75">
      <c r="B9" s="121" t="s">
        <v>38</v>
      </c>
      <c r="C9" s="136">
        <v>38359</v>
      </c>
      <c r="D9" s="136">
        <v>38390</v>
      </c>
      <c r="E9" s="136">
        <v>38418</v>
      </c>
      <c r="F9" s="136">
        <v>38449</v>
      </c>
      <c r="G9" s="136">
        <v>38479</v>
      </c>
      <c r="H9" s="136">
        <v>38510</v>
      </c>
      <c r="I9" s="136">
        <v>38540</v>
      </c>
      <c r="J9" s="136">
        <v>38571</v>
      </c>
      <c r="K9" s="136">
        <v>38602</v>
      </c>
      <c r="L9" s="136">
        <v>38632</v>
      </c>
      <c r="M9" s="136">
        <v>38663</v>
      </c>
      <c r="N9" s="136">
        <v>38693</v>
      </c>
    </row>
    <row r="10" spans="2:14" ht="12.75"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</row>
    <row r="11" spans="1:14" ht="12.75">
      <c r="A11" t="s">
        <v>200</v>
      </c>
      <c r="B11" s="3">
        <f>SUM(C11:N11)</f>
        <v>137977397.63086477</v>
      </c>
      <c r="C11" s="3">
        <f>'WGJ-2'!K39</f>
        <v>18535782.0824134</v>
      </c>
      <c r="D11" s="3">
        <f>'WGJ-2'!L39</f>
        <v>12961105.476076465</v>
      </c>
      <c r="E11" s="3">
        <f>'WGJ-2'!M39</f>
        <v>12327640.66155926</v>
      </c>
      <c r="F11" s="3">
        <f>'WGJ-2'!N39</f>
        <v>8322616.956530202</v>
      </c>
      <c r="G11" s="3">
        <f>'WGJ-2'!O39</f>
        <v>6164057.418819942</v>
      </c>
      <c r="H11" s="3">
        <f>'WGJ-2'!P39</f>
        <v>6118341.628213095</v>
      </c>
      <c r="I11" s="3">
        <f>'WGJ-2'!Q39</f>
        <v>8010378.584047524</v>
      </c>
      <c r="J11" s="3">
        <f>'WGJ-2'!R39</f>
        <v>10828869.605808774</v>
      </c>
      <c r="K11" s="3">
        <f>'WGJ-2'!S39</f>
        <v>11007893.933953812</v>
      </c>
      <c r="L11" s="3">
        <f>'WGJ-2'!T39</f>
        <v>12918315.98842842</v>
      </c>
      <c r="M11" s="3">
        <f>'WGJ-2'!U39</f>
        <v>14635800.527346665</v>
      </c>
      <c r="N11" s="3">
        <f>'WGJ-2'!V39</f>
        <v>16146594.76766722</v>
      </c>
    </row>
    <row r="13" spans="1:14" ht="12.75">
      <c r="A13" t="s">
        <v>198</v>
      </c>
      <c r="B13" s="3">
        <f>SUM(C13:N13)</f>
        <v>31507124.929656986</v>
      </c>
      <c r="C13" s="105">
        <f>'WGJ-2'!K53</f>
        <v>2910807.4213663735</v>
      </c>
      <c r="D13" s="105">
        <f>'WGJ-2'!L53</f>
        <v>2727458.926188151</v>
      </c>
      <c r="E13" s="105">
        <f>'WGJ-2'!M53</f>
        <v>2932808.0449930825</v>
      </c>
      <c r="F13" s="105">
        <f>'WGJ-2'!N53</f>
        <v>2582442.6542154946</v>
      </c>
      <c r="G13" s="105">
        <f>'WGJ-2'!O53</f>
        <v>1255673.0747477214</v>
      </c>
      <c r="H13" s="105">
        <f>'WGJ-2'!P53</f>
        <v>1333012.2416178386</v>
      </c>
      <c r="I13" s="105">
        <f>'WGJ-2'!Q53</f>
        <v>2889524.7776285806</v>
      </c>
      <c r="J13" s="105">
        <f>'WGJ-2'!R53</f>
        <v>3025063.359781901</v>
      </c>
      <c r="K13" s="105">
        <f>'WGJ-2'!S53</f>
        <v>2909474.3607584634</v>
      </c>
      <c r="L13" s="105">
        <f>'WGJ-2'!T53</f>
        <v>3016832.8959147134</v>
      </c>
      <c r="M13" s="105">
        <f>'WGJ-2'!U53</f>
        <v>2936276.6398111978</v>
      </c>
      <c r="N13" s="105">
        <f>'WGJ-2'!V53</f>
        <v>2987750.5326334634</v>
      </c>
    </row>
    <row r="15" spans="1:14" ht="12.75">
      <c r="A15" t="s">
        <v>197</v>
      </c>
      <c r="B15" s="3">
        <f>SUM(C15:N15)</f>
        <v>79320452.52061407</v>
      </c>
      <c r="C15" s="3">
        <f>'WGJ-2'!K62</f>
        <v>5172380.987490532</v>
      </c>
      <c r="D15" s="3">
        <f>'WGJ-2'!L62</f>
        <v>5821993.057202223</v>
      </c>
      <c r="E15" s="3">
        <f>'WGJ-2'!M62</f>
        <v>5439685.467057773</v>
      </c>
      <c r="F15" s="3">
        <f>'WGJ-2'!N62</f>
        <v>4114144.037110253</v>
      </c>
      <c r="G15" s="3">
        <f>'WGJ-2'!O62</f>
        <v>3082430.567784303</v>
      </c>
      <c r="H15" s="3">
        <f>'WGJ-2'!P62</f>
        <v>3297063.4688145574</v>
      </c>
      <c r="I15" s="3">
        <f>'WGJ-2'!Q62</f>
        <v>7590713.613349332</v>
      </c>
      <c r="J15" s="3">
        <f>'WGJ-2'!R62</f>
        <v>10106772.92207661</v>
      </c>
      <c r="K15" s="3">
        <f>'WGJ-2'!S62</f>
        <v>9082584.88600925</v>
      </c>
      <c r="L15" s="3">
        <f>'WGJ-2'!T62</f>
        <v>8682756.408897776</v>
      </c>
      <c r="M15" s="3">
        <f>'WGJ-2'!U62</f>
        <v>9271960.286407847</v>
      </c>
      <c r="N15" s="3">
        <f>'WGJ-2'!V62</f>
        <v>7657966.818413619</v>
      </c>
    </row>
    <row r="17" spans="1:14" ht="12.75">
      <c r="A17" s="17" t="s">
        <v>196</v>
      </c>
      <c r="B17" s="91">
        <f>SUM(C17:N17)</f>
        <v>72842111.83154714</v>
      </c>
      <c r="C17" s="91">
        <f>'WGJ-2'!K100</f>
        <v>3058525.9631163534</v>
      </c>
      <c r="D17" s="91">
        <f>'WGJ-2'!L100</f>
        <v>4348163.1553438315</v>
      </c>
      <c r="E17" s="91">
        <f>'WGJ-2'!M100</f>
        <v>5436648.16431371</v>
      </c>
      <c r="F17" s="91">
        <f>'WGJ-2'!N100</f>
        <v>8566003.406750996</v>
      </c>
      <c r="G17" s="91">
        <f>'WGJ-2'!O100</f>
        <v>12206417.963716712</v>
      </c>
      <c r="H17" s="91">
        <f>'WGJ-2'!P100</f>
        <v>10326160.509230742</v>
      </c>
      <c r="I17" s="91">
        <f>'WGJ-2'!Q100</f>
        <v>8696057.407062504</v>
      </c>
      <c r="J17" s="91">
        <f>'WGJ-2'!R100</f>
        <v>4497019.11725652</v>
      </c>
      <c r="K17" s="91">
        <f>'WGJ-2'!S100</f>
        <v>4027551.1607884727</v>
      </c>
      <c r="L17" s="91">
        <f>'WGJ-2'!T100</f>
        <v>3478669.166299947</v>
      </c>
      <c r="M17" s="91">
        <f>'WGJ-2'!U100</f>
        <v>4667592.36879476</v>
      </c>
      <c r="N17" s="91">
        <f>'WGJ-2'!V100</f>
        <v>3533303.4488725793</v>
      </c>
    </row>
    <row r="18" ht="12.75" customHeight="1"/>
    <row r="19" spans="1:14" ht="12.75">
      <c r="A19" s="2" t="s">
        <v>179</v>
      </c>
      <c r="B19" s="3">
        <f>SUM(C19:N19)</f>
        <v>175962863.24958873</v>
      </c>
      <c r="C19" s="3">
        <f>SUM(C11:C15)-C17</f>
        <v>23560444.528153956</v>
      </c>
      <c r="D19" s="3">
        <f aca="true" t="shared" si="0" ref="D19:N19">SUM(D11:D15)-D17</f>
        <v>17162394.304123007</v>
      </c>
      <c r="E19" s="3">
        <f t="shared" si="0"/>
        <v>15263486.009296402</v>
      </c>
      <c r="F19" s="3">
        <f t="shared" si="0"/>
        <v>6453200.241104953</v>
      </c>
      <c r="G19" s="3">
        <f t="shared" si="0"/>
        <v>-1704256.9023647457</v>
      </c>
      <c r="H19" s="3">
        <f t="shared" si="0"/>
        <v>422256.8294147495</v>
      </c>
      <c r="I19" s="3">
        <f t="shared" si="0"/>
        <v>9794559.567962933</v>
      </c>
      <c r="J19" s="3">
        <f t="shared" si="0"/>
        <v>19463686.77041076</v>
      </c>
      <c r="K19" s="3">
        <f t="shared" si="0"/>
        <v>18972402.019933052</v>
      </c>
      <c r="L19" s="3">
        <f t="shared" si="0"/>
        <v>21139236.126940962</v>
      </c>
      <c r="M19" s="3">
        <f t="shared" si="0"/>
        <v>22176445.084770948</v>
      </c>
      <c r="N19" s="3">
        <f t="shared" si="0"/>
        <v>23259008.66984172</v>
      </c>
    </row>
    <row r="20" ht="12.75" customHeight="1"/>
    <row r="21" spans="1:14" ht="12.75">
      <c r="A21" s="2" t="s">
        <v>180</v>
      </c>
      <c r="B21" s="3">
        <f>SUM(C21:N21)</f>
        <v>14320999.999999994</v>
      </c>
      <c r="C21" s="3">
        <f>'WGJ-2'!K78</f>
        <v>1193416.6666666665</v>
      </c>
      <c r="D21" s="3">
        <f>'WGJ-2'!L78</f>
        <v>1193416.6666666665</v>
      </c>
      <c r="E21" s="3">
        <f>'WGJ-2'!M78</f>
        <v>1193416.6666666665</v>
      </c>
      <c r="F21" s="3">
        <f>'WGJ-2'!N78</f>
        <v>1193416.6666666665</v>
      </c>
      <c r="G21" s="3">
        <f>'WGJ-2'!O78</f>
        <v>1193416.6666666665</v>
      </c>
      <c r="H21" s="3">
        <f>'WGJ-2'!P78</f>
        <v>1193416.6666666665</v>
      </c>
      <c r="I21" s="3">
        <f>'WGJ-2'!Q78</f>
        <v>1193416.6666666665</v>
      </c>
      <c r="J21" s="3">
        <f>'WGJ-2'!R78</f>
        <v>1193416.6666666665</v>
      </c>
      <c r="K21" s="3">
        <f>'WGJ-2'!S78</f>
        <v>1193416.6666666665</v>
      </c>
      <c r="L21" s="3">
        <f>'WGJ-2'!T78</f>
        <v>1193416.6666666665</v>
      </c>
      <c r="M21" s="3">
        <f>'WGJ-2'!U78</f>
        <v>1193416.6666666665</v>
      </c>
      <c r="N21" s="3">
        <f>'WGJ-2'!V78</f>
        <v>1193416.6666666665</v>
      </c>
    </row>
    <row r="22" ht="12.75" customHeight="1"/>
    <row r="23" spans="1:14" s="2" customFormat="1" ht="12.75">
      <c r="A23" s="2" t="s">
        <v>199</v>
      </c>
      <c r="B23" s="3">
        <f>SUM(C23:N23)</f>
        <v>-9252389.012500001</v>
      </c>
      <c r="C23" s="119">
        <v>-672565.77</v>
      </c>
      <c r="D23" s="119">
        <v>-656245.87</v>
      </c>
      <c r="E23" s="119">
        <v>-730201.99</v>
      </c>
      <c r="F23" s="119">
        <v>-696691.79</v>
      </c>
      <c r="G23" s="119">
        <v>-790644.59</v>
      </c>
      <c r="H23" s="119">
        <v>-1121595.2025000001</v>
      </c>
      <c r="I23" s="119">
        <v>-1014917.79</v>
      </c>
      <c r="J23" s="119">
        <v>-861785.54</v>
      </c>
      <c r="K23" s="119">
        <v>-653240.84</v>
      </c>
      <c r="L23" s="119">
        <v>-718735.54</v>
      </c>
      <c r="M23" s="119">
        <v>-703074.02</v>
      </c>
      <c r="N23" s="119">
        <v>-632690.07</v>
      </c>
    </row>
    <row r="24" ht="12.75" customHeight="1">
      <c r="B24" s="3"/>
    </row>
    <row r="25" spans="1:14" ht="12.75">
      <c r="A25" s="120" t="s">
        <v>194</v>
      </c>
      <c r="B25" s="91">
        <f>SUM(C25:N25)</f>
        <v>52000.00000000001</v>
      </c>
      <c r="C25" s="91">
        <f>'WGJ-2'!$F42/12*1000</f>
        <v>4333.333333333333</v>
      </c>
      <c r="D25" s="91">
        <f>'WGJ-2'!$F42/12*1000</f>
        <v>4333.333333333333</v>
      </c>
      <c r="E25" s="91">
        <f>'WGJ-2'!$F42/12*1000</f>
        <v>4333.333333333333</v>
      </c>
      <c r="F25" s="91">
        <f>'WGJ-2'!$F42/12*1000</f>
        <v>4333.333333333333</v>
      </c>
      <c r="G25" s="91">
        <f>'WGJ-2'!$F42/12*1000</f>
        <v>4333.333333333333</v>
      </c>
      <c r="H25" s="91">
        <f>'WGJ-2'!$F42/12*1000</f>
        <v>4333.333333333333</v>
      </c>
      <c r="I25" s="91">
        <f>'WGJ-2'!$F42/12*1000</f>
        <v>4333.333333333333</v>
      </c>
      <c r="J25" s="91">
        <f>'WGJ-2'!$F42/12*1000</f>
        <v>4333.333333333333</v>
      </c>
      <c r="K25" s="91">
        <f>'WGJ-2'!$F42/12*1000</f>
        <v>4333.333333333333</v>
      </c>
      <c r="L25" s="91">
        <f>'WGJ-2'!$F42/12*1000</f>
        <v>4333.333333333333</v>
      </c>
      <c r="M25" s="91">
        <f>'WGJ-2'!$F42/12*1000</f>
        <v>4333.333333333333</v>
      </c>
      <c r="N25" s="91">
        <f>'WGJ-2'!$F42/12*1000</f>
        <v>4333.333333333333</v>
      </c>
    </row>
    <row r="26" ht="12.75" customHeight="1"/>
    <row r="27" spans="1:14" ht="12.75">
      <c r="A27" s="2" t="s">
        <v>195</v>
      </c>
      <c r="B27" s="3">
        <f>SUM(C27:N27)</f>
        <v>181083474.23708868</v>
      </c>
      <c r="C27" s="3">
        <f>SUM(C19:C25)</f>
        <v>24085628.758153956</v>
      </c>
      <c r="D27" s="3">
        <f aca="true" t="shared" si="1" ref="D27:N27">SUM(D19:D25)</f>
        <v>17703898.434123006</v>
      </c>
      <c r="E27" s="3">
        <f t="shared" si="1"/>
        <v>15731034.019296402</v>
      </c>
      <c r="F27" s="3">
        <f t="shared" si="1"/>
        <v>6954258.451104952</v>
      </c>
      <c r="G27" s="3">
        <f t="shared" si="1"/>
        <v>-1297151.4923647458</v>
      </c>
      <c r="H27" s="3">
        <f t="shared" si="1"/>
        <v>498411.6269147492</v>
      </c>
      <c r="I27" s="3">
        <f t="shared" si="1"/>
        <v>9977391.777962932</v>
      </c>
      <c r="J27" s="3">
        <f t="shared" si="1"/>
        <v>19799651.230410762</v>
      </c>
      <c r="K27" s="3">
        <f t="shared" si="1"/>
        <v>19516911.179933053</v>
      </c>
      <c r="L27" s="3">
        <f t="shared" si="1"/>
        <v>21618250.586940963</v>
      </c>
      <c r="M27" s="3">
        <f t="shared" si="1"/>
        <v>22671121.06477095</v>
      </c>
      <c r="N27" s="3">
        <f t="shared" si="1"/>
        <v>23824068.59984172</v>
      </c>
    </row>
    <row r="31" spans="1:2" ht="12.75">
      <c r="A31" s="133" t="s">
        <v>239</v>
      </c>
      <c r="B31" s="58"/>
    </row>
    <row r="34" spans="2:14" ht="12.75">
      <c r="B34" s="121" t="s">
        <v>38</v>
      </c>
      <c r="C34" s="136">
        <v>38359</v>
      </c>
      <c r="D34" s="136">
        <v>38390</v>
      </c>
      <c r="E34" s="136">
        <v>38418</v>
      </c>
      <c r="F34" s="136">
        <v>38449</v>
      </c>
      <c r="G34" s="136">
        <v>38479</v>
      </c>
      <c r="H34" s="136">
        <v>38510</v>
      </c>
      <c r="I34" s="136">
        <v>38540</v>
      </c>
      <c r="J34" s="136">
        <v>38571</v>
      </c>
      <c r="K34" s="136">
        <v>38602</v>
      </c>
      <c r="L34" s="136">
        <v>38632</v>
      </c>
      <c r="M34" s="136">
        <v>38663</v>
      </c>
      <c r="N34" s="136">
        <v>38693</v>
      </c>
    </row>
    <row r="36" spans="1:14" ht="12.75">
      <c r="A36" s="2" t="s">
        <v>240</v>
      </c>
      <c r="B36" s="3">
        <f>SUM(C36:N36)</f>
        <v>5580783.051901942</v>
      </c>
      <c r="C36" s="3">
        <v>557362.855760304</v>
      </c>
      <c r="D36" s="3">
        <v>482599.8419547331</v>
      </c>
      <c r="E36" s="3">
        <v>468215.16460695094</v>
      </c>
      <c r="F36" s="3">
        <v>413064.7699061623</v>
      </c>
      <c r="G36" s="3">
        <v>417489.17717163265</v>
      </c>
      <c r="H36" s="3">
        <v>417457.9299577156</v>
      </c>
      <c r="I36" s="3">
        <v>475798.8085349162</v>
      </c>
      <c r="J36" s="3">
        <v>458543.8399339249</v>
      </c>
      <c r="K36" s="3">
        <v>425385.48460804624</v>
      </c>
      <c r="L36" s="3">
        <v>456639.5535330838</v>
      </c>
      <c r="M36" s="3">
        <v>475819.7104884441</v>
      </c>
      <c r="N36" s="3">
        <v>532405.9154460282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Header>&amp;R&amp;"Geneva,Bold"&amp;12Exhibit No.   (WGJ-5)</oddHeader>
    <oddFooter>&amp;RPage 1 of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697"/>
  <sheetViews>
    <sheetView tabSelected="1" zoomScalePageLayoutView="0" workbookViewId="0" topLeftCell="A2">
      <pane xSplit="10440" ySplit="2100" topLeftCell="J71" activePane="bottomLeft" state="split"/>
      <selection pane="topLeft" activeCell="D2" sqref="D2"/>
      <selection pane="topRight" activeCell="L7" sqref="L7"/>
      <selection pane="bottomLeft" activeCell="E127" sqref="E127"/>
      <selection pane="bottomRight" activeCell="G3" sqref="G3"/>
    </sheetView>
  </sheetViews>
  <sheetFormatPr defaultColWidth="11.375" defaultRowHeight="12.75"/>
  <cols>
    <col min="1" max="1" width="6.125" style="4" customWidth="1"/>
    <col min="2" max="2" width="35.625" style="0" customWidth="1"/>
    <col min="3" max="3" width="9.00390625" style="0" customWidth="1"/>
    <col min="4" max="4" width="15.25390625" style="0" customWidth="1"/>
    <col min="5" max="5" width="13.00390625" style="0" customWidth="1"/>
    <col min="6" max="6" width="14.25390625" style="3" customWidth="1"/>
    <col min="7" max="7" width="13.125" style="3" customWidth="1"/>
    <col min="8" max="8" width="14.75390625" style="3" hidden="1" customWidth="1"/>
    <col min="9" max="9" width="31.625" style="20" customWidth="1"/>
    <col min="10" max="10" width="15.875" style="0" customWidth="1"/>
    <col min="11" max="11" width="12.00390625" style="0" customWidth="1"/>
  </cols>
  <sheetData>
    <row r="1" spans="1:9" ht="12.75">
      <c r="A1" s="8"/>
      <c r="B1" s="8"/>
      <c r="D1" s="14" t="s">
        <v>37</v>
      </c>
      <c r="F1"/>
      <c r="G1"/>
      <c r="H1"/>
      <c r="I1"/>
    </row>
    <row r="2" spans="1:9" ht="12.75">
      <c r="A2" s="8"/>
      <c r="B2" s="8"/>
      <c r="D2" s="14" t="s">
        <v>231</v>
      </c>
      <c r="F2"/>
      <c r="G2"/>
      <c r="H2"/>
      <c r="I2"/>
    </row>
    <row r="3" spans="1:9" ht="12.75">
      <c r="A3" s="10"/>
      <c r="B3" s="8"/>
      <c r="D3" s="14" t="s">
        <v>230</v>
      </c>
      <c r="F3"/>
      <c r="G3"/>
      <c r="H3"/>
      <c r="I3" s="76"/>
    </row>
    <row r="4" spans="1:9" ht="12.75">
      <c r="A4" s="10"/>
      <c r="D4" s="14" t="s">
        <v>203</v>
      </c>
      <c r="E4" s="2"/>
      <c r="F4"/>
      <c r="G4"/>
      <c r="H4" s="5" t="s">
        <v>156</v>
      </c>
      <c r="I4" s="76"/>
    </row>
    <row r="5" spans="1:22" ht="12.75" customHeight="1">
      <c r="A5" s="5"/>
      <c r="D5" s="11"/>
      <c r="E5" s="11"/>
      <c r="F5" s="11"/>
      <c r="G5" s="11"/>
      <c r="H5" s="11" t="s">
        <v>157</v>
      </c>
      <c r="I5" s="89"/>
      <c r="K5">
        <v>744</v>
      </c>
      <c r="L5">
        <v>672</v>
      </c>
      <c r="M5">
        <v>744</v>
      </c>
      <c r="N5">
        <v>719</v>
      </c>
      <c r="O5">
        <v>744</v>
      </c>
      <c r="P5">
        <v>720</v>
      </c>
      <c r="Q5">
        <v>744</v>
      </c>
      <c r="R5">
        <v>744</v>
      </c>
      <c r="S5">
        <v>720</v>
      </c>
      <c r="T5">
        <v>745</v>
      </c>
      <c r="U5">
        <v>720</v>
      </c>
      <c r="V5">
        <v>744</v>
      </c>
    </row>
    <row r="6" spans="1:9" ht="12.75">
      <c r="A6" s="5" t="s">
        <v>0</v>
      </c>
      <c r="D6" s="57" t="s">
        <v>201</v>
      </c>
      <c r="E6" s="11"/>
      <c r="F6" s="57" t="s">
        <v>204</v>
      </c>
      <c r="G6" s="57"/>
      <c r="H6" s="57" t="s">
        <v>154</v>
      </c>
      <c r="I6" s="90"/>
    </row>
    <row r="7" spans="1:22" ht="12.75">
      <c r="A7" s="49" t="s">
        <v>1</v>
      </c>
      <c r="D7" s="15" t="s">
        <v>2</v>
      </c>
      <c r="E7" s="1" t="s">
        <v>3</v>
      </c>
      <c r="F7" s="15" t="s">
        <v>232</v>
      </c>
      <c r="G7" s="15"/>
      <c r="H7" s="15" t="s">
        <v>155</v>
      </c>
      <c r="I7" s="93" t="s">
        <v>134</v>
      </c>
      <c r="J7" s="85" t="s">
        <v>38</v>
      </c>
      <c r="K7" s="51">
        <v>38352</v>
      </c>
      <c r="L7" s="51">
        <v>38383</v>
      </c>
      <c r="M7" s="51">
        <v>38411</v>
      </c>
      <c r="N7" s="51">
        <v>38442</v>
      </c>
      <c r="O7" s="51">
        <v>38472</v>
      </c>
      <c r="P7" s="51">
        <v>38503</v>
      </c>
      <c r="Q7" s="51">
        <v>38533</v>
      </c>
      <c r="R7" s="51">
        <v>38564</v>
      </c>
      <c r="S7" s="51">
        <v>38595</v>
      </c>
      <c r="T7" s="51">
        <v>38625</v>
      </c>
      <c r="U7" s="51">
        <v>38656</v>
      </c>
      <c r="V7" s="51">
        <v>38686</v>
      </c>
    </row>
    <row r="8" spans="1:9" ht="12.75">
      <c r="A8" s="5"/>
      <c r="B8" s="7" t="s">
        <v>4</v>
      </c>
      <c r="D8" s="9"/>
      <c r="E8" s="12"/>
      <c r="F8" s="9"/>
      <c r="G8" s="9"/>
      <c r="H8" s="9"/>
      <c r="I8" s="19"/>
    </row>
    <row r="9" spans="1:22" ht="12.75">
      <c r="A9" s="5">
        <f aca="true" t="shared" si="0" ref="A9:A15">A8+1</f>
        <v>1</v>
      </c>
      <c r="B9" t="s">
        <v>227</v>
      </c>
      <c r="D9" s="18">
        <v>0</v>
      </c>
      <c r="E9" s="18">
        <f aca="true" t="shared" si="1" ref="E9:E14">F9-D9</f>
        <v>53587.112062548396</v>
      </c>
      <c r="F9" s="18">
        <f>'WGJ-4'!C13/1000</f>
        <v>53587.112062548396</v>
      </c>
      <c r="G9" s="18"/>
      <c r="H9" s="18">
        <v>20917.01898142919</v>
      </c>
      <c r="I9" s="101" t="s">
        <v>149</v>
      </c>
      <c r="J9" s="3">
        <f>SUM(K9:V9)/1000</f>
        <v>53587.112062548396</v>
      </c>
      <c r="K9" s="60">
        <f>'WGJ-4'!D13</f>
        <v>8333956.313476563</v>
      </c>
      <c r="L9" s="60">
        <f>'WGJ-4'!E13</f>
        <v>3741176.8603515625</v>
      </c>
      <c r="M9" s="60">
        <f>'WGJ-4'!F13</f>
        <v>3970485.8542251587</v>
      </c>
      <c r="N9" s="60">
        <f>'WGJ-4'!G13</f>
        <v>1620602.586631775</v>
      </c>
      <c r="O9" s="60">
        <f>'WGJ-4'!H13</f>
        <v>436705.68727374077</v>
      </c>
      <c r="P9" s="60">
        <f>'WGJ-4'!I13</f>
        <v>520437.2378540039</v>
      </c>
      <c r="Q9" s="60">
        <f>'WGJ-4'!J13</f>
        <v>2577553.815460205</v>
      </c>
      <c r="R9" s="60">
        <f>'WGJ-4'!K13</f>
        <v>5607565.899658203</v>
      </c>
      <c r="S9" s="60">
        <f>'WGJ-4'!L13</f>
        <v>6005033.5400390625</v>
      </c>
      <c r="T9" s="60">
        <f>'WGJ-4'!M13</f>
        <v>7532991.38671875</v>
      </c>
      <c r="U9" s="60">
        <f>'WGJ-4'!N13</f>
        <v>6064268.1005859375</v>
      </c>
      <c r="V9" s="60">
        <f>'WGJ-4'!O13</f>
        <v>7176334.7802734375</v>
      </c>
    </row>
    <row r="10" spans="1:22" ht="12.75">
      <c r="A10" s="5">
        <f t="shared" si="0"/>
        <v>2</v>
      </c>
      <c r="B10" t="s">
        <v>233</v>
      </c>
      <c r="D10" s="18">
        <v>94024</v>
      </c>
      <c r="E10" s="18">
        <f t="shared" si="1"/>
        <v>-89689</v>
      </c>
      <c r="F10" s="19">
        <v>4335</v>
      </c>
      <c r="G10" s="18"/>
      <c r="H10" s="18"/>
      <c r="I10" s="101"/>
      <c r="J10" s="3">
        <f>SUM(K10:V10)/1000</f>
        <v>4335.1</v>
      </c>
      <c r="K10" s="60">
        <v>1520100</v>
      </c>
      <c r="L10" s="60">
        <v>1351200</v>
      </c>
      <c r="M10" s="60">
        <v>1463800</v>
      </c>
      <c r="N10" s="60"/>
      <c r="O10" s="60"/>
      <c r="P10" s="60"/>
      <c r="Q10" s="60"/>
      <c r="R10" s="60"/>
      <c r="S10" s="60"/>
      <c r="T10" s="60"/>
      <c r="U10" s="60"/>
      <c r="V10" s="60"/>
    </row>
    <row r="11" spans="1:22" ht="12.75">
      <c r="A11" s="5">
        <f t="shared" si="0"/>
        <v>3</v>
      </c>
      <c r="B11" t="s">
        <v>5</v>
      </c>
      <c r="D11" s="19">
        <v>2181</v>
      </c>
      <c r="E11" s="19">
        <f t="shared" si="1"/>
        <v>119</v>
      </c>
      <c r="F11" s="97">
        <v>2300</v>
      </c>
      <c r="G11" s="22"/>
      <c r="H11" s="22">
        <v>1916</v>
      </c>
      <c r="I11" s="19"/>
      <c r="J11" s="3">
        <f>SUM(K11:V11)/1000</f>
        <v>2300</v>
      </c>
      <c r="K11" s="59">
        <f>$F11/12*1000</f>
        <v>191666.66666666666</v>
      </c>
      <c r="L11" s="59">
        <f aca="true" t="shared" si="2" ref="L11:V11">$F11/12*1000</f>
        <v>191666.66666666666</v>
      </c>
      <c r="M11" s="59">
        <f t="shared" si="2"/>
        <v>191666.66666666666</v>
      </c>
      <c r="N11" s="59">
        <f t="shared" si="2"/>
        <v>191666.66666666666</v>
      </c>
      <c r="O11" s="59">
        <f t="shared" si="2"/>
        <v>191666.66666666666</v>
      </c>
      <c r="P11" s="59">
        <f t="shared" si="2"/>
        <v>191666.66666666666</v>
      </c>
      <c r="Q11" s="59">
        <f t="shared" si="2"/>
        <v>191666.66666666666</v>
      </c>
      <c r="R11" s="59">
        <f t="shared" si="2"/>
        <v>191666.66666666666</v>
      </c>
      <c r="S11" s="59">
        <f t="shared" si="2"/>
        <v>191666.66666666666</v>
      </c>
      <c r="T11" s="59">
        <f t="shared" si="2"/>
        <v>191666.66666666666</v>
      </c>
      <c r="U11" s="59">
        <f t="shared" si="2"/>
        <v>191666.66666666666</v>
      </c>
      <c r="V11" s="59">
        <f t="shared" si="2"/>
        <v>191666.66666666666</v>
      </c>
    </row>
    <row r="12" spans="1:22" ht="12.75">
      <c r="A12" s="5">
        <f t="shared" si="0"/>
        <v>4</v>
      </c>
      <c r="B12" t="s">
        <v>6</v>
      </c>
      <c r="D12" s="19">
        <v>4430</v>
      </c>
      <c r="E12" s="19">
        <f t="shared" si="1"/>
        <v>1238</v>
      </c>
      <c r="F12" s="19">
        <v>5668</v>
      </c>
      <c r="G12" s="100" t="s">
        <v>205</v>
      </c>
      <c r="H12" s="19">
        <v>3534</v>
      </c>
      <c r="I12" s="19"/>
      <c r="J12" s="3">
        <f aca="true" t="shared" si="3" ref="J12:J39">SUM(K12:V12)/1000</f>
        <v>5667.999999999999</v>
      </c>
      <c r="K12" s="59">
        <f>$F12/12*1000</f>
        <v>472333.3333333333</v>
      </c>
      <c r="L12" s="59">
        <f aca="true" t="shared" si="4" ref="L12:V12">$F12/12*1000</f>
        <v>472333.3333333333</v>
      </c>
      <c r="M12" s="59">
        <f t="shared" si="4"/>
        <v>472333.3333333333</v>
      </c>
      <c r="N12" s="59">
        <f t="shared" si="4"/>
        <v>472333.3333333333</v>
      </c>
      <c r="O12" s="59">
        <f t="shared" si="4"/>
        <v>472333.3333333333</v>
      </c>
      <c r="P12" s="59">
        <f t="shared" si="4"/>
        <v>472333.3333333333</v>
      </c>
      <c r="Q12" s="59">
        <f t="shared" si="4"/>
        <v>472333.3333333333</v>
      </c>
      <c r="R12" s="59">
        <f t="shared" si="4"/>
        <v>472333.3333333333</v>
      </c>
      <c r="S12" s="59">
        <f t="shared" si="4"/>
        <v>472333.3333333333</v>
      </c>
      <c r="T12" s="59">
        <f t="shared" si="4"/>
        <v>472333.3333333333</v>
      </c>
      <c r="U12" s="59">
        <f t="shared" si="4"/>
        <v>472333.3333333333</v>
      </c>
      <c r="V12" s="59">
        <f t="shared" si="4"/>
        <v>472333.3333333333</v>
      </c>
    </row>
    <row r="13" spans="1:22" ht="12.75">
      <c r="A13" s="5">
        <f t="shared" si="0"/>
        <v>5</v>
      </c>
      <c r="B13" t="s">
        <v>7</v>
      </c>
      <c r="D13" s="19">
        <v>1275</v>
      </c>
      <c r="E13" s="19">
        <f t="shared" si="1"/>
        <v>78</v>
      </c>
      <c r="F13" s="97">
        <v>1353</v>
      </c>
      <c r="G13" s="22"/>
      <c r="H13" s="22">
        <v>1177</v>
      </c>
      <c r="I13" s="19"/>
      <c r="J13" s="3">
        <f>SUM(K13:V13)/1000</f>
        <v>1353</v>
      </c>
      <c r="K13" s="59">
        <f aca="true" t="shared" si="5" ref="K13:V13">$F13/12*1000</f>
        <v>112750</v>
      </c>
      <c r="L13" s="59">
        <f t="shared" si="5"/>
        <v>112750</v>
      </c>
      <c r="M13" s="59">
        <f t="shared" si="5"/>
        <v>112750</v>
      </c>
      <c r="N13" s="59">
        <f t="shared" si="5"/>
        <v>112750</v>
      </c>
      <c r="O13" s="59">
        <f t="shared" si="5"/>
        <v>112750</v>
      </c>
      <c r="P13" s="59">
        <f t="shared" si="5"/>
        <v>112750</v>
      </c>
      <c r="Q13" s="59">
        <f t="shared" si="5"/>
        <v>112750</v>
      </c>
      <c r="R13" s="59">
        <f t="shared" si="5"/>
        <v>112750</v>
      </c>
      <c r="S13" s="59">
        <f t="shared" si="5"/>
        <v>112750</v>
      </c>
      <c r="T13" s="59">
        <f t="shared" si="5"/>
        <v>112750</v>
      </c>
      <c r="U13" s="59">
        <f t="shared" si="5"/>
        <v>112750</v>
      </c>
      <c r="V13" s="59">
        <f t="shared" si="5"/>
        <v>112750</v>
      </c>
    </row>
    <row r="14" spans="1:22" ht="12.75">
      <c r="A14" s="5">
        <f t="shared" si="0"/>
        <v>6</v>
      </c>
      <c r="B14" t="s">
        <v>218</v>
      </c>
      <c r="D14" s="19">
        <v>3924</v>
      </c>
      <c r="E14" s="19">
        <f t="shared" si="1"/>
        <v>3459.369396524031</v>
      </c>
      <c r="F14" s="95">
        <f>Index!C46/1000</f>
        <v>7383.369396524031</v>
      </c>
      <c r="G14" s="100" t="s">
        <v>148</v>
      </c>
      <c r="H14" s="19">
        <v>0</v>
      </c>
      <c r="I14" s="100" t="s">
        <v>173</v>
      </c>
      <c r="J14" s="3">
        <f t="shared" si="3"/>
        <v>7383.369396524031</v>
      </c>
      <c r="K14" s="59">
        <f>Index!D46</f>
        <v>840549.0425491387</v>
      </c>
      <c r="L14" s="59">
        <f>Index!E46</f>
        <v>680113.4316950552</v>
      </c>
      <c r="M14" s="59">
        <f>Index!F46</f>
        <v>562934.7825779202</v>
      </c>
      <c r="N14" s="59">
        <f>Index!G46</f>
        <v>428626.3612559232</v>
      </c>
      <c r="O14" s="59">
        <f>Index!H46</f>
        <v>295087.58236551506</v>
      </c>
      <c r="P14" s="59">
        <f>Index!I46</f>
        <v>355726.8289770139</v>
      </c>
      <c r="Q14" s="59">
        <f>Index!J46</f>
        <v>559298.612958428</v>
      </c>
      <c r="R14" s="59">
        <f>Index!K46</f>
        <v>608356.2108188199</v>
      </c>
      <c r="S14" s="59">
        <f>Index!L46</f>
        <v>498326.8037817486</v>
      </c>
      <c r="T14" s="59">
        <f>Index!M46</f>
        <v>557172.2351389116</v>
      </c>
      <c r="U14" s="59">
        <f>Index!N46</f>
        <v>915482.5120279237</v>
      </c>
      <c r="V14" s="59">
        <f>Index!O46</f>
        <v>1081694.9923776318</v>
      </c>
    </row>
    <row r="15" spans="1:22" ht="12.75">
      <c r="A15" s="5">
        <f t="shared" si="0"/>
        <v>7</v>
      </c>
      <c r="B15" t="s">
        <v>145</v>
      </c>
      <c r="D15" s="95">
        <v>5610</v>
      </c>
      <c r="E15" s="95">
        <f aca="true" t="shared" si="6" ref="E15:E23">F15-D15</f>
        <v>-190</v>
      </c>
      <c r="F15" s="97">
        <v>5420</v>
      </c>
      <c r="G15" s="97"/>
      <c r="H15" s="97">
        <v>13906</v>
      </c>
      <c r="I15" s="19"/>
      <c r="J15" s="3">
        <f t="shared" si="3"/>
        <v>5419.893</v>
      </c>
      <c r="K15" s="59">
        <v>396845</v>
      </c>
      <c r="L15" s="59">
        <v>385325</v>
      </c>
      <c r="M15" s="59">
        <v>383970</v>
      </c>
      <c r="N15" s="59">
        <v>504296</v>
      </c>
      <c r="O15" s="59">
        <v>521948</v>
      </c>
      <c r="P15" s="59">
        <v>431143</v>
      </c>
      <c r="Q15" s="59">
        <v>510592</v>
      </c>
      <c r="R15" s="59">
        <v>433750</v>
      </c>
      <c r="S15" s="59">
        <v>430216</v>
      </c>
      <c r="T15" s="59">
        <v>449179</v>
      </c>
      <c r="U15" s="59">
        <v>468347</v>
      </c>
      <c r="V15" s="59">
        <v>504282</v>
      </c>
    </row>
    <row r="16" spans="1:22" ht="12.75">
      <c r="A16" s="5">
        <f aca="true" t="shared" si="7" ref="A16:A39">A15+1</f>
        <v>8</v>
      </c>
      <c r="B16" t="s">
        <v>144</v>
      </c>
      <c r="D16" s="95">
        <v>617</v>
      </c>
      <c r="E16" s="95">
        <f t="shared" si="6"/>
        <v>16</v>
      </c>
      <c r="F16" s="97">
        <v>633</v>
      </c>
      <c r="G16" s="97"/>
      <c r="H16" s="97">
        <v>5512</v>
      </c>
      <c r="I16" s="19"/>
      <c r="J16" s="3">
        <f t="shared" si="3"/>
        <v>633.2804079290565</v>
      </c>
      <c r="K16" s="59">
        <v>36042.87362076569</v>
      </c>
      <c r="L16" s="59">
        <v>33177.558967093486</v>
      </c>
      <c r="M16" s="59">
        <v>49182.83396112232</v>
      </c>
      <c r="N16" s="59">
        <v>71614.94877877645</v>
      </c>
      <c r="O16" s="59">
        <v>93054.76696156495</v>
      </c>
      <c r="P16" s="59">
        <v>96125.51241107128</v>
      </c>
      <c r="Q16" s="59">
        <v>73487.96909824597</v>
      </c>
      <c r="R16" s="59">
        <v>56859.98286709353</v>
      </c>
      <c r="S16" s="59">
        <v>29780.19300037419</v>
      </c>
      <c r="T16" s="59">
        <v>35359.29144339907</v>
      </c>
      <c r="U16" s="59">
        <v>29293.939834275003</v>
      </c>
      <c r="V16" s="59">
        <v>29300.536985274583</v>
      </c>
    </row>
    <row r="17" spans="1:22" ht="12.75">
      <c r="A17" s="5">
        <f t="shared" si="7"/>
        <v>9</v>
      </c>
      <c r="B17" t="s">
        <v>8</v>
      </c>
      <c r="D17" s="19">
        <v>11870</v>
      </c>
      <c r="E17" s="19">
        <f t="shared" si="6"/>
        <v>2787</v>
      </c>
      <c r="F17" s="95">
        <v>14657</v>
      </c>
      <c r="G17" s="19"/>
      <c r="H17" s="19">
        <v>-2690</v>
      </c>
      <c r="I17" s="102" t="s">
        <v>136</v>
      </c>
      <c r="J17" s="3">
        <f t="shared" si="3"/>
        <v>14656.761295688246</v>
      </c>
      <c r="K17" s="60">
        <v>2993035.584103893</v>
      </c>
      <c r="L17" s="60">
        <v>2703387.207037269</v>
      </c>
      <c r="M17" s="60">
        <v>1477751.974946611</v>
      </c>
      <c r="N17" s="60">
        <v>1430082.5861190753</v>
      </c>
      <c r="O17" s="60"/>
      <c r="P17" s="60"/>
      <c r="Q17" s="60"/>
      <c r="R17" s="60"/>
      <c r="S17" s="60"/>
      <c r="T17" s="60"/>
      <c r="U17" s="60">
        <v>2976641.37680608</v>
      </c>
      <c r="V17" s="60">
        <v>3075862.5666753175</v>
      </c>
    </row>
    <row r="18" spans="1:22" ht="12.75">
      <c r="A18" s="5">
        <f t="shared" si="7"/>
        <v>10</v>
      </c>
      <c r="B18" t="s">
        <v>9</v>
      </c>
      <c r="D18" s="19">
        <v>8</v>
      </c>
      <c r="E18" s="19">
        <f t="shared" si="6"/>
        <v>0</v>
      </c>
      <c r="F18" s="19">
        <v>8</v>
      </c>
      <c r="G18" s="19"/>
      <c r="H18" s="19">
        <v>6679.5</v>
      </c>
      <c r="I18" s="19"/>
      <c r="J18" s="3">
        <f t="shared" si="3"/>
        <v>8.000000000000002</v>
      </c>
      <c r="K18" s="59">
        <f aca="true" t="shared" si="8" ref="K18:V18">$F18/12*1000</f>
        <v>666.6666666666666</v>
      </c>
      <c r="L18" s="59">
        <f t="shared" si="8"/>
        <v>666.6666666666666</v>
      </c>
      <c r="M18" s="59">
        <f t="shared" si="8"/>
        <v>666.6666666666666</v>
      </c>
      <c r="N18" s="59">
        <f t="shared" si="8"/>
        <v>666.6666666666666</v>
      </c>
      <c r="O18" s="59">
        <f t="shared" si="8"/>
        <v>666.6666666666666</v>
      </c>
      <c r="P18" s="59">
        <f t="shared" si="8"/>
        <v>666.6666666666666</v>
      </c>
      <c r="Q18" s="59">
        <f t="shared" si="8"/>
        <v>666.6666666666666</v>
      </c>
      <c r="R18" s="59">
        <f t="shared" si="8"/>
        <v>666.6666666666666</v>
      </c>
      <c r="S18" s="59">
        <f t="shared" si="8"/>
        <v>666.6666666666666</v>
      </c>
      <c r="T18" s="59">
        <f t="shared" si="8"/>
        <v>666.6666666666666</v>
      </c>
      <c r="U18" s="59">
        <f t="shared" si="8"/>
        <v>666.6666666666666</v>
      </c>
      <c r="V18" s="59">
        <f t="shared" si="8"/>
        <v>666.6666666666666</v>
      </c>
    </row>
    <row r="19" spans="1:22" ht="12.75">
      <c r="A19" s="5">
        <f t="shared" si="7"/>
        <v>11</v>
      </c>
      <c r="B19" t="s">
        <v>164</v>
      </c>
      <c r="D19" s="19">
        <v>1091</v>
      </c>
      <c r="E19" s="19">
        <f t="shared" si="6"/>
        <v>58</v>
      </c>
      <c r="F19" s="97">
        <v>1149</v>
      </c>
      <c r="G19" s="97"/>
      <c r="H19" s="97">
        <v>6132</v>
      </c>
      <c r="I19" s="19"/>
      <c r="J19" s="3">
        <f t="shared" si="3"/>
        <v>1148.713</v>
      </c>
      <c r="K19" s="59">
        <v>121055</v>
      </c>
      <c r="L19" s="59">
        <v>129391</v>
      </c>
      <c r="M19" s="59">
        <v>128632</v>
      </c>
      <c r="N19" s="59">
        <v>132485</v>
      </c>
      <c r="O19" s="59">
        <v>116616</v>
      </c>
      <c r="P19" s="59">
        <v>117582</v>
      </c>
      <c r="Q19" s="59">
        <v>87134</v>
      </c>
      <c r="R19" s="59">
        <v>44597</v>
      </c>
      <c r="S19" s="59">
        <v>43996</v>
      </c>
      <c r="T19" s="59">
        <v>51156</v>
      </c>
      <c r="U19" s="59">
        <v>77261</v>
      </c>
      <c r="V19" s="59">
        <v>98808</v>
      </c>
    </row>
    <row r="20" spans="1:22" ht="12.75">
      <c r="A20" s="5">
        <f t="shared" si="7"/>
        <v>12</v>
      </c>
      <c r="B20" t="s">
        <v>202</v>
      </c>
      <c r="D20" s="19">
        <v>1990</v>
      </c>
      <c r="E20" s="19">
        <f t="shared" si="6"/>
        <v>107</v>
      </c>
      <c r="F20" s="95">
        <v>2097</v>
      </c>
      <c r="G20" s="95"/>
      <c r="H20" s="95">
        <v>6132</v>
      </c>
      <c r="I20" s="102" t="s">
        <v>152</v>
      </c>
      <c r="J20" s="3">
        <f t="shared" si="3"/>
        <v>2097</v>
      </c>
      <c r="K20" s="59">
        <f>$F20/12*1000</f>
        <v>174750</v>
      </c>
      <c r="L20" s="59">
        <f aca="true" t="shared" si="9" ref="L20:V20">$F20/12*1000</f>
        <v>174750</v>
      </c>
      <c r="M20" s="59">
        <f t="shared" si="9"/>
        <v>174750</v>
      </c>
      <c r="N20" s="59">
        <f t="shared" si="9"/>
        <v>174750</v>
      </c>
      <c r="O20" s="59">
        <f t="shared" si="9"/>
        <v>174750</v>
      </c>
      <c r="P20" s="59">
        <f t="shared" si="9"/>
        <v>174750</v>
      </c>
      <c r="Q20" s="59">
        <f t="shared" si="9"/>
        <v>174750</v>
      </c>
      <c r="R20" s="59">
        <f t="shared" si="9"/>
        <v>174750</v>
      </c>
      <c r="S20" s="59">
        <f t="shared" si="9"/>
        <v>174750</v>
      </c>
      <c r="T20" s="59">
        <f t="shared" si="9"/>
        <v>174750</v>
      </c>
      <c r="U20" s="59">
        <f t="shared" si="9"/>
        <v>174750</v>
      </c>
      <c r="V20" s="59">
        <f t="shared" si="9"/>
        <v>174750</v>
      </c>
    </row>
    <row r="21" spans="1:22" ht="12.75">
      <c r="A21" s="5">
        <f t="shared" si="7"/>
        <v>13</v>
      </c>
      <c r="B21" t="s">
        <v>10</v>
      </c>
      <c r="D21" s="19">
        <v>1913</v>
      </c>
      <c r="E21" s="19">
        <f t="shared" si="6"/>
        <v>104</v>
      </c>
      <c r="F21" s="95">
        <v>2017</v>
      </c>
      <c r="G21" s="19"/>
      <c r="H21" s="19">
        <v>6953.25</v>
      </c>
      <c r="I21" s="19"/>
      <c r="J21" s="3">
        <f t="shared" si="3"/>
        <v>2017</v>
      </c>
      <c r="K21" s="59">
        <f>$F21*0.11*1000</f>
        <v>221870</v>
      </c>
      <c r="L21" s="59">
        <f>$F21*0.1*1000</f>
        <v>201700.00000000003</v>
      </c>
      <c r="M21" s="59">
        <f>$F21*0.1*1000</f>
        <v>201700.00000000003</v>
      </c>
      <c r="N21" s="59">
        <f>$F21*0.12*1000</f>
        <v>242040</v>
      </c>
      <c r="O21" s="59">
        <f>$F21*0.12*1000</f>
        <v>242040</v>
      </c>
      <c r="P21" s="59">
        <f>$F21*0.12*1000</f>
        <v>242040</v>
      </c>
      <c r="Q21" s="59">
        <f>$F21*0.07*1000</f>
        <v>141190.00000000003</v>
      </c>
      <c r="R21" s="59">
        <f>$F21*0*1000</f>
        <v>0</v>
      </c>
      <c r="S21" s="59">
        <f>$F21*0.02*1000</f>
        <v>40340</v>
      </c>
      <c r="T21" s="59">
        <f>$F21*0.04*1000</f>
        <v>80680</v>
      </c>
      <c r="U21" s="59">
        <f>$F21*0.08*1000</f>
        <v>161360</v>
      </c>
      <c r="V21" s="59">
        <f>$F21*0.12*1000</f>
        <v>242040</v>
      </c>
    </row>
    <row r="22" spans="1:22" ht="12.75">
      <c r="A22" s="5">
        <f t="shared" si="7"/>
        <v>14</v>
      </c>
      <c r="B22" t="s">
        <v>181</v>
      </c>
      <c r="D22" s="19">
        <v>1536</v>
      </c>
      <c r="E22" s="19">
        <f t="shared" si="6"/>
        <v>-1536</v>
      </c>
      <c r="F22" s="19">
        <v>0</v>
      </c>
      <c r="G22" s="19"/>
      <c r="H22" s="19">
        <v>0</v>
      </c>
      <c r="I22" s="100" t="s">
        <v>151</v>
      </c>
      <c r="J22" s="3">
        <f t="shared" si="3"/>
        <v>0</v>
      </c>
      <c r="K22" s="59">
        <f>$F22/12*1000</f>
        <v>0</v>
      </c>
      <c r="L22" s="59">
        <f aca="true" t="shared" si="10" ref="L22:V23">$F22/12*1000</f>
        <v>0</v>
      </c>
      <c r="M22" s="59">
        <f t="shared" si="10"/>
        <v>0</v>
      </c>
      <c r="N22" s="59">
        <f t="shared" si="10"/>
        <v>0</v>
      </c>
      <c r="O22" s="59">
        <f t="shared" si="10"/>
        <v>0</v>
      </c>
      <c r="P22" s="59">
        <f t="shared" si="10"/>
        <v>0</v>
      </c>
      <c r="Q22" s="59">
        <f t="shared" si="10"/>
        <v>0</v>
      </c>
      <c r="R22" s="59">
        <f t="shared" si="10"/>
        <v>0</v>
      </c>
      <c r="S22" s="59">
        <f t="shared" si="10"/>
        <v>0</v>
      </c>
      <c r="T22" s="59">
        <f t="shared" si="10"/>
        <v>0</v>
      </c>
      <c r="U22" s="59">
        <f t="shared" si="10"/>
        <v>0</v>
      </c>
      <c r="V22" s="59">
        <f t="shared" si="10"/>
        <v>0</v>
      </c>
    </row>
    <row r="23" spans="1:22" ht="12.75">
      <c r="A23" s="5">
        <f t="shared" si="7"/>
        <v>15</v>
      </c>
      <c r="B23" t="s">
        <v>182</v>
      </c>
      <c r="D23" s="19">
        <v>1681</v>
      </c>
      <c r="E23" s="19">
        <f t="shared" si="6"/>
        <v>-1681</v>
      </c>
      <c r="F23" s="19">
        <v>0</v>
      </c>
      <c r="G23" s="19"/>
      <c r="H23" s="19"/>
      <c r="I23" s="100"/>
      <c r="J23" s="3">
        <f t="shared" si="3"/>
        <v>0</v>
      </c>
      <c r="K23" s="59">
        <f>$F23/12*1000</f>
        <v>0</v>
      </c>
      <c r="L23" s="59">
        <f t="shared" si="10"/>
        <v>0</v>
      </c>
      <c r="M23" s="59">
        <f t="shared" si="10"/>
        <v>0</v>
      </c>
      <c r="N23" s="59">
        <f t="shared" si="10"/>
        <v>0</v>
      </c>
      <c r="O23" s="59">
        <f t="shared" si="10"/>
        <v>0</v>
      </c>
      <c r="P23" s="59">
        <f t="shared" si="10"/>
        <v>0</v>
      </c>
      <c r="Q23" s="59">
        <f t="shared" si="10"/>
        <v>0</v>
      </c>
      <c r="R23" s="59">
        <f t="shared" si="10"/>
        <v>0</v>
      </c>
      <c r="S23" s="59">
        <f t="shared" si="10"/>
        <v>0</v>
      </c>
      <c r="T23" s="59">
        <f t="shared" si="10"/>
        <v>0</v>
      </c>
      <c r="U23" s="59">
        <f t="shared" si="10"/>
        <v>0</v>
      </c>
      <c r="V23" s="59">
        <f t="shared" si="10"/>
        <v>0</v>
      </c>
    </row>
    <row r="24" spans="1:22" ht="12.75">
      <c r="A24" s="5">
        <f t="shared" si="7"/>
        <v>16</v>
      </c>
      <c r="B24" t="s">
        <v>33</v>
      </c>
      <c r="D24" s="19">
        <v>144</v>
      </c>
      <c r="E24" s="19">
        <f aca="true" t="shared" si="11" ref="E24:E39">F24-D24</f>
        <v>45.806253753662105</v>
      </c>
      <c r="F24" s="95">
        <f>Index!C19/1000</f>
        <v>189.8062537536621</v>
      </c>
      <c r="G24" s="98" t="s">
        <v>148</v>
      </c>
      <c r="H24" s="95">
        <v>4</v>
      </c>
      <c r="I24" s="100" t="s">
        <v>148</v>
      </c>
      <c r="J24" s="3">
        <f t="shared" si="3"/>
        <v>189.8062537536621</v>
      </c>
      <c r="K24" s="59"/>
      <c r="L24" s="59"/>
      <c r="M24" s="59"/>
      <c r="N24" s="59"/>
      <c r="O24" s="59"/>
      <c r="P24" s="59"/>
      <c r="Q24" s="59"/>
      <c r="R24" s="59"/>
      <c r="S24" s="59"/>
      <c r="T24" s="59">
        <f>F24*1000</f>
        <v>189806.2537536621</v>
      </c>
      <c r="U24" s="59"/>
      <c r="V24" s="59"/>
    </row>
    <row r="25" spans="1:22" ht="12.75">
      <c r="A25" s="5">
        <f t="shared" si="7"/>
        <v>17</v>
      </c>
      <c r="B25" t="s">
        <v>59</v>
      </c>
      <c r="D25" s="19">
        <v>241</v>
      </c>
      <c r="E25" s="19">
        <f t="shared" si="11"/>
        <v>-241</v>
      </c>
      <c r="F25" s="19">
        <v>0</v>
      </c>
      <c r="G25" s="19"/>
      <c r="H25" s="19">
        <v>921</v>
      </c>
      <c r="I25" s="100" t="s">
        <v>132</v>
      </c>
      <c r="J25" s="3">
        <f t="shared" si="3"/>
        <v>0</v>
      </c>
      <c r="K25" s="59">
        <f aca="true" t="shared" si="12" ref="K25:V25">$F25/12</f>
        <v>0</v>
      </c>
      <c r="L25" s="59">
        <f t="shared" si="12"/>
        <v>0</v>
      </c>
      <c r="M25" s="59">
        <f t="shared" si="12"/>
        <v>0</v>
      </c>
      <c r="N25" s="59">
        <f t="shared" si="12"/>
        <v>0</v>
      </c>
      <c r="O25" s="59">
        <f t="shared" si="12"/>
        <v>0</v>
      </c>
      <c r="P25" s="59">
        <f t="shared" si="12"/>
        <v>0</v>
      </c>
      <c r="Q25" s="59">
        <f t="shared" si="12"/>
        <v>0</v>
      </c>
      <c r="R25" s="59">
        <f t="shared" si="12"/>
        <v>0</v>
      </c>
      <c r="S25" s="59">
        <f t="shared" si="12"/>
        <v>0</v>
      </c>
      <c r="T25" s="59">
        <f t="shared" si="12"/>
        <v>0</v>
      </c>
      <c r="U25" s="59">
        <f t="shared" si="12"/>
        <v>0</v>
      </c>
      <c r="V25" s="59">
        <f t="shared" si="12"/>
        <v>0</v>
      </c>
    </row>
    <row r="26" spans="1:22" ht="12.75">
      <c r="A26" s="5">
        <f t="shared" si="7"/>
        <v>18</v>
      </c>
      <c r="B26" t="s">
        <v>162</v>
      </c>
      <c r="D26" s="19">
        <v>6789</v>
      </c>
      <c r="E26" s="19">
        <f t="shared" si="11"/>
        <v>0</v>
      </c>
      <c r="F26" s="19">
        <v>6789</v>
      </c>
      <c r="G26" s="23">
        <f aca="true" t="shared" si="13" ref="G26:G31">F26/25/8760*1000</f>
        <v>31</v>
      </c>
      <c r="H26" s="19">
        <v>1589</v>
      </c>
      <c r="I26" s="19"/>
      <c r="J26" s="3">
        <f t="shared" si="3"/>
        <v>6789</v>
      </c>
      <c r="K26" s="59">
        <f>25*K$5*31</f>
        <v>576600</v>
      </c>
      <c r="L26" s="59">
        <f aca="true" t="shared" si="14" ref="L26:V26">25*L$5*31</f>
        <v>520800</v>
      </c>
      <c r="M26" s="59">
        <f t="shared" si="14"/>
        <v>576600</v>
      </c>
      <c r="N26" s="59">
        <f t="shared" si="14"/>
        <v>557225</v>
      </c>
      <c r="O26" s="59">
        <f t="shared" si="14"/>
        <v>576600</v>
      </c>
      <c r="P26" s="59">
        <f t="shared" si="14"/>
        <v>558000</v>
      </c>
      <c r="Q26" s="59">
        <f t="shared" si="14"/>
        <v>576600</v>
      </c>
      <c r="R26" s="59">
        <f t="shared" si="14"/>
        <v>576600</v>
      </c>
      <c r="S26" s="59">
        <f t="shared" si="14"/>
        <v>558000</v>
      </c>
      <c r="T26" s="59">
        <f t="shared" si="14"/>
        <v>577375</v>
      </c>
      <c r="U26" s="59">
        <f t="shared" si="14"/>
        <v>558000</v>
      </c>
      <c r="V26" s="59">
        <f t="shared" si="14"/>
        <v>576600</v>
      </c>
    </row>
    <row r="27" spans="1:22" ht="12.75">
      <c r="A27" s="5">
        <f t="shared" si="7"/>
        <v>19</v>
      </c>
      <c r="B27" t="s">
        <v>163</v>
      </c>
      <c r="D27" s="95">
        <v>6745</v>
      </c>
      <c r="E27" s="19">
        <f t="shared" si="11"/>
        <v>0</v>
      </c>
      <c r="F27" s="19">
        <v>6745</v>
      </c>
      <c r="G27" s="23">
        <f t="shared" si="13"/>
        <v>30.799086757990867</v>
      </c>
      <c r="H27" s="19"/>
      <c r="I27" s="19"/>
      <c r="J27" s="3">
        <f t="shared" si="3"/>
        <v>6745.2</v>
      </c>
      <c r="K27" s="59">
        <f>25*K$5*30.8</f>
        <v>572880</v>
      </c>
      <c r="L27" s="59">
        <f aca="true" t="shared" si="15" ref="L27:V27">25*L$5*30.8</f>
        <v>517440</v>
      </c>
      <c r="M27" s="59">
        <f t="shared" si="15"/>
        <v>572880</v>
      </c>
      <c r="N27" s="59">
        <f t="shared" si="15"/>
        <v>553630</v>
      </c>
      <c r="O27" s="59">
        <f t="shared" si="15"/>
        <v>572880</v>
      </c>
      <c r="P27" s="59">
        <f t="shared" si="15"/>
        <v>554400</v>
      </c>
      <c r="Q27" s="59">
        <f t="shared" si="15"/>
        <v>572880</v>
      </c>
      <c r="R27" s="59">
        <f t="shared" si="15"/>
        <v>572880</v>
      </c>
      <c r="S27" s="59">
        <f t="shared" si="15"/>
        <v>554400</v>
      </c>
      <c r="T27" s="59">
        <f t="shared" si="15"/>
        <v>573650</v>
      </c>
      <c r="U27" s="59">
        <f t="shared" si="15"/>
        <v>554400</v>
      </c>
      <c r="V27" s="59">
        <f t="shared" si="15"/>
        <v>572880</v>
      </c>
    </row>
    <row r="28" spans="1:22" ht="12.75">
      <c r="A28" s="5">
        <f t="shared" si="7"/>
        <v>20</v>
      </c>
      <c r="B28" t="s">
        <v>139</v>
      </c>
      <c r="D28" s="19">
        <v>6658</v>
      </c>
      <c r="E28" s="19">
        <f t="shared" si="11"/>
        <v>0</v>
      </c>
      <c r="F28" s="19">
        <v>6658</v>
      </c>
      <c r="G28" s="23">
        <f t="shared" si="13"/>
        <v>30.40182648401826</v>
      </c>
      <c r="H28" s="19">
        <v>2003</v>
      </c>
      <c r="I28" s="19"/>
      <c r="J28" s="3">
        <f t="shared" si="3"/>
        <v>6657.6</v>
      </c>
      <c r="K28" s="59">
        <f>25*K$5*30.4</f>
        <v>565440</v>
      </c>
      <c r="L28" s="59">
        <f aca="true" t="shared" si="16" ref="L28:V28">25*L$5*30.4</f>
        <v>510720</v>
      </c>
      <c r="M28" s="59">
        <f t="shared" si="16"/>
        <v>565440</v>
      </c>
      <c r="N28" s="59">
        <f t="shared" si="16"/>
        <v>546440</v>
      </c>
      <c r="O28" s="59">
        <f t="shared" si="16"/>
        <v>565440</v>
      </c>
      <c r="P28" s="59">
        <f t="shared" si="16"/>
        <v>547200</v>
      </c>
      <c r="Q28" s="59">
        <f t="shared" si="16"/>
        <v>565440</v>
      </c>
      <c r="R28" s="59">
        <f t="shared" si="16"/>
        <v>565440</v>
      </c>
      <c r="S28" s="59">
        <f t="shared" si="16"/>
        <v>547200</v>
      </c>
      <c r="T28" s="59">
        <f t="shared" si="16"/>
        <v>566200</v>
      </c>
      <c r="U28" s="59">
        <f t="shared" si="16"/>
        <v>547200</v>
      </c>
      <c r="V28" s="59">
        <f t="shared" si="16"/>
        <v>565440</v>
      </c>
    </row>
    <row r="29" spans="1:22" ht="12.75">
      <c r="A29" s="5">
        <f t="shared" si="7"/>
        <v>21</v>
      </c>
      <c r="B29" t="s">
        <v>140</v>
      </c>
      <c r="D29" s="19">
        <v>7556</v>
      </c>
      <c r="E29" s="19">
        <f t="shared" si="11"/>
        <v>0</v>
      </c>
      <c r="F29" s="19">
        <v>7556</v>
      </c>
      <c r="G29" s="23">
        <f t="shared" si="13"/>
        <v>34.50228310502283</v>
      </c>
      <c r="H29" s="19">
        <v>0</v>
      </c>
      <c r="I29" s="19"/>
      <c r="J29" s="3">
        <f t="shared" si="3"/>
        <v>7555.5</v>
      </c>
      <c r="K29" s="59">
        <f>25*K5*34.5</f>
        <v>641700</v>
      </c>
      <c r="L29" s="59">
        <f aca="true" t="shared" si="17" ref="L29:V29">25*L5*34.5</f>
        <v>579600</v>
      </c>
      <c r="M29" s="59">
        <f t="shared" si="17"/>
        <v>641700</v>
      </c>
      <c r="N29" s="59">
        <f t="shared" si="17"/>
        <v>620137.5</v>
      </c>
      <c r="O29" s="59">
        <f t="shared" si="17"/>
        <v>641700</v>
      </c>
      <c r="P29" s="59">
        <f t="shared" si="17"/>
        <v>621000</v>
      </c>
      <c r="Q29" s="59">
        <f t="shared" si="17"/>
        <v>641700</v>
      </c>
      <c r="R29" s="59">
        <f t="shared" si="17"/>
        <v>641700</v>
      </c>
      <c r="S29" s="59">
        <f t="shared" si="17"/>
        <v>621000</v>
      </c>
      <c r="T29" s="59">
        <f t="shared" si="17"/>
        <v>642562.5</v>
      </c>
      <c r="U29" s="59">
        <f t="shared" si="17"/>
        <v>621000</v>
      </c>
      <c r="V29" s="59">
        <f t="shared" si="17"/>
        <v>641700</v>
      </c>
    </row>
    <row r="30" spans="1:22" ht="12.75">
      <c r="A30" s="5">
        <f t="shared" si="7"/>
        <v>22</v>
      </c>
      <c r="B30" t="s">
        <v>172</v>
      </c>
      <c r="D30" s="19">
        <v>1533</v>
      </c>
      <c r="E30" s="19">
        <f t="shared" si="11"/>
        <v>-1533</v>
      </c>
      <c r="F30" s="19">
        <v>0</v>
      </c>
      <c r="G30" s="23">
        <f t="shared" si="13"/>
        <v>0</v>
      </c>
      <c r="H30" s="19"/>
      <c r="I30" s="19"/>
      <c r="J30" s="3">
        <f t="shared" si="3"/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</row>
    <row r="31" spans="1:22" ht="12.75">
      <c r="A31" s="5">
        <f t="shared" si="7"/>
        <v>23</v>
      </c>
      <c r="B31" t="s">
        <v>159</v>
      </c>
      <c r="D31" s="19">
        <v>0</v>
      </c>
      <c r="E31" s="19">
        <f t="shared" si="11"/>
        <v>5403</v>
      </c>
      <c r="F31" s="19">
        <v>5403</v>
      </c>
      <c r="G31" s="19">
        <f t="shared" si="13"/>
        <v>24.671232876712327</v>
      </c>
      <c r="H31" s="19"/>
      <c r="I31" s="19"/>
      <c r="J31" s="3">
        <f t="shared" si="3"/>
        <v>5403.388104162598</v>
      </c>
      <c r="K31" s="59">
        <v>492779.6451311384</v>
      </c>
      <c r="L31" s="59">
        <v>447052.271358817</v>
      </c>
      <c r="M31" s="59">
        <v>493315.7660470145</v>
      </c>
      <c r="N31" s="59">
        <v>407899.0370779855</v>
      </c>
      <c r="O31" s="59">
        <v>402492.2949567522</v>
      </c>
      <c r="P31" s="59">
        <v>322265.3923043387</v>
      </c>
      <c r="Q31" s="59">
        <v>487156.3142682757</v>
      </c>
      <c r="R31" s="59">
        <v>496044.67393275665</v>
      </c>
      <c r="S31" s="59">
        <v>479959.6704659598</v>
      </c>
      <c r="T31" s="59">
        <v>446556.2365722656</v>
      </c>
      <c r="U31" s="59">
        <v>432151.2114257813</v>
      </c>
      <c r="V31" s="59">
        <v>495715.59062151227</v>
      </c>
    </row>
    <row r="32" spans="1:22" ht="12.75">
      <c r="A32" s="5">
        <f t="shared" si="7"/>
        <v>24</v>
      </c>
      <c r="B32" t="s">
        <v>229</v>
      </c>
      <c r="D32" s="19">
        <v>1286</v>
      </c>
      <c r="E32" s="19">
        <f t="shared" si="11"/>
        <v>-1286</v>
      </c>
      <c r="F32" s="19">
        <v>0</v>
      </c>
      <c r="G32" s="19"/>
      <c r="H32" s="19"/>
      <c r="I32" s="19"/>
      <c r="J32" s="3">
        <f t="shared" si="3"/>
        <v>0</v>
      </c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</row>
    <row r="33" spans="1:22" ht="12.75">
      <c r="A33" s="5">
        <f t="shared" si="7"/>
        <v>25</v>
      </c>
      <c r="B33" t="s">
        <v>184</v>
      </c>
      <c r="D33" s="19">
        <v>3074</v>
      </c>
      <c r="E33" s="19">
        <f t="shared" si="11"/>
        <v>-3074</v>
      </c>
      <c r="F33" s="19">
        <v>0</v>
      </c>
      <c r="G33" s="19"/>
      <c r="H33" s="19"/>
      <c r="I33" s="19"/>
      <c r="J33" s="3">
        <f t="shared" si="3"/>
        <v>0</v>
      </c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</row>
    <row r="34" spans="1:22" ht="12.75">
      <c r="A34" s="5">
        <f t="shared" si="7"/>
        <v>26</v>
      </c>
      <c r="B34" t="s">
        <v>183</v>
      </c>
      <c r="D34" s="19">
        <v>276</v>
      </c>
      <c r="E34" s="19">
        <f t="shared" si="11"/>
        <v>-276</v>
      </c>
      <c r="F34" s="19">
        <v>0</v>
      </c>
      <c r="G34" s="19"/>
      <c r="H34" s="19"/>
      <c r="I34" s="19"/>
      <c r="J34" s="3">
        <f t="shared" si="3"/>
        <v>0</v>
      </c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1:22" ht="12.75">
      <c r="A35" s="5">
        <f t="shared" si="7"/>
        <v>27</v>
      </c>
      <c r="B35" t="s">
        <v>137</v>
      </c>
      <c r="D35" s="19">
        <v>19861</v>
      </c>
      <c r="E35" s="19">
        <f t="shared" si="11"/>
        <v>-19861</v>
      </c>
      <c r="F35" s="19">
        <v>0</v>
      </c>
      <c r="G35" s="19"/>
      <c r="H35" s="19">
        <v>441.6874758376757</v>
      </c>
      <c r="I35" s="19"/>
      <c r="J35" s="3">
        <f t="shared" si="3"/>
        <v>0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</row>
    <row r="36" spans="1:22" ht="12.75">
      <c r="A36" s="5">
        <f t="shared" si="7"/>
        <v>28</v>
      </c>
      <c r="B36" t="s">
        <v>206</v>
      </c>
      <c r="D36" s="19">
        <v>980</v>
      </c>
      <c r="E36" s="19">
        <f t="shared" si="11"/>
        <v>0</v>
      </c>
      <c r="F36" s="19">
        <v>980</v>
      </c>
      <c r="G36" s="19"/>
      <c r="H36" s="19"/>
      <c r="I36" s="19"/>
      <c r="J36" s="3">
        <f t="shared" si="3"/>
        <v>980</v>
      </c>
      <c r="K36" s="59">
        <v>0</v>
      </c>
      <c r="L36" s="59">
        <v>0</v>
      </c>
      <c r="M36" s="59">
        <v>0</v>
      </c>
      <c r="N36" s="59">
        <v>0</v>
      </c>
      <c r="O36" s="59">
        <v>480000</v>
      </c>
      <c r="P36" s="59">
        <v>500000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</row>
    <row r="37" spans="1:22" ht="12.75">
      <c r="A37" s="5">
        <f t="shared" si="7"/>
        <v>29</v>
      </c>
      <c r="B37" t="s">
        <v>189</v>
      </c>
      <c r="D37" s="19">
        <v>662</v>
      </c>
      <c r="E37" s="19">
        <f t="shared" si="11"/>
        <v>-662</v>
      </c>
      <c r="F37" s="19">
        <v>0</v>
      </c>
      <c r="G37" s="19"/>
      <c r="H37" s="19"/>
      <c r="I37" s="19"/>
      <c r="J37" s="3">
        <f t="shared" si="3"/>
        <v>0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</row>
    <row r="38" spans="1:22" ht="12.75">
      <c r="A38" s="5">
        <f t="shared" si="7"/>
        <v>30</v>
      </c>
      <c r="B38" s="17" t="s">
        <v>141</v>
      </c>
      <c r="C38" s="17"/>
      <c r="D38" s="42">
        <v>3173</v>
      </c>
      <c r="E38" s="42">
        <f t="shared" si="11"/>
        <v>-123</v>
      </c>
      <c r="F38" s="96">
        <v>3050</v>
      </c>
      <c r="G38" s="95"/>
      <c r="H38" s="95">
        <v>0</v>
      </c>
      <c r="I38" s="19" t="s">
        <v>146</v>
      </c>
      <c r="J38" s="91">
        <f t="shared" si="3"/>
        <v>3049.674110258789</v>
      </c>
      <c r="K38" s="82">
        <v>270761.95686523436</v>
      </c>
      <c r="L38" s="82">
        <v>207855.48</v>
      </c>
      <c r="M38" s="82">
        <v>287080.7831347656</v>
      </c>
      <c r="N38" s="82">
        <v>255371.27</v>
      </c>
      <c r="O38" s="82">
        <v>267326.4205957032</v>
      </c>
      <c r="P38" s="82">
        <v>300254.99</v>
      </c>
      <c r="Q38" s="82">
        <v>265179.2055957031</v>
      </c>
      <c r="R38" s="82">
        <v>272909.1718652344</v>
      </c>
      <c r="S38" s="82">
        <v>247475.06</v>
      </c>
      <c r="T38" s="82">
        <v>263461.4181347656</v>
      </c>
      <c r="U38" s="82">
        <v>278228.72</v>
      </c>
      <c r="V38" s="82">
        <v>133769.6340673828</v>
      </c>
    </row>
    <row r="39" spans="1:22" ht="12.75">
      <c r="A39" s="5">
        <f t="shared" si="7"/>
        <v>31</v>
      </c>
      <c r="B39" t="s">
        <v>11</v>
      </c>
      <c r="D39" s="95">
        <f>SUM(D9:D38)</f>
        <v>191128</v>
      </c>
      <c r="E39" s="19">
        <f t="shared" si="11"/>
        <v>-53149.7122871739</v>
      </c>
      <c r="F39" s="19">
        <f>SUM(F9:F38)</f>
        <v>137978.2877128261</v>
      </c>
      <c r="G39" s="19"/>
      <c r="H39" s="19">
        <v>0</v>
      </c>
      <c r="I39" s="19"/>
      <c r="J39" s="3">
        <f t="shared" si="3"/>
        <v>137977.39763086478</v>
      </c>
      <c r="K39" s="27">
        <f>SUM(K9:K38)</f>
        <v>18535782.0824134</v>
      </c>
      <c r="L39" s="27">
        <f aca="true" t="shared" si="18" ref="L39:V39">SUM(L9:L38)</f>
        <v>12961105.476076465</v>
      </c>
      <c r="M39" s="27">
        <f t="shared" si="18"/>
        <v>12327640.66155926</v>
      </c>
      <c r="N39" s="27">
        <f t="shared" si="18"/>
        <v>8322616.956530202</v>
      </c>
      <c r="O39" s="27">
        <f t="shared" si="18"/>
        <v>6164057.418819942</v>
      </c>
      <c r="P39" s="27">
        <f t="shared" si="18"/>
        <v>6118341.628213095</v>
      </c>
      <c r="Q39" s="27">
        <f t="shared" si="18"/>
        <v>8010378.584047524</v>
      </c>
      <c r="R39" s="27">
        <f t="shared" si="18"/>
        <v>10828869.605808774</v>
      </c>
      <c r="S39" s="27">
        <f t="shared" si="18"/>
        <v>11007893.933953812</v>
      </c>
      <c r="T39" s="27">
        <f t="shared" si="18"/>
        <v>12918315.98842842</v>
      </c>
      <c r="U39" s="27">
        <f t="shared" si="18"/>
        <v>14635800.527346665</v>
      </c>
      <c r="V39" s="27">
        <f t="shared" si="18"/>
        <v>16146594.76766722</v>
      </c>
    </row>
    <row r="40" spans="1:10" ht="12.75">
      <c r="A40" s="5"/>
      <c r="E40" s="19"/>
      <c r="F40" s="19"/>
      <c r="G40" s="19"/>
      <c r="H40" s="42">
        <v>3186</v>
      </c>
      <c r="I40" s="19"/>
      <c r="J40" s="3"/>
    </row>
    <row r="41" spans="1:10" ht="12.75">
      <c r="A41" s="5"/>
      <c r="B41" s="7" t="s">
        <v>31</v>
      </c>
      <c r="D41" s="19"/>
      <c r="E41" s="19"/>
      <c r="F41" s="19"/>
      <c r="G41" s="19"/>
      <c r="H41" s="19">
        <v>0</v>
      </c>
      <c r="I41" s="19"/>
      <c r="J41" s="3"/>
    </row>
    <row r="42" spans="1:22" ht="12.75">
      <c r="A42" s="5">
        <f>A39+1</f>
        <v>32</v>
      </c>
      <c r="B42" t="s">
        <v>16</v>
      </c>
      <c r="D42" s="95">
        <v>52</v>
      </c>
      <c r="E42" s="95">
        <f>F42-D42</f>
        <v>0</v>
      </c>
      <c r="F42" s="95">
        <v>52</v>
      </c>
      <c r="G42" s="95"/>
      <c r="H42" s="96">
        <v>150</v>
      </c>
      <c r="I42" s="19"/>
      <c r="J42" s="3">
        <f>SUM(K42:V42)/1000</f>
        <v>52.00000000000001</v>
      </c>
      <c r="K42" s="59">
        <f>$F42/12*1000</f>
        <v>4333.333333333333</v>
      </c>
      <c r="L42" s="59">
        <f aca="true" t="shared" si="19" ref="L42:V42">$F42/12*1000</f>
        <v>4333.333333333333</v>
      </c>
      <c r="M42" s="59">
        <f t="shared" si="19"/>
        <v>4333.333333333333</v>
      </c>
      <c r="N42" s="59">
        <f t="shared" si="19"/>
        <v>4333.333333333333</v>
      </c>
      <c r="O42" s="59">
        <f t="shared" si="19"/>
        <v>4333.333333333333</v>
      </c>
      <c r="P42" s="59">
        <f t="shared" si="19"/>
        <v>4333.333333333333</v>
      </c>
      <c r="Q42" s="59">
        <f t="shared" si="19"/>
        <v>4333.333333333333</v>
      </c>
      <c r="R42" s="59">
        <f t="shared" si="19"/>
        <v>4333.333333333333</v>
      </c>
      <c r="S42" s="59">
        <f t="shared" si="19"/>
        <v>4333.333333333333</v>
      </c>
      <c r="T42" s="59">
        <f t="shared" si="19"/>
        <v>4333.333333333333</v>
      </c>
      <c r="U42" s="59">
        <f t="shared" si="19"/>
        <v>4333.333333333333</v>
      </c>
      <c r="V42" s="59">
        <f t="shared" si="19"/>
        <v>4333.333333333333</v>
      </c>
    </row>
    <row r="43" spans="1:22" ht="12.75">
      <c r="A43" s="5">
        <f>A42+1</f>
        <v>33</v>
      </c>
      <c r="B43" t="s">
        <v>191</v>
      </c>
      <c r="D43" s="95">
        <v>301</v>
      </c>
      <c r="E43" s="95">
        <f>F43-D43</f>
        <v>49</v>
      </c>
      <c r="F43" s="95">
        <v>350</v>
      </c>
      <c r="G43" s="95"/>
      <c r="H43" s="95"/>
      <c r="I43" s="19"/>
      <c r="J43" s="3">
        <f>SUM(K43:V43)/1000</f>
        <v>350.4</v>
      </c>
      <c r="K43" s="59">
        <f>40*K5</f>
        <v>29760</v>
      </c>
      <c r="L43" s="59">
        <f aca="true" t="shared" si="20" ref="L43:V43">40*L5</f>
        <v>26880</v>
      </c>
      <c r="M43" s="59">
        <f t="shared" si="20"/>
        <v>29760</v>
      </c>
      <c r="N43" s="59">
        <f t="shared" si="20"/>
        <v>28760</v>
      </c>
      <c r="O43" s="59">
        <f t="shared" si="20"/>
        <v>29760</v>
      </c>
      <c r="P43" s="59">
        <f t="shared" si="20"/>
        <v>28800</v>
      </c>
      <c r="Q43" s="59">
        <f t="shared" si="20"/>
        <v>29760</v>
      </c>
      <c r="R43" s="59">
        <f t="shared" si="20"/>
        <v>29760</v>
      </c>
      <c r="S43" s="59">
        <f t="shared" si="20"/>
        <v>28800</v>
      </c>
      <c r="T43" s="59">
        <f t="shared" si="20"/>
        <v>29800</v>
      </c>
      <c r="U43" s="59">
        <f t="shared" si="20"/>
        <v>28800</v>
      </c>
      <c r="V43" s="59">
        <f t="shared" si="20"/>
        <v>29760</v>
      </c>
    </row>
    <row r="44" spans="1:22" ht="12.75">
      <c r="A44" s="5">
        <f>A43+1</f>
        <v>34</v>
      </c>
      <c r="B44" t="s">
        <v>185</v>
      </c>
      <c r="D44" s="95">
        <v>23</v>
      </c>
      <c r="E44" s="95">
        <f>F44-D44</f>
        <v>-23</v>
      </c>
      <c r="F44" s="95">
        <v>0</v>
      </c>
      <c r="G44" s="95"/>
      <c r="H44" s="95"/>
      <c r="I44" s="19"/>
      <c r="J44" s="3">
        <f>SUM(K44:V44)/1000</f>
        <v>0</v>
      </c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</row>
    <row r="45" spans="1:10" ht="12.75">
      <c r="A45" s="5">
        <f>A44+1</f>
        <v>35</v>
      </c>
      <c r="B45" s="17" t="s">
        <v>235</v>
      </c>
      <c r="C45" s="17"/>
      <c r="D45" s="19">
        <v>16575</v>
      </c>
      <c r="E45" s="42">
        <f>F45-D45</f>
        <v>-16575</v>
      </c>
      <c r="F45" s="19">
        <v>0</v>
      </c>
      <c r="G45" s="19"/>
      <c r="H45" s="19">
        <v>152</v>
      </c>
      <c r="I45" s="100" t="s">
        <v>150</v>
      </c>
      <c r="J45" s="3">
        <f>SUM(K45:V45)/1000</f>
        <v>0</v>
      </c>
    </row>
    <row r="46" spans="1:10" ht="12.75">
      <c r="A46" s="5">
        <f>A45+1</f>
        <v>36</v>
      </c>
      <c r="B46" t="s">
        <v>17</v>
      </c>
      <c r="D46" s="114">
        <f>SUM(D42:D45)</f>
        <v>16951</v>
      </c>
      <c r="E46" s="19">
        <f>F46-D46</f>
        <v>-16549</v>
      </c>
      <c r="F46" s="21">
        <f>SUM(F42:F45)</f>
        <v>402</v>
      </c>
      <c r="G46" s="19"/>
      <c r="H46" s="19"/>
      <c r="I46" s="19"/>
      <c r="J46" s="3"/>
    </row>
    <row r="47" spans="1:10" ht="12.75">
      <c r="A47" s="5"/>
      <c r="D47" s="19"/>
      <c r="E47" s="19"/>
      <c r="F47" s="19"/>
      <c r="G47" s="19"/>
      <c r="H47" s="19"/>
      <c r="I47" s="19"/>
      <c r="J47" s="3"/>
    </row>
    <row r="48" spans="1:10" ht="12.75">
      <c r="A48" s="5"/>
      <c r="B48" s="7" t="s">
        <v>56</v>
      </c>
      <c r="D48" s="19"/>
      <c r="E48" s="19"/>
      <c r="F48" s="19"/>
      <c r="G48" s="19"/>
      <c r="H48" s="19">
        <v>78</v>
      </c>
      <c r="I48" s="19"/>
      <c r="J48" s="3"/>
    </row>
    <row r="49" spans="1:22" ht="12.75">
      <c r="A49" s="5">
        <f>A46+1</f>
        <v>37</v>
      </c>
      <c r="B49" t="s">
        <v>52</v>
      </c>
      <c r="C49" s="13"/>
      <c r="D49" s="19">
        <v>8714</v>
      </c>
      <c r="E49" s="19">
        <f>F49-D49</f>
        <v>3096.7455943298337</v>
      </c>
      <c r="F49" s="95">
        <f>'WGJ-4'!C27/1000</f>
        <v>11810.745594329834</v>
      </c>
      <c r="G49" s="95"/>
      <c r="H49" s="96">
        <v>0</v>
      </c>
      <c r="I49" s="100" t="s">
        <v>149</v>
      </c>
      <c r="J49" s="3">
        <f>SUM(K49:V49)/1000</f>
        <v>11810.745594329834</v>
      </c>
      <c r="K49" s="27">
        <f>'WGJ-4'!D27</f>
        <v>1142747.2244262695</v>
      </c>
      <c r="L49" s="27">
        <f>'WGJ-4'!E27</f>
        <v>1101659.6911621094</v>
      </c>
      <c r="M49" s="27">
        <f>'WGJ-4'!F27</f>
        <v>1201700.7020568848</v>
      </c>
      <c r="N49" s="27">
        <f>'WGJ-4'!G27</f>
        <v>1145422.2424316406</v>
      </c>
      <c r="O49" s="27">
        <f>'WGJ-4'!H27</f>
        <v>40647.491455078125</v>
      </c>
      <c r="P49" s="27">
        <f>'WGJ-4'!I27</f>
        <v>0</v>
      </c>
      <c r="Q49" s="27">
        <f>'WGJ-4'!J27</f>
        <v>1130073.9617919922</v>
      </c>
      <c r="R49" s="27">
        <f>'WGJ-4'!K27</f>
        <v>1228342.6635742188</v>
      </c>
      <c r="S49" s="27">
        <f>'WGJ-4'!L27</f>
        <v>1170889.7839355469</v>
      </c>
      <c r="T49" s="27">
        <f>'WGJ-4'!M27</f>
        <v>1233950.6689453125</v>
      </c>
      <c r="U49" s="27">
        <f>'WGJ-4'!N27</f>
        <v>1196182.2387695312</v>
      </c>
      <c r="V49" s="27">
        <f>'WGJ-4'!O27</f>
        <v>1219128.92578125</v>
      </c>
    </row>
    <row r="50" spans="1:22" ht="12.75">
      <c r="A50" s="5">
        <f>A49+1</f>
        <v>38</v>
      </c>
      <c r="B50" t="s">
        <v>54</v>
      </c>
      <c r="C50" s="13"/>
      <c r="D50" s="22">
        <v>38</v>
      </c>
      <c r="E50" s="19">
        <f>F50-D50</f>
        <v>-38</v>
      </c>
      <c r="F50" s="19">
        <v>0</v>
      </c>
      <c r="G50" s="19"/>
      <c r="H50" s="19">
        <v>78</v>
      </c>
      <c r="I50" s="19"/>
      <c r="J50" s="3">
        <f>SUM(K50:V50)/1000</f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</row>
    <row r="51" spans="1:22" ht="12.75">
      <c r="A51" s="5">
        <f>A50+1</f>
        <v>39</v>
      </c>
      <c r="B51" s="12" t="s">
        <v>53</v>
      </c>
      <c r="C51" s="11"/>
      <c r="D51" s="19">
        <v>16207</v>
      </c>
      <c r="E51" s="19">
        <f>F51-D51</f>
        <v>3181.3793353271467</v>
      </c>
      <c r="F51" s="95">
        <f>'WGJ-4'!C23/1000</f>
        <v>19388.379335327147</v>
      </c>
      <c r="G51" s="95"/>
      <c r="H51" s="95"/>
      <c r="I51" s="100" t="s">
        <v>149</v>
      </c>
      <c r="J51" s="3">
        <f>SUM(K51:V51)/1000</f>
        <v>19388.379335327147</v>
      </c>
      <c r="K51" s="87">
        <f>'WGJ-4'!D23</f>
        <v>1742393.5302734375</v>
      </c>
      <c r="L51" s="87">
        <f>'WGJ-4'!E23</f>
        <v>1600132.568359375</v>
      </c>
      <c r="M51" s="87">
        <f>'WGJ-4'!F23</f>
        <v>1705440.6762695312</v>
      </c>
      <c r="N51" s="87">
        <f>'WGJ-4'!G23</f>
        <v>1411353.7451171875</v>
      </c>
      <c r="O51" s="87">
        <f>'WGJ-4'!H23</f>
        <v>1189358.9166259766</v>
      </c>
      <c r="P51" s="87">
        <f>'WGJ-4'!I23</f>
        <v>1307345.5749511719</v>
      </c>
      <c r="Q51" s="87">
        <f>'WGJ-4'!J23</f>
        <v>1733784.1491699219</v>
      </c>
      <c r="R51" s="87">
        <f>'WGJ-4'!K23</f>
        <v>1771054.0295410156</v>
      </c>
      <c r="S51" s="87">
        <f>'WGJ-4'!L23</f>
        <v>1712917.91015625</v>
      </c>
      <c r="T51" s="87">
        <f>'WGJ-4'!M23</f>
        <v>1757215.5603027344</v>
      </c>
      <c r="U51" s="87">
        <f>'WGJ-4'!N23</f>
        <v>1714427.734375</v>
      </c>
      <c r="V51" s="87">
        <f>'WGJ-4'!O23</f>
        <v>1742954.9401855469</v>
      </c>
    </row>
    <row r="52" spans="1:22" ht="12.75">
      <c r="A52" s="5">
        <f>A51+1</f>
        <v>40</v>
      </c>
      <c r="B52" s="17" t="s">
        <v>55</v>
      </c>
      <c r="C52" s="43"/>
      <c r="D52" s="44">
        <v>308</v>
      </c>
      <c r="E52" s="42">
        <f>F52-D52</f>
        <v>0</v>
      </c>
      <c r="F52" s="96">
        <v>308</v>
      </c>
      <c r="G52" s="19"/>
      <c r="H52" s="19"/>
      <c r="I52" s="19"/>
      <c r="J52" s="3">
        <f>SUM(K52:V52)/1000</f>
        <v>308</v>
      </c>
      <c r="K52" s="117">
        <f>$F52/12*1000</f>
        <v>25666.666666666668</v>
      </c>
      <c r="L52" s="117">
        <f aca="true" t="shared" si="21" ref="L52:V52">$F52/12*1000</f>
        <v>25666.666666666668</v>
      </c>
      <c r="M52" s="117">
        <f t="shared" si="21"/>
        <v>25666.666666666668</v>
      </c>
      <c r="N52" s="117">
        <f t="shared" si="21"/>
        <v>25666.666666666668</v>
      </c>
      <c r="O52" s="117">
        <f t="shared" si="21"/>
        <v>25666.666666666668</v>
      </c>
      <c r="P52" s="117">
        <f t="shared" si="21"/>
        <v>25666.666666666668</v>
      </c>
      <c r="Q52" s="117">
        <f t="shared" si="21"/>
        <v>25666.666666666668</v>
      </c>
      <c r="R52" s="117">
        <f t="shared" si="21"/>
        <v>25666.666666666668</v>
      </c>
      <c r="S52" s="117">
        <f t="shared" si="21"/>
        <v>25666.666666666668</v>
      </c>
      <c r="T52" s="117">
        <f t="shared" si="21"/>
        <v>25666.666666666668</v>
      </c>
      <c r="U52" s="117">
        <f t="shared" si="21"/>
        <v>25666.666666666668</v>
      </c>
      <c r="V52" s="117">
        <f t="shared" si="21"/>
        <v>25666.666666666668</v>
      </c>
    </row>
    <row r="53" spans="1:22" ht="12.75">
      <c r="A53" s="11">
        <f>A52+1</f>
        <v>41</v>
      </c>
      <c r="B53" t="s">
        <v>26</v>
      </c>
      <c r="D53" s="95">
        <f>SUM(D49:D52)</f>
        <v>25267</v>
      </c>
      <c r="E53" s="19">
        <f>F53-D53</f>
        <v>6240.12492965698</v>
      </c>
      <c r="F53" s="19">
        <f>SUM(F49:F52)</f>
        <v>31507.12492965698</v>
      </c>
      <c r="G53" s="19"/>
      <c r="H53" s="19">
        <v>8095.468897496661</v>
      </c>
      <c r="I53" s="19"/>
      <c r="J53" s="3">
        <f>SUM(K53:V53)/1000</f>
        <v>31507.124929656988</v>
      </c>
      <c r="K53" s="27">
        <f>SUM(K49:K52)</f>
        <v>2910807.4213663735</v>
      </c>
      <c r="L53" s="27">
        <f aca="true" t="shared" si="22" ref="L53:V53">SUM(L49:L52)</f>
        <v>2727458.926188151</v>
      </c>
      <c r="M53" s="27">
        <f t="shared" si="22"/>
        <v>2932808.0449930825</v>
      </c>
      <c r="N53" s="27">
        <f t="shared" si="22"/>
        <v>2582442.6542154946</v>
      </c>
      <c r="O53" s="27">
        <f t="shared" si="22"/>
        <v>1255673.0747477214</v>
      </c>
      <c r="P53" s="27">
        <f t="shared" si="22"/>
        <v>1333012.2416178386</v>
      </c>
      <c r="Q53" s="27">
        <f t="shared" si="22"/>
        <v>2889524.7776285806</v>
      </c>
      <c r="R53" s="27">
        <f t="shared" si="22"/>
        <v>3025063.359781901</v>
      </c>
      <c r="S53" s="27">
        <f t="shared" si="22"/>
        <v>2909474.3607584634</v>
      </c>
      <c r="T53" s="27">
        <f t="shared" si="22"/>
        <v>3016832.8959147134</v>
      </c>
      <c r="U53" s="27">
        <f t="shared" si="22"/>
        <v>2936276.6398111978</v>
      </c>
      <c r="V53" s="27">
        <f t="shared" si="22"/>
        <v>2987750.5326334634</v>
      </c>
    </row>
    <row r="54" spans="1:10" ht="12.75">
      <c r="A54" s="5"/>
      <c r="D54" s="19"/>
      <c r="E54" s="19"/>
      <c r="F54" s="19"/>
      <c r="G54" s="19"/>
      <c r="H54" s="19">
        <v>0</v>
      </c>
      <c r="I54" s="19"/>
      <c r="J54" s="3"/>
    </row>
    <row r="55" spans="1:10" ht="12.75">
      <c r="A55" s="5"/>
      <c r="B55" s="7" t="s">
        <v>57</v>
      </c>
      <c r="D55" s="19"/>
      <c r="E55" s="19"/>
      <c r="F55" s="19"/>
      <c r="G55" s="19"/>
      <c r="H55" s="19">
        <v>10682.990036010742</v>
      </c>
      <c r="I55" s="19"/>
      <c r="J55" s="3"/>
    </row>
    <row r="56" spans="1:22" ht="12.75">
      <c r="A56" s="5">
        <f>A53+1</f>
        <v>42</v>
      </c>
      <c r="B56" s="16" t="s">
        <v>69</v>
      </c>
      <c r="D56" s="95">
        <v>88084</v>
      </c>
      <c r="E56" s="19">
        <f aca="true" t="shared" si="23" ref="E56:E61">F56-D56</f>
        <v>-18686.890105283106</v>
      </c>
      <c r="F56" s="95">
        <f>'WGJ-4'!C31/1000</f>
        <v>69397.1098947169</v>
      </c>
      <c r="G56" s="95"/>
      <c r="H56" s="96">
        <v>188</v>
      </c>
      <c r="I56" s="100" t="s">
        <v>149</v>
      </c>
      <c r="J56" s="3">
        <f aca="true" t="shared" si="24" ref="J56:J61">SUM(K56:V56)/1000</f>
        <v>69397.1098947169</v>
      </c>
      <c r="K56" s="27">
        <f>'WGJ-4'!D31</f>
        <v>4505140.938626744</v>
      </c>
      <c r="L56" s="27">
        <f>'WGJ-4'!E31</f>
        <v>5143803.216043634</v>
      </c>
      <c r="M56" s="27">
        <f>'WGJ-4'!F31</f>
        <v>4780020.733534519</v>
      </c>
      <c r="N56" s="27">
        <f>'WGJ-4'!G31</f>
        <v>3407157.7719312096</v>
      </c>
      <c r="O56" s="27">
        <f>'WGJ-4'!H31</f>
        <v>2362138.307550642</v>
      </c>
      <c r="P56" s="27">
        <f>'WGJ-4'!I31</f>
        <v>2620881.626686618</v>
      </c>
      <c r="Q56" s="27">
        <f>'WGJ-4'!J31</f>
        <v>6221339.175703757</v>
      </c>
      <c r="R56" s="27">
        <f>'WGJ-4'!K31</f>
        <v>8567095.43013198</v>
      </c>
      <c r="S56" s="27">
        <f>'WGJ-4'!L31</f>
        <v>8224226.435736371</v>
      </c>
      <c r="T56" s="27">
        <f>'WGJ-4'!M31</f>
        <v>7968854.664520262</v>
      </c>
      <c r="U56" s="27">
        <f>'WGJ-4'!N31</f>
        <v>8599436.245166436</v>
      </c>
      <c r="V56" s="27">
        <f>'WGJ-4'!O31</f>
        <v>6997015.349084719</v>
      </c>
    </row>
    <row r="57" spans="1:22" ht="12.75">
      <c r="A57" s="5">
        <f aca="true" t="shared" si="25" ref="A57:A62">A56+1</f>
        <v>43</v>
      </c>
      <c r="B57" s="16" t="s">
        <v>128</v>
      </c>
      <c r="D57" s="95">
        <v>7729</v>
      </c>
      <c r="E57" s="19">
        <f t="shared" si="23"/>
        <v>0</v>
      </c>
      <c r="F57" s="95">
        <v>7729</v>
      </c>
      <c r="G57" s="19"/>
      <c r="H57" s="19">
        <v>18966.458933507405</v>
      </c>
      <c r="I57" s="19"/>
      <c r="J57" s="3">
        <f t="shared" si="24"/>
        <v>7728.999999999999</v>
      </c>
      <c r="K57" s="88">
        <f>$F57/12*1000</f>
        <v>644083.3333333334</v>
      </c>
      <c r="L57" s="88">
        <f aca="true" t="shared" si="26" ref="L57:V57">$F57/12*1000</f>
        <v>644083.3333333334</v>
      </c>
      <c r="M57" s="88">
        <f t="shared" si="26"/>
        <v>644083.3333333334</v>
      </c>
      <c r="N57" s="88">
        <f t="shared" si="26"/>
        <v>644083.3333333334</v>
      </c>
      <c r="O57" s="88">
        <f t="shared" si="26"/>
        <v>644083.3333333334</v>
      </c>
      <c r="P57" s="88">
        <f t="shared" si="26"/>
        <v>644083.3333333334</v>
      </c>
      <c r="Q57" s="88">
        <f t="shared" si="26"/>
        <v>644083.3333333334</v>
      </c>
      <c r="R57" s="88">
        <f t="shared" si="26"/>
        <v>644083.3333333334</v>
      </c>
      <c r="S57" s="88">
        <f t="shared" si="26"/>
        <v>644083.3333333334</v>
      </c>
      <c r="T57" s="88">
        <f t="shared" si="26"/>
        <v>644083.3333333334</v>
      </c>
      <c r="U57" s="88">
        <f t="shared" si="26"/>
        <v>644083.3333333334</v>
      </c>
      <c r="V57" s="88">
        <f t="shared" si="26"/>
        <v>644083.3333333334</v>
      </c>
    </row>
    <row r="58" spans="1:22" ht="12.75">
      <c r="A58" s="5">
        <f t="shared" si="25"/>
        <v>44</v>
      </c>
      <c r="B58" s="12" t="s">
        <v>73</v>
      </c>
      <c r="C58" s="12"/>
      <c r="D58" s="19">
        <v>1774</v>
      </c>
      <c r="E58" s="19">
        <f t="shared" si="23"/>
        <v>-401.35369392395023</v>
      </c>
      <c r="F58" s="95">
        <f>'WGJ-4'!C43/1000</f>
        <v>1372.6463060760498</v>
      </c>
      <c r="G58" s="95"/>
      <c r="H58" s="95"/>
      <c r="I58" s="100" t="s">
        <v>149</v>
      </c>
      <c r="J58" s="3">
        <f t="shared" si="24"/>
        <v>1372.6463060760498</v>
      </c>
      <c r="K58" s="27">
        <f>'WGJ-4'!D43</f>
        <v>0</v>
      </c>
      <c r="L58" s="27">
        <f>'WGJ-4'!E43</f>
        <v>3121.3363647460938</v>
      </c>
      <c r="M58" s="27">
        <f>'WGJ-4'!F43</f>
        <v>0</v>
      </c>
      <c r="N58" s="27">
        <f>'WGJ-4'!G43</f>
        <v>5496.629943847656</v>
      </c>
      <c r="O58" s="27">
        <f>'WGJ-4'!H43</f>
        <v>18858.6368560791</v>
      </c>
      <c r="P58" s="27">
        <f>'WGJ-4'!I43</f>
        <v>7227.438735961914</v>
      </c>
      <c r="Q58" s="27">
        <f>'WGJ-4'!J43</f>
        <v>577650.0019073486</v>
      </c>
      <c r="R58" s="27">
        <f>'WGJ-4'!K43</f>
        <v>675867.6942443848</v>
      </c>
      <c r="S58" s="27">
        <f>'WGJ-4'!L43</f>
        <v>40599.471588134766</v>
      </c>
      <c r="T58" s="27">
        <f>'WGJ-4'!M43</f>
        <v>39794.873046875</v>
      </c>
      <c r="U58" s="27">
        <f>'WGJ-4'!N43</f>
        <v>4030.2233886718745</v>
      </c>
      <c r="V58" s="27">
        <f>'WGJ-4'!O43</f>
        <v>0</v>
      </c>
    </row>
    <row r="59" spans="1:22" ht="12.75">
      <c r="A59" s="5">
        <f t="shared" si="25"/>
        <v>45</v>
      </c>
      <c r="B59" t="s">
        <v>72</v>
      </c>
      <c r="D59" s="19">
        <v>238</v>
      </c>
      <c r="E59" s="19">
        <f t="shared" si="23"/>
        <v>-238</v>
      </c>
      <c r="F59" s="95">
        <f>'WGJ-4'!C47/1000</f>
        <v>0</v>
      </c>
      <c r="G59" s="95"/>
      <c r="H59" s="95"/>
      <c r="I59" s="100" t="s">
        <v>149</v>
      </c>
      <c r="J59" s="3">
        <f t="shared" si="24"/>
        <v>0</v>
      </c>
      <c r="K59" s="27">
        <f>'WGJ-4'!D47</f>
        <v>0</v>
      </c>
      <c r="L59" s="27">
        <f>'WGJ-4'!E47</f>
        <v>0</v>
      </c>
      <c r="M59" s="27">
        <f>'WGJ-4'!F47</f>
        <v>0</v>
      </c>
      <c r="N59" s="27">
        <f>'WGJ-4'!G47</f>
        <v>0</v>
      </c>
      <c r="O59" s="27">
        <f>'WGJ-4'!H47</f>
        <v>0</v>
      </c>
      <c r="P59" s="27">
        <f>'WGJ-4'!I47</f>
        <v>0</v>
      </c>
      <c r="Q59" s="27">
        <f>'WGJ-4'!J47</f>
        <v>0</v>
      </c>
      <c r="R59" s="27">
        <f>'WGJ-4'!K47</f>
        <v>0</v>
      </c>
      <c r="S59" s="27">
        <f>'WGJ-4'!L47</f>
        <v>0</v>
      </c>
      <c r="T59" s="27">
        <f>'WGJ-4'!M47</f>
        <v>0</v>
      </c>
      <c r="U59" s="27">
        <f>'WGJ-4'!N47</f>
        <v>0</v>
      </c>
      <c r="V59" s="27">
        <f>'WGJ-4'!O47</f>
        <v>0</v>
      </c>
    </row>
    <row r="60" spans="1:22" ht="12.75">
      <c r="A60" s="5">
        <f t="shared" si="25"/>
        <v>46</v>
      </c>
      <c r="B60" t="s">
        <v>70</v>
      </c>
      <c r="D60" s="19">
        <v>1811</v>
      </c>
      <c r="E60" s="19">
        <f t="shared" si="23"/>
        <v>-1342.840078034373</v>
      </c>
      <c r="F60" s="95">
        <f>'WGJ-4'!C35/1000</f>
        <v>468.159921965627</v>
      </c>
      <c r="G60" s="95"/>
      <c r="H60" s="95">
        <v>59394.36670457919</v>
      </c>
      <c r="I60" s="100" t="s">
        <v>149</v>
      </c>
      <c r="J60" s="3">
        <f t="shared" si="24"/>
        <v>468.159921965627</v>
      </c>
      <c r="K60" s="27">
        <f>'WGJ-4'!D35</f>
        <v>13819.955407381058</v>
      </c>
      <c r="L60" s="27">
        <f>'WGJ-4'!E35</f>
        <v>19873.758330345154</v>
      </c>
      <c r="M60" s="27">
        <f>'WGJ-4'!F35</f>
        <v>6574.0893268585205</v>
      </c>
      <c r="N60" s="27">
        <f>'WGJ-4'!G35</f>
        <v>37662.224079594016</v>
      </c>
      <c r="O60" s="27">
        <f>'WGJ-4'!H35</f>
        <v>36441.77487373352</v>
      </c>
      <c r="P60" s="27">
        <f>'WGJ-4'!I35</f>
        <v>12797.544538974762</v>
      </c>
      <c r="Q60" s="27">
        <f>'WGJ-4'!J35</f>
        <v>87973.23720008135</v>
      </c>
      <c r="R60" s="27">
        <f>'WGJ-4'!K35</f>
        <v>129426.93901062012</v>
      </c>
      <c r="S60" s="27">
        <f>'WGJ-4'!L35</f>
        <v>98060.83335876465</v>
      </c>
      <c r="T60" s="27">
        <f>'WGJ-4'!M35</f>
        <v>12173.049890100956</v>
      </c>
      <c r="U60" s="27">
        <f>'WGJ-4'!N35</f>
        <v>6517.045181198046</v>
      </c>
      <c r="V60" s="27">
        <f>'WGJ-4'!O35</f>
        <v>6839.4707679748535</v>
      </c>
    </row>
    <row r="61" spans="1:22" ht="12.75">
      <c r="A61" s="5">
        <f t="shared" si="25"/>
        <v>47</v>
      </c>
      <c r="B61" s="113" t="s">
        <v>71</v>
      </c>
      <c r="C61" s="17"/>
      <c r="D61" s="42">
        <v>140</v>
      </c>
      <c r="E61" s="42">
        <f t="shared" si="23"/>
        <v>213.53639785550536</v>
      </c>
      <c r="F61" s="96">
        <f>'WGJ-4'!C39/1000</f>
        <v>353.53639785550536</v>
      </c>
      <c r="G61" s="95"/>
      <c r="H61" s="95">
        <v>6240</v>
      </c>
      <c r="I61" s="100" t="s">
        <v>149</v>
      </c>
      <c r="J61" s="3">
        <f t="shared" si="24"/>
        <v>353.53639785550536</v>
      </c>
      <c r="K61" s="27">
        <f>'WGJ-4'!D39</f>
        <v>9336.760123074055</v>
      </c>
      <c r="L61" s="27">
        <f>'WGJ-4'!E39</f>
        <v>11111.413130164146</v>
      </c>
      <c r="M61" s="27">
        <f>'WGJ-4'!F39</f>
        <v>9007.31086306274</v>
      </c>
      <c r="N61" s="27">
        <f>'WGJ-4'!G39</f>
        <v>19744.07782226801</v>
      </c>
      <c r="O61" s="27">
        <f>'WGJ-4'!H39</f>
        <v>20908.515170514584</v>
      </c>
      <c r="P61" s="27">
        <f>'WGJ-4'!I39</f>
        <v>12073.525519669056</v>
      </c>
      <c r="Q61" s="27">
        <f>'WGJ-4'!J39</f>
        <v>59667.865204811096</v>
      </c>
      <c r="R61" s="27">
        <f>'WGJ-4'!K39</f>
        <v>90299.52535629272</v>
      </c>
      <c r="S61" s="27">
        <f>'WGJ-4'!L39</f>
        <v>75614.81199264526</v>
      </c>
      <c r="T61" s="27">
        <f>'WGJ-4'!M39</f>
        <v>17850.488107204437</v>
      </c>
      <c r="U61" s="27">
        <f>'WGJ-4'!N39</f>
        <v>17893.439338207245</v>
      </c>
      <c r="V61" s="27">
        <f>'WGJ-4'!O39</f>
        <v>10028.665227591991</v>
      </c>
    </row>
    <row r="62" spans="1:22" ht="12.75">
      <c r="A62" s="5">
        <f t="shared" si="25"/>
        <v>48</v>
      </c>
      <c r="B62" t="s">
        <v>50</v>
      </c>
      <c r="D62" s="95">
        <f>SUM(D56:D61)</f>
        <v>99776</v>
      </c>
      <c r="E62" s="19">
        <f>F62-D62</f>
        <v>-20455.547479385932</v>
      </c>
      <c r="F62" s="19">
        <f>SUM(F56:F61)</f>
        <v>79320.45252061407</v>
      </c>
      <c r="G62" s="19"/>
      <c r="H62" s="19">
        <v>0.11360950271288535</v>
      </c>
      <c r="I62" s="19"/>
      <c r="J62" s="3">
        <f aca="true" t="shared" si="27" ref="J62:V62">SUM(J56:J61)</f>
        <v>79320.45252061407</v>
      </c>
      <c r="K62" s="27">
        <f t="shared" si="27"/>
        <v>5172380.987490532</v>
      </c>
      <c r="L62" s="27">
        <f t="shared" si="27"/>
        <v>5821993.057202223</v>
      </c>
      <c r="M62" s="27">
        <f t="shared" si="27"/>
        <v>5439685.467057773</v>
      </c>
      <c r="N62" s="27">
        <f t="shared" si="27"/>
        <v>4114144.037110253</v>
      </c>
      <c r="O62" s="27">
        <f t="shared" si="27"/>
        <v>3082430.567784303</v>
      </c>
      <c r="P62" s="27">
        <f t="shared" si="27"/>
        <v>3297063.4688145574</v>
      </c>
      <c r="Q62" s="27">
        <f t="shared" si="27"/>
        <v>7590713.613349332</v>
      </c>
      <c r="R62" s="27">
        <f t="shared" si="27"/>
        <v>10106772.92207661</v>
      </c>
      <c r="S62" s="27">
        <f t="shared" si="27"/>
        <v>9082584.88600925</v>
      </c>
      <c r="T62" s="27">
        <f t="shared" si="27"/>
        <v>8682756.408897776</v>
      </c>
      <c r="U62" s="27">
        <f t="shared" si="27"/>
        <v>9271960.286407847</v>
      </c>
      <c r="V62" s="27">
        <f t="shared" si="27"/>
        <v>7657966.818413619</v>
      </c>
    </row>
    <row r="63" spans="1:22" ht="12.75">
      <c r="A63" s="5"/>
      <c r="D63" s="19"/>
      <c r="E63" s="19"/>
      <c r="F63" s="19"/>
      <c r="G63" s="19"/>
      <c r="H63" s="19">
        <v>3237.801052308828</v>
      </c>
      <c r="I63" s="19"/>
      <c r="J63" s="3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</row>
    <row r="64" spans="1:10" ht="12.75">
      <c r="A64" s="5"/>
      <c r="D64" s="19"/>
      <c r="E64" s="19"/>
      <c r="F64" s="19"/>
      <c r="G64" s="19"/>
      <c r="H64" s="19">
        <v>592.635823396283</v>
      </c>
      <c r="I64" s="19"/>
      <c r="J64" s="3"/>
    </row>
    <row r="65" spans="1:10" ht="12.75">
      <c r="A65" s="5"/>
      <c r="B65" s="7" t="s">
        <v>13</v>
      </c>
      <c r="D65" s="19"/>
      <c r="E65" s="19" t="s">
        <v>12</v>
      </c>
      <c r="F65" s="19"/>
      <c r="G65" s="19"/>
      <c r="H65" s="42">
        <v>480</v>
      </c>
      <c r="I65" s="19"/>
      <c r="J65" s="3"/>
    </row>
    <row r="66" spans="1:22" ht="12.75">
      <c r="A66" s="5">
        <f>A62+1</f>
        <v>49</v>
      </c>
      <c r="B66" t="s">
        <v>8</v>
      </c>
      <c r="C66" s="12"/>
      <c r="D66" s="19">
        <v>790</v>
      </c>
      <c r="E66" s="19">
        <f aca="true" t="shared" si="28" ref="E66:E77">F66-D66</f>
        <v>3</v>
      </c>
      <c r="F66" s="95">
        <v>793</v>
      </c>
      <c r="G66" s="19"/>
      <c r="H66" s="19">
        <v>70026.23275827609</v>
      </c>
      <c r="I66" s="19"/>
      <c r="J66" s="3">
        <f aca="true" t="shared" si="29" ref="J66:J78">SUM(K66:V66)/1000</f>
        <v>793.0000000000001</v>
      </c>
      <c r="K66" s="60">
        <f>$F66/12*1000</f>
        <v>66083.33333333333</v>
      </c>
      <c r="L66" s="60">
        <f aca="true" t="shared" si="30" ref="L66:V66">$F66/12*1000</f>
        <v>66083.33333333333</v>
      </c>
      <c r="M66" s="60">
        <f t="shared" si="30"/>
        <v>66083.33333333333</v>
      </c>
      <c r="N66" s="60">
        <f t="shared" si="30"/>
        <v>66083.33333333333</v>
      </c>
      <c r="O66" s="60">
        <f t="shared" si="30"/>
        <v>66083.33333333333</v>
      </c>
      <c r="P66" s="60">
        <f t="shared" si="30"/>
        <v>66083.33333333333</v>
      </c>
      <c r="Q66" s="60">
        <f t="shared" si="30"/>
        <v>66083.33333333333</v>
      </c>
      <c r="R66" s="60">
        <f t="shared" si="30"/>
        <v>66083.33333333333</v>
      </c>
      <c r="S66" s="60">
        <f t="shared" si="30"/>
        <v>66083.33333333333</v>
      </c>
      <c r="T66" s="60">
        <f t="shared" si="30"/>
        <v>66083.33333333333</v>
      </c>
      <c r="U66" s="60">
        <f t="shared" si="30"/>
        <v>66083.33333333333</v>
      </c>
      <c r="V66" s="60">
        <f t="shared" si="30"/>
        <v>66083.33333333333</v>
      </c>
    </row>
    <row r="67" spans="1:22" ht="12.75">
      <c r="A67" s="5">
        <f>A66+1</f>
        <v>50</v>
      </c>
      <c r="B67" t="s">
        <v>190</v>
      </c>
      <c r="D67" s="19">
        <v>512</v>
      </c>
      <c r="E67" s="19">
        <f t="shared" si="28"/>
        <v>-512</v>
      </c>
      <c r="F67" s="97">
        <v>0</v>
      </c>
      <c r="G67" s="129"/>
      <c r="H67" s="22"/>
      <c r="I67" s="19"/>
      <c r="J67" s="3">
        <f t="shared" si="29"/>
        <v>0</v>
      </c>
      <c r="K67" s="60">
        <f aca="true" t="shared" si="31" ref="K67:V77">$F67/12*1000</f>
        <v>0</v>
      </c>
      <c r="L67" s="60">
        <f t="shared" si="31"/>
        <v>0</v>
      </c>
      <c r="M67" s="60">
        <f t="shared" si="31"/>
        <v>0</v>
      </c>
      <c r="N67" s="60">
        <f t="shared" si="31"/>
        <v>0</v>
      </c>
      <c r="O67" s="60">
        <f t="shared" si="31"/>
        <v>0</v>
      </c>
      <c r="P67" s="60">
        <f t="shared" si="31"/>
        <v>0</v>
      </c>
      <c r="Q67" s="60">
        <f t="shared" si="31"/>
        <v>0</v>
      </c>
      <c r="R67" s="60">
        <f t="shared" si="31"/>
        <v>0</v>
      </c>
      <c r="S67" s="60">
        <f t="shared" si="31"/>
        <v>0</v>
      </c>
      <c r="T67" s="60">
        <f t="shared" si="31"/>
        <v>0</v>
      </c>
      <c r="U67" s="60">
        <f t="shared" si="31"/>
        <v>0</v>
      </c>
      <c r="V67" s="60">
        <f t="shared" si="31"/>
        <v>0</v>
      </c>
    </row>
    <row r="68" spans="1:22" ht="12.75">
      <c r="A68" s="5">
        <f>A67+1</f>
        <v>51</v>
      </c>
      <c r="B68" t="s">
        <v>225</v>
      </c>
      <c r="D68" s="19">
        <v>11</v>
      </c>
      <c r="E68" s="19">
        <f t="shared" si="28"/>
        <v>0</v>
      </c>
      <c r="F68" s="97">
        <v>11</v>
      </c>
      <c r="G68" s="129"/>
      <c r="H68" s="22"/>
      <c r="I68" s="19"/>
      <c r="J68" s="3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</row>
    <row r="69" spans="1:22" ht="12.75">
      <c r="A69" s="5">
        <f>A68+1</f>
        <v>52</v>
      </c>
      <c r="B69" t="s">
        <v>30</v>
      </c>
      <c r="D69" s="19">
        <v>18</v>
      </c>
      <c r="E69" s="19">
        <f>F69-D69</f>
        <v>4</v>
      </c>
      <c r="F69" s="97">
        <v>22</v>
      </c>
      <c r="G69" s="22"/>
      <c r="H69" s="22"/>
      <c r="I69" s="22"/>
      <c r="J69" s="3">
        <f t="shared" si="29"/>
        <v>21.999999999999996</v>
      </c>
      <c r="K69" s="60">
        <f t="shared" si="31"/>
        <v>1833.3333333333333</v>
      </c>
      <c r="L69" s="60">
        <f t="shared" si="31"/>
        <v>1833.3333333333333</v>
      </c>
      <c r="M69" s="60">
        <f t="shared" si="31"/>
        <v>1833.3333333333333</v>
      </c>
      <c r="N69" s="60">
        <f t="shared" si="31"/>
        <v>1833.3333333333333</v>
      </c>
      <c r="O69" s="60">
        <f t="shared" si="31"/>
        <v>1833.3333333333333</v>
      </c>
      <c r="P69" s="60">
        <f t="shared" si="31"/>
        <v>1833.3333333333333</v>
      </c>
      <c r="Q69" s="60">
        <f t="shared" si="31"/>
        <v>1833.3333333333333</v>
      </c>
      <c r="R69" s="60">
        <f t="shared" si="31"/>
        <v>1833.3333333333333</v>
      </c>
      <c r="S69" s="60">
        <f t="shared" si="31"/>
        <v>1833.3333333333333</v>
      </c>
      <c r="T69" s="60">
        <f t="shared" si="31"/>
        <v>1833.3333333333333</v>
      </c>
      <c r="U69" s="60">
        <f t="shared" si="31"/>
        <v>1833.3333333333333</v>
      </c>
      <c r="V69" s="60">
        <f t="shared" si="31"/>
        <v>1833.3333333333333</v>
      </c>
    </row>
    <row r="70" spans="1:22" ht="12.75">
      <c r="A70" s="5">
        <f>A69+1</f>
        <v>53</v>
      </c>
      <c r="B70" t="s">
        <v>131</v>
      </c>
      <c r="D70" s="19">
        <v>1278</v>
      </c>
      <c r="E70" s="19">
        <f t="shared" si="28"/>
        <v>0</v>
      </c>
      <c r="F70" s="95">
        <v>1278</v>
      </c>
      <c r="G70" s="19"/>
      <c r="H70" s="19"/>
      <c r="I70" s="19"/>
      <c r="J70" s="3">
        <f t="shared" si="29"/>
        <v>1278</v>
      </c>
      <c r="K70" s="60">
        <f t="shared" si="31"/>
        <v>106500</v>
      </c>
      <c r="L70" s="60">
        <f t="shared" si="31"/>
        <v>106500</v>
      </c>
      <c r="M70" s="60">
        <f t="shared" si="31"/>
        <v>106500</v>
      </c>
      <c r="N70" s="60">
        <f t="shared" si="31"/>
        <v>106500</v>
      </c>
      <c r="O70" s="60">
        <f t="shared" si="31"/>
        <v>106500</v>
      </c>
      <c r="P70" s="60">
        <f t="shared" si="31"/>
        <v>106500</v>
      </c>
      <c r="Q70" s="60">
        <f t="shared" si="31"/>
        <v>106500</v>
      </c>
      <c r="R70" s="60">
        <f t="shared" si="31"/>
        <v>106500</v>
      </c>
      <c r="S70" s="60">
        <f t="shared" si="31"/>
        <v>106500</v>
      </c>
      <c r="T70" s="60">
        <f t="shared" si="31"/>
        <v>106500</v>
      </c>
      <c r="U70" s="60">
        <f t="shared" si="31"/>
        <v>106500</v>
      </c>
      <c r="V70" s="60">
        <f t="shared" si="31"/>
        <v>106500</v>
      </c>
    </row>
    <row r="71" spans="1:22" ht="12.75">
      <c r="A71" s="5">
        <f aca="true" t="shared" si="32" ref="A71:A78">A70+1</f>
        <v>54</v>
      </c>
      <c r="B71" t="s">
        <v>107</v>
      </c>
      <c r="D71" s="19">
        <v>7822</v>
      </c>
      <c r="E71" s="19">
        <f t="shared" si="28"/>
        <v>653</v>
      </c>
      <c r="F71" s="95">
        <v>8475</v>
      </c>
      <c r="G71" s="95"/>
      <c r="H71" s="95">
        <v>772</v>
      </c>
      <c r="I71" s="98" t="s">
        <v>147</v>
      </c>
      <c r="J71" s="3">
        <f t="shared" si="29"/>
        <v>8475</v>
      </c>
      <c r="K71" s="60">
        <f t="shared" si="31"/>
        <v>706250</v>
      </c>
      <c r="L71" s="60">
        <f t="shared" si="31"/>
        <v>706250</v>
      </c>
      <c r="M71" s="60">
        <f t="shared" si="31"/>
        <v>706250</v>
      </c>
      <c r="N71" s="60">
        <f t="shared" si="31"/>
        <v>706250</v>
      </c>
      <c r="O71" s="60">
        <f t="shared" si="31"/>
        <v>706250</v>
      </c>
      <c r="P71" s="60">
        <f t="shared" si="31"/>
        <v>706250</v>
      </c>
      <c r="Q71" s="60">
        <f t="shared" si="31"/>
        <v>706250</v>
      </c>
      <c r="R71" s="60">
        <f t="shared" si="31"/>
        <v>706250</v>
      </c>
      <c r="S71" s="60">
        <f t="shared" si="31"/>
        <v>706250</v>
      </c>
      <c r="T71" s="60">
        <f t="shared" si="31"/>
        <v>706250</v>
      </c>
      <c r="U71" s="60">
        <f t="shared" si="31"/>
        <v>706250</v>
      </c>
      <c r="V71" s="60">
        <f t="shared" si="31"/>
        <v>706250</v>
      </c>
    </row>
    <row r="72" spans="1:22" ht="12.75">
      <c r="A72" s="5">
        <f t="shared" si="32"/>
        <v>55</v>
      </c>
      <c r="B72" t="s">
        <v>28</v>
      </c>
      <c r="D72" s="19">
        <v>1173</v>
      </c>
      <c r="E72" s="19">
        <f t="shared" si="28"/>
        <v>0</v>
      </c>
      <c r="F72" s="19">
        <v>1173</v>
      </c>
      <c r="G72" s="19"/>
      <c r="H72" s="19">
        <v>49</v>
      </c>
      <c r="I72" s="19"/>
      <c r="J72" s="3">
        <f t="shared" si="29"/>
        <v>1173</v>
      </c>
      <c r="K72" s="60">
        <f t="shared" si="31"/>
        <v>97750</v>
      </c>
      <c r="L72" s="60">
        <f t="shared" si="31"/>
        <v>97750</v>
      </c>
      <c r="M72" s="60">
        <f t="shared" si="31"/>
        <v>97750</v>
      </c>
      <c r="N72" s="60">
        <f t="shared" si="31"/>
        <v>97750</v>
      </c>
      <c r="O72" s="60">
        <f t="shared" si="31"/>
        <v>97750</v>
      </c>
      <c r="P72" s="60">
        <f t="shared" si="31"/>
        <v>97750</v>
      </c>
      <c r="Q72" s="60">
        <f t="shared" si="31"/>
        <v>97750</v>
      </c>
      <c r="R72" s="60">
        <f t="shared" si="31"/>
        <v>97750</v>
      </c>
      <c r="S72" s="60">
        <f t="shared" si="31"/>
        <v>97750</v>
      </c>
      <c r="T72" s="60">
        <f t="shared" si="31"/>
        <v>97750</v>
      </c>
      <c r="U72" s="60">
        <f t="shared" si="31"/>
        <v>97750</v>
      </c>
      <c r="V72" s="60">
        <f t="shared" si="31"/>
        <v>97750</v>
      </c>
    </row>
    <row r="73" spans="1:22" ht="12.75">
      <c r="A73" s="5">
        <f t="shared" si="32"/>
        <v>56</v>
      </c>
      <c r="B73" t="s">
        <v>108</v>
      </c>
      <c r="D73" s="19">
        <v>1098</v>
      </c>
      <c r="E73" s="19">
        <f t="shared" si="28"/>
        <v>237</v>
      </c>
      <c r="F73" s="95">
        <v>1335</v>
      </c>
      <c r="G73" s="100" t="s">
        <v>224</v>
      </c>
      <c r="H73" s="19">
        <v>348</v>
      </c>
      <c r="I73" s="19"/>
      <c r="J73" s="3">
        <f t="shared" si="29"/>
        <v>1335</v>
      </c>
      <c r="K73" s="60">
        <f t="shared" si="31"/>
        <v>111250</v>
      </c>
      <c r="L73" s="60">
        <f t="shared" si="31"/>
        <v>111250</v>
      </c>
      <c r="M73" s="60">
        <f t="shared" si="31"/>
        <v>111250</v>
      </c>
      <c r="N73" s="60">
        <f t="shared" si="31"/>
        <v>111250</v>
      </c>
      <c r="O73" s="60">
        <f t="shared" si="31"/>
        <v>111250</v>
      </c>
      <c r="P73" s="60">
        <f t="shared" si="31"/>
        <v>111250</v>
      </c>
      <c r="Q73" s="60">
        <f t="shared" si="31"/>
        <v>111250</v>
      </c>
      <c r="R73" s="60">
        <f t="shared" si="31"/>
        <v>111250</v>
      </c>
      <c r="S73" s="60">
        <f t="shared" si="31"/>
        <v>111250</v>
      </c>
      <c r="T73" s="60">
        <f t="shared" si="31"/>
        <v>111250</v>
      </c>
      <c r="U73" s="60">
        <f t="shared" si="31"/>
        <v>111250</v>
      </c>
      <c r="V73" s="60">
        <f t="shared" si="31"/>
        <v>111250</v>
      </c>
    </row>
    <row r="74" spans="1:22" ht="12.75">
      <c r="A74" s="5">
        <f t="shared" si="32"/>
        <v>57</v>
      </c>
      <c r="B74" t="s">
        <v>106</v>
      </c>
      <c r="D74" s="19">
        <v>32</v>
      </c>
      <c r="E74" s="19">
        <f t="shared" si="28"/>
        <v>48</v>
      </c>
      <c r="F74" s="19">
        <v>80</v>
      </c>
      <c r="G74" s="19"/>
      <c r="H74" s="19">
        <v>8315</v>
      </c>
      <c r="I74" s="19"/>
      <c r="J74" s="3">
        <f t="shared" si="29"/>
        <v>80</v>
      </c>
      <c r="K74" s="60">
        <f t="shared" si="31"/>
        <v>6666.666666666667</v>
      </c>
      <c r="L74" s="60">
        <f t="shared" si="31"/>
        <v>6666.666666666667</v>
      </c>
      <c r="M74" s="60">
        <f t="shared" si="31"/>
        <v>6666.666666666667</v>
      </c>
      <c r="N74" s="60">
        <f t="shared" si="31"/>
        <v>6666.666666666667</v>
      </c>
      <c r="O74" s="60">
        <f t="shared" si="31"/>
        <v>6666.666666666667</v>
      </c>
      <c r="P74" s="60">
        <f t="shared" si="31"/>
        <v>6666.666666666667</v>
      </c>
      <c r="Q74" s="60">
        <f t="shared" si="31"/>
        <v>6666.666666666667</v>
      </c>
      <c r="R74" s="60">
        <f t="shared" si="31"/>
        <v>6666.666666666667</v>
      </c>
      <c r="S74" s="60">
        <f t="shared" si="31"/>
        <v>6666.666666666667</v>
      </c>
      <c r="T74" s="60">
        <f t="shared" si="31"/>
        <v>6666.666666666667</v>
      </c>
      <c r="U74" s="60">
        <f t="shared" si="31"/>
        <v>6666.666666666667</v>
      </c>
      <c r="V74" s="60">
        <f t="shared" si="31"/>
        <v>6666.666666666667</v>
      </c>
    </row>
    <row r="75" spans="1:22" ht="12.75">
      <c r="A75" s="5">
        <f t="shared" si="32"/>
        <v>58</v>
      </c>
      <c r="B75" t="s">
        <v>153</v>
      </c>
      <c r="D75" s="19">
        <v>89</v>
      </c>
      <c r="E75" s="19">
        <f t="shared" si="28"/>
        <v>45</v>
      </c>
      <c r="F75" s="19">
        <v>134</v>
      </c>
      <c r="G75" s="19"/>
      <c r="H75" s="19">
        <v>1245</v>
      </c>
      <c r="I75" s="19"/>
      <c r="J75" s="3">
        <f t="shared" si="29"/>
        <v>134.00000000000003</v>
      </c>
      <c r="K75" s="60">
        <f t="shared" si="31"/>
        <v>11166.666666666666</v>
      </c>
      <c r="L75" s="60">
        <f t="shared" si="31"/>
        <v>11166.666666666666</v>
      </c>
      <c r="M75" s="60">
        <f t="shared" si="31"/>
        <v>11166.666666666666</v>
      </c>
      <c r="N75" s="60">
        <f t="shared" si="31"/>
        <v>11166.666666666666</v>
      </c>
      <c r="O75" s="60">
        <f t="shared" si="31"/>
        <v>11166.666666666666</v>
      </c>
      <c r="P75" s="60">
        <f t="shared" si="31"/>
        <v>11166.666666666666</v>
      </c>
      <c r="Q75" s="60">
        <f t="shared" si="31"/>
        <v>11166.666666666666</v>
      </c>
      <c r="R75" s="60">
        <f t="shared" si="31"/>
        <v>11166.666666666666</v>
      </c>
      <c r="S75" s="60">
        <f t="shared" si="31"/>
        <v>11166.666666666666</v>
      </c>
      <c r="T75" s="60">
        <f t="shared" si="31"/>
        <v>11166.666666666666</v>
      </c>
      <c r="U75" s="60">
        <f t="shared" si="31"/>
        <v>11166.666666666666</v>
      </c>
      <c r="V75" s="60">
        <f t="shared" si="31"/>
        <v>11166.666666666666</v>
      </c>
    </row>
    <row r="76" spans="1:22" ht="12.75">
      <c r="A76" s="5">
        <f t="shared" si="32"/>
        <v>59</v>
      </c>
      <c r="B76" t="s">
        <v>14</v>
      </c>
      <c r="C76" s="12"/>
      <c r="D76" s="19">
        <v>388</v>
      </c>
      <c r="E76" s="19">
        <f t="shared" si="28"/>
        <v>0</v>
      </c>
      <c r="F76" s="95">
        <v>388</v>
      </c>
      <c r="G76" s="19"/>
      <c r="H76" s="19">
        <v>1689</v>
      </c>
      <c r="I76" s="19"/>
      <c r="J76" s="3">
        <f t="shared" si="29"/>
        <v>388</v>
      </c>
      <c r="K76" s="60">
        <f t="shared" si="31"/>
        <v>32333.333333333336</v>
      </c>
      <c r="L76" s="60">
        <f t="shared" si="31"/>
        <v>32333.333333333336</v>
      </c>
      <c r="M76" s="60">
        <f t="shared" si="31"/>
        <v>32333.333333333336</v>
      </c>
      <c r="N76" s="60">
        <f t="shared" si="31"/>
        <v>32333.333333333336</v>
      </c>
      <c r="O76" s="60">
        <f t="shared" si="31"/>
        <v>32333.333333333336</v>
      </c>
      <c r="P76" s="60">
        <f t="shared" si="31"/>
        <v>32333.333333333336</v>
      </c>
      <c r="Q76" s="60">
        <f t="shared" si="31"/>
        <v>32333.333333333336</v>
      </c>
      <c r="R76" s="60">
        <f t="shared" si="31"/>
        <v>32333.333333333336</v>
      </c>
      <c r="S76" s="60">
        <f t="shared" si="31"/>
        <v>32333.333333333336</v>
      </c>
      <c r="T76" s="60">
        <f t="shared" si="31"/>
        <v>32333.333333333336</v>
      </c>
      <c r="U76" s="60">
        <f t="shared" si="31"/>
        <v>32333.333333333336</v>
      </c>
      <c r="V76" s="60">
        <f t="shared" si="31"/>
        <v>32333.333333333336</v>
      </c>
    </row>
    <row r="77" spans="1:22" ht="12.75">
      <c r="A77" s="5">
        <f t="shared" si="32"/>
        <v>60</v>
      </c>
      <c r="B77" s="17" t="s">
        <v>34</v>
      </c>
      <c r="C77" s="17"/>
      <c r="D77" s="42">
        <v>643</v>
      </c>
      <c r="E77" s="42">
        <f t="shared" si="28"/>
        <v>0</v>
      </c>
      <c r="F77" s="96">
        <v>643</v>
      </c>
      <c r="G77" s="19"/>
      <c r="H77" s="19">
        <v>32.112</v>
      </c>
      <c r="I77" s="19"/>
      <c r="J77" s="91">
        <f t="shared" si="29"/>
        <v>643</v>
      </c>
      <c r="K77" s="112">
        <f t="shared" si="31"/>
        <v>53583.333333333336</v>
      </c>
      <c r="L77" s="112">
        <f t="shared" si="31"/>
        <v>53583.333333333336</v>
      </c>
      <c r="M77" s="112">
        <f t="shared" si="31"/>
        <v>53583.333333333336</v>
      </c>
      <c r="N77" s="112">
        <f t="shared" si="31"/>
        <v>53583.333333333336</v>
      </c>
      <c r="O77" s="112">
        <f t="shared" si="31"/>
        <v>53583.333333333336</v>
      </c>
      <c r="P77" s="112">
        <f t="shared" si="31"/>
        <v>53583.333333333336</v>
      </c>
      <c r="Q77" s="112">
        <f t="shared" si="31"/>
        <v>53583.333333333336</v>
      </c>
      <c r="R77" s="112">
        <f t="shared" si="31"/>
        <v>53583.333333333336</v>
      </c>
      <c r="S77" s="112">
        <f t="shared" si="31"/>
        <v>53583.333333333336</v>
      </c>
      <c r="T77" s="112">
        <f t="shared" si="31"/>
        <v>53583.333333333336</v>
      </c>
      <c r="U77" s="112">
        <f t="shared" si="31"/>
        <v>53583.333333333336</v>
      </c>
      <c r="V77" s="112">
        <f t="shared" si="31"/>
        <v>53583.333333333336</v>
      </c>
    </row>
    <row r="78" spans="1:22" ht="12.75">
      <c r="A78" s="5">
        <f t="shared" si="32"/>
        <v>61</v>
      </c>
      <c r="B78" t="s">
        <v>15</v>
      </c>
      <c r="D78" s="95">
        <f>SUM(D66:D77)</f>
        <v>13854</v>
      </c>
      <c r="E78" s="19">
        <f>F78-D78</f>
        <v>478</v>
      </c>
      <c r="F78" s="19">
        <f>SUM(F66:F77)</f>
        <v>14332</v>
      </c>
      <c r="G78" s="19"/>
      <c r="H78" s="19">
        <v>214</v>
      </c>
      <c r="I78" s="19"/>
      <c r="J78" s="3">
        <f t="shared" si="29"/>
        <v>14320.999999999995</v>
      </c>
      <c r="K78" s="27">
        <f aca="true" t="shared" si="33" ref="K78:V78">SUM(K66:K77)</f>
        <v>1193416.6666666665</v>
      </c>
      <c r="L78" s="27">
        <f t="shared" si="33"/>
        <v>1193416.6666666665</v>
      </c>
      <c r="M78" s="27">
        <f t="shared" si="33"/>
        <v>1193416.6666666665</v>
      </c>
      <c r="N78" s="27">
        <f t="shared" si="33"/>
        <v>1193416.6666666665</v>
      </c>
      <c r="O78" s="27">
        <f t="shared" si="33"/>
        <v>1193416.6666666665</v>
      </c>
      <c r="P78" s="27">
        <f t="shared" si="33"/>
        <v>1193416.6666666665</v>
      </c>
      <c r="Q78" s="27">
        <f t="shared" si="33"/>
        <v>1193416.6666666665</v>
      </c>
      <c r="R78" s="27">
        <f t="shared" si="33"/>
        <v>1193416.6666666665</v>
      </c>
      <c r="S78" s="27">
        <f t="shared" si="33"/>
        <v>1193416.6666666665</v>
      </c>
      <c r="T78" s="27">
        <f t="shared" si="33"/>
        <v>1193416.6666666665</v>
      </c>
      <c r="U78" s="27">
        <f t="shared" si="33"/>
        <v>1193416.6666666665</v>
      </c>
      <c r="V78" s="27">
        <f t="shared" si="33"/>
        <v>1193416.6666666665</v>
      </c>
    </row>
    <row r="79" spans="1:10" ht="12.75" customHeight="1">
      <c r="A79" s="5"/>
      <c r="D79" s="19"/>
      <c r="E79" s="19"/>
      <c r="F79" s="19"/>
      <c r="G79" s="19"/>
      <c r="H79" s="42">
        <v>643</v>
      </c>
      <c r="I79" s="19"/>
      <c r="J79" s="3"/>
    </row>
    <row r="80" spans="1:10" ht="12" customHeight="1">
      <c r="A80" s="5"/>
      <c r="B80" s="7" t="s">
        <v>18</v>
      </c>
      <c r="D80" s="19"/>
      <c r="E80" s="19"/>
      <c r="F80" s="19"/>
      <c r="G80" s="19"/>
      <c r="H80" s="19">
        <v>13307.112</v>
      </c>
      <c r="I80" s="19"/>
      <c r="J80" s="3"/>
    </row>
    <row r="81" spans="1:10" ht="12" customHeight="1">
      <c r="A81" s="5">
        <f>A78+1</f>
        <v>62</v>
      </c>
      <c r="B81" t="s">
        <v>117</v>
      </c>
      <c r="D81" s="95">
        <v>651</v>
      </c>
      <c r="E81" s="95">
        <f>F81-D81</f>
        <v>8</v>
      </c>
      <c r="F81" s="95">
        <v>659</v>
      </c>
      <c r="G81" s="95"/>
      <c r="H81" s="95"/>
      <c r="I81" s="19"/>
      <c r="J81" s="3"/>
    </row>
    <row r="82" spans="1:10" ht="12" customHeight="1">
      <c r="A82" s="5"/>
      <c r="D82" s="19"/>
      <c r="E82" s="19"/>
      <c r="F82" s="19"/>
      <c r="G82" s="19"/>
      <c r="H82" s="19"/>
      <c r="I82" s="19"/>
      <c r="J82" s="3"/>
    </row>
    <row r="83" spans="1:10" ht="12" customHeight="1">
      <c r="A83" s="5"/>
      <c r="B83" s="7" t="s">
        <v>58</v>
      </c>
      <c r="D83" s="19"/>
      <c r="E83" s="19"/>
      <c r="F83" s="19"/>
      <c r="G83" s="19"/>
      <c r="H83" s="19">
        <v>6729</v>
      </c>
      <c r="I83" s="19"/>
      <c r="J83" s="3"/>
    </row>
    <row r="84" spans="1:10" ht="12" customHeight="1">
      <c r="A84" s="5">
        <f>A81+1</f>
        <v>63</v>
      </c>
      <c r="B84" t="s">
        <v>51</v>
      </c>
      <c r="D84" s="95">
        <v>155</v>
      </c>
      <c r="E84" s="95">
        <f>F84-D84</f>
        <v>5</v>
      </c>
      <c r="F84" s="95">
        <v>160</v>
      </c>
      <c r="G84" s="95"/>
      <c r="H84" s="95"/>
      <c r="I84" s="19"/>
      <c r="J84" s="3"/>
    </row>
    <row r="85" spans="1:10" ht="12" customHeight="1">
      <c r="A85" s="5"/>
      <c r="D85" s="19"/>
      <c r="E85" s="19"/>
      <c r="F85" s="19"/>
      <c r="G85" s="19"/>
      <c r="H85" s="19"/>
      <c r="I85" s="19"/>
      <c r="J85" s="3"/>
    </row>
    <row r="86" spans="1:10" ht="12" customHeight="1">
      <c r="A86" s="5">
        <f>A84+1</f>
        <v>64</v>
      </c>
      <c r="B86" s="45" t="s">
        <v>19</v>
      </c>
      <c r="C86" s="38"/>
      <c r="D86" s="46">
        <f>D39+D46+D53+D62+D78+D81+D84</f>
        <v>347782</v>
      </c>
      <c r="E86" s="46">
        <f>F86-D86</f>
        <v>-83423.13483690284</v>
      </c>
      <c r="F86" s="47">
        <f>F39+F46+F53+F62+F78+F81+F84</f>
        <v>264358.86516309716</v>
      </c>
      <c r="G86" s="19"/>
      <c r="H86" s="19">
        <v>133</v>
      </c>
      <c r="I86" s="19"/>
      <c r="J86" s="3"/>
    </row>
    <row r="87" spans="1:10" ht="12" customHeight="1">
      <c r="A87" s="5"/>
      <c r="B87" s="2"/>
      <c r="D87" s="19"/>
      <c r="E87" s="19"/>
      <c r="F87" s="19"/>
      <c r="G87" s="19"/>
      <c r="H87" s="42"/>
      <c r="I87" s="19"/>
      <c r="J87" s="3"/>
    </row>
    <row r="88" spans="1:22" ht="12" customHeight="1">
      <c r="A88" s="5"/>
      <c r="B88" s="7" t="s">
        <v>20</v>
      </c>
      <c r="D88" s="19"/>
      <c r="E88" s="19"/>
      <c r="F88" s="19"/>
      <c r="G88" s="19"/>
      <c r="H88" s="46">
        <v>188457.26014905036</v>
      </c>
      <c r="I88" s="19"/>
      <c r="J88" s="3"/>
      <c r="K88" s="51">
        <v>36525</v>
      </c>
      <c r="L88" s="51">
        <v>36556</v>
      </c>
      <c r="M88" s="51">
        <v>36585</v>
      </c>
      <c r="N88" s="51">
        <v>36616</v>
      </c>
      <c r="O88" s="51">
        <v>36646</v>
      </c>
      <c r="P88" s="51">
        <v>36677</v>
      </c>
      <c r="Q88" s="51">
        <v>36707</v>
      </c>
      <c r="R88" s="51">
        <v>36738</v>
      </c>
      <c r="S88" s="51">
        <v>36769</v>
      </c>
      <c r="T88" s="51">
        <v>36799</v>
      </c>
      <c r="U88" s="51">
        <v>36830</v>
      </c>
      <c r="V88" s="51">
        <v>36860</v>
      </c>
    </row>
    <row r="89" spans="1:22" ht="12.75" customHeight="1">
      <c r="A89" s="5">
        <f>A86+1</f>
        <v>65</v>
      </c>
      <c r="B89" t="s">
        <v>228</v>
      </c>
      <c r="D89" s="19">
        <v>0</v>
      </c>
      <c r="E89" s="19">
        <f aca="true" t="shared" si="34" ref="E89:E99">F89-D89</f>
        <v>58360.773264770505</v>
      </c>
      <c r="F89" s="19">
        <f>-'WGJ-4'!C9/1000</f>
        <v>58360.773264770505</v>
      </c>
      <c r="G89" s="19"/>
      <c r="H89" s="19"/>
      <c r="I89" s="18"/>
      <c r="J89" s="3">
        <f>SUM(K89:V89)/1000</f>
        <v>58360.773264770505</v>
      </c>
      <c r="K89" s="27">
        <f>-'WGJ-4'!D9</f>
        <v>1842313.3020019531</v>
      </c>
      <c r="L89" s="27">
        <f>-'WGJ-4'!E9</f>
        <v>3139771.9995117188</v>
      </c>
      <c r="M89" s="27">
        <f>-'WGJ-4'!F9</f>
        <v>4214557.6123046875</v>
      </c>
      <c r="N89" s="27">
        <f>-'WGJ-4'!G9</f>
        <v>7393070.2001953125</v>
      </c>
      <c r="O89" s="27">
        <f>-'WGJ-4'!H9</f>
        <v>11051893.53515625</v>
      </c>
      <c r="P89" s="27">
        <f>-'WGJ-4'!I9</f>
        <v>9213478.972167969</v>
      </c>
      <c r="Q89" s="27">
        <f>-'WGJ-4'!J9</f>
        <v>7480130.95703125</v>
      </c>
      <c r="R89" s="27">
        <f>-'WGJ-4'!K9</f>
        <v>3239976.025390625</v>
      </c>
      <c r="S89" s="27">
        <f>-'WGJ-4'!L9</f>
        <v>2802357.122192383</v>
      </c>
      <c r="T89" s="27">
        <f>-'WGJ-4'!M9</f>
        <v>2256258.1396484375</v>
      </c>
      <c r="U89" s="27">
        <f>-'WGJ-4'!N9</f>
        <v>3433477.8735351562</v>
      </c>
      <c r="V89" s="27">
        <f>-'WGJ-4'!O9</f>
        <v>2293487.5256347656</v>
      </c>
    </row>
    <row r="90" spans="1:22" ht="12.75" customHeight="1">
      <c r="A90" s="5">
        <f aca="true" t="shared" si="35" ref="A90:A95">A89+1</f>
        <v>66</v>
      </c>
      <c r="B90" t="s">
        <v>234</v>
      </c>
      <c r="D90" s="19">
        <v>87895</v>
      </c>
      <c r="E90" s="19">
        <f t="shared" si="34"/>
        <v>-87895</v>
      </c>
      <c r="F90" s="19">
        <v>0</v>
      </c>
      <c r="G90" s="19"/>
      <c r="H90" s="19"/>
      <c r="I90" s="18"/>
      <c r="J90" s="3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</row>
    <row r="91" spans="1:22" ht="12.75">
      <c r="A91" s="5">
        <f t="shared" si="35"/>
        <v>67</v>
      </c>
      <c r="B91" s="6" t="s">
        <v>130</v>
      </c>
      <c r="D91" s="19">
        <v>1800</v>
      </c>
      <c r="E91" s="19">
        <f t="shared" si="34"/>
        <v>0</v>
      </c>
      <c r="F91" s="19">
        <v>1800</v>
      </c>
      <c r="G91" s="19"/>
      <c r="H91" s="19"/>
      <c r="I91" s="19"/>
      <c r="J91" s="3">
        <f aca="true" t="shared" si="36" ref="J91:J100">SUM(K91:V91)/1000</f>
        <v>1800</v>
      </c>
      <c r="K91" s="27">
        <f aca="true" t="shared" si="37" ref="K91:K99">$F91/12*1000</f>
        <v>150000</v>
      </c>
      <c r="L91" s="27">
        <f aca="true" t="shared" si="38" ref="L91:V91">$F91/12*1000</f>
        <v>150000</v>
      </c>
      <c r="M91" s="27">
        <f t="shared" si="38"/>
        <v>150000</v>
      </c>
      <c r="N91" s="27">
        <f t="shared" si="38"/>
        <v>150000</v>
      </c>
      <c r="O91" s="27">
        <f t="shared" si="38"/>
        <v>150000</v>
      </c>
      <c r="P91" s="27">
        <f t="shared" si="38"/>
        <v>150000</v>
      </c>
      <c r="Q91" s="27">
        <f t="shared" si="38"/>
        <v>150000</v>
      </c>
      <c r="R91" s="27">
        <f t="shared" si="38"/>
        <v>150000</v>
      </c>
      <c r="S91" s="27">
        <f t="shared" si="38"/>
        <v>150000</v>
      </c>
      <c r="T91" s="27">
        <f t="shared" si="38"/>
        <v>150000</v>
      </c>
      <c r="U91" s="27">
        <f t="shared" si="38"/>
        <v>150000</v>
      </c>
      <c r="V91" s="27">
        <f t="shared" si="38"/>
        <v>150000</v>
      </c>
    </row>
    <row r="92" spans="1:22" ht="12.75">
      <c r="A92" s="5">
        <f t="shared" si="35"/>
        <v>68</v>
      </c>
      <c r="B92" t="s">
        <v>35</v>
      </c>
      <c r="D92" s="20">
        <v>2900</v>
      </c>
      <c r="E92" s="19">
        <f t="shared" si="34"/>
        <v>996.3385667766192</v>
      </c>
      <c r="F92" s="95">
        <f>Index!C14/1000</f>
        <v>3896.3385667766192</v>
      </c>
      <c r="G92" s="103" t="s">
        <v>148</v>
      </c>
      <c r="H92" s="103">
        <v>1800</v>
      </c>
      <c r="I92" s="99" t="s">
        <v>148</v>
      </c>
      <c r="J92" s="3">
        <f t="shared" si="36"/>
        <v>3896.3385667766192</v>
      </c>
      <c r="K92" s="27">
        <f>Index!D14</f>
        <v>334129.3277810669</v>
      </c>
      <c r="L92" s="27">
        <f>Index!E14</f>
        <v>326307.82249877934</v>
      </c>
      <c r="M92" s="27">
        <f>Index!F14</f>
        <v>340007.2186756897</v>
      </c>
      <c r="N92" s="27">
        <f>Index!G14</f>
        <v>290849.873222351</v>
      </c>
      <c r="O92" s="27">
        <f>Index!H14</f>
        <v>272441.0952271271</v>
      </c>
      <c r="P92" s="27">
        <f>Index!I14</f>
        <v>230598.20372943877</v>
      </c>
      <c r="Q92" s="27">
        <f>Index!J14</f>
        <v>333843.11669792177</v>
      </c>
      <c r="R92" s="27">
        <f>Index!K14</f>
        <v>374959.75853256223</v>
      </c>
      <c r="S92" s="27">
        <f>Index!L14</f>
        <v>343110.7052627564</v>
      </c>
      <c r="T92" s="27">
        <f>Index!M14</f>
        <v>340327.69331817626</v>
      </c>
      <c r="U92" s="27">
        <f>Index!N14</f>
        <v>352031.16192626953</v>
      </c>
      <c r="V92" s="27">
        <f>Index!O14</f>
        <v>357732.58990448</v>
      </c>
    </row>
    <row r="93" spans="1:22" ht="12.75">
      <c r="A93" s="5">
        <f t="shared" si="35"/>
        <v>69</v>
      </c>
      <c r="B93" t="s">
        <v>142</v>
      </c>
      <c r="D93" s="20">
        <v>536</v>
      </c>
      <c r="E93" s="19">
        <f t="shared" si="34"/>
        <v>-475</v>
      </c>
      <c r="F93" s="19">
        <v>61</v>
      </c>
      <c r="G93" s="20"/>
      <c r="H93" s="20">
        <v>-63</v>
      </c>
      <c r="J93" s="3">
        <f t="shared" si="36"/>
        <v>61.00000000000001</v>
      </c>
      <c r="K93" s="27">
        <f t="shared" si="37"/>
        <v>5083.333333333333</v>
      </c>
      <c r="L93" s="27">
        <f aca="true" t="shared" si="39" ref="L93:V99">$F93/12*1000</f>
        <v>5083.333333333333</v>
      </c>
      <c r="M93" s="27">
        <f t="shared" si="39"/>
        <v>5083.333333333333</v>
      </c>
      <c r="N93" s="27">
        <f t="shared" si="39"/>
        <v>5083.333333333333</v>
      </c>
      <c r="O93" s="27">
        <f t="shared" si="39"/>
        <v>5083.333333333333</v>
      </c>
      <c r="P93" s="27">
        <f t="shared" si="39"/>
        <v>5083.333333333333</v>
      </c>
      <c r="Q93" s="27">
        <f t="shared" si="39"/>
        <v>5083.333333333333</v>
      </c>
      <c r="R93" s="27">
        <f t="shared" si="39"/>
        <v>5083.333333333333</v>
      </c>
      <c r="S93" s="27">
        <f t="shared" si="39"/>
        <v>5083.333333333333</v>
      </c>
      <c r="T93" s="27">
        <f t="shared" si="39"/>
        <v>5083.333333333333</v>
      </c>
      <c r="U93" s="27">
        <f t="shared" si="39"/>
        <v>5083.333333333333</v>
      </c>
      <c r="V93" s="27">
        <f t="shared" si="39"/>
        <v>5083.333333333333</v>
      </c>
    </row>
    <row r="94" spans="1:22" ht="12.75">
      <c r="A94" s="5">
        <f t="shared" si="35"/>
        <v>70</v>
      </c>
      <c r="B94" t="s">
        <v>36</v>
      </c>
      <c r="D94" s="20">
        <v>709</v>
      </c>
      <c r="E94" s="19">
        <f t="shared" si="34"/>
        <v>-319</v>
      </c>
      <c r="F94" s="19">
        <v>390</v>
      </c>
      <c r="G94" s="83"/>
      <c r="H94" s="83">
        <v>272</v>
      </c>
      <c r="J94" s="3">
        <f t="shared" si="36"/>
        <v>390</v>
      </c>
      <c r="K94" s="27">
        <f t="shared" si="37"/>
        <v>32500</v>
      </c>
      <c r="L94" s="27">
        <f t="shared" si="39"/>
        <v>32500</v>
      </c>
      <c r="M94" s="27">
        <f t="shared" si="39"/>
        <v>32500</v>
      </c>
      <c r="N94" s="27">
        <f t="shared" si="39"/>
        <v>32500</v>
      </c>
      <c r="O94" s="27">
        <f t="shared" si="39"/>
        <v>32500</v>
      </c>
      <c r="P94" s="27">
        <f t="shared" si="39"/>
        <v>32500</v>
      </c>
      <c r="Q94" s="27">
        <f t="shared" si="39"/>
        <v>32500</v>
      </c>
      <c r="R94" s="27">
        <f t="shared" si="39"/>
        <v>32500</v>
      </c>
      <c r="S94" s="27">
        <f t="shared" si="39"/>
        <v>32500</v>
      </c>
      <c r="T94" s="27">
        <f t="shared" si="39"/>
        <v>32500</v>
      </c>
      <c r="U94" s="27">
        <f t="shared" si="39"/>
        <v>32500</v>
      </c>
      <c r="V94" s="27">
        <f t="shared" si="39"/>
        <v>32500</v>
      </c>
    </row>
    <row r="95" spans="1:22" ht="12.75">
      <c r="A95" s="5">
        <f t="shared" si="35"/>
        <v>71</v>
      </c>
      <c r="B95" t="s">
        <v>143</v>
      </c>
      <c r="D95" s="20">
        <v>3138</v>
      </c>
      <c r="E95" s="19">
        <f t="shared" si="34"/>
        <v>-324</v>
      </c>
      <c r="F95" s="95">
        <v>2814</v>
      </c>
      <c r="G95" s="20"/>
      <c r="H95" s="20">
        <v>69</v>
      </c>
      <c r="J95" s="3">
        <f t="shared" si="36"/>
        <v>2814</v>
      </c>
      <c r="K95" s="27">
        <f t="shared" si="37"/>
        <v>234500</v>
      </c>
      <c r="L95" s="27">
        <f t="shared" si="39"/>
        <v>234500</v>
      </c>
      <c r="M95" s="27">
        <f t="shared" si="39"/>
        <v>234500</v>
      </c>
      <c r="N95" s="27">
        <f t="shared" si="39"/>
        <v>234500</v>
      </c>
      <c r="O95" s="27">
        <f t="shared" si="39"/>
        <v>234500</v>
      </c>
      <c r="P95" s="27">
        <f t="shared" si="39"/>
        <v>234500</v>
      </c>
      <c r="Q95" s="27">
        <f t="shared" si="39"/>
        <v>234500</v>
      </c>
      <c r="R95" s="27">
        <f t="shared" si="39"/>
        <v>234500</v>
      </c>
      <c r="S95" s="27">
        <f t="shared" si="39"/>
        <v>234500</v>
      </c>
      <c r="T95" s="27">
        <f t="shared" si="39"/>
        <v>234500</v>
      </c>
      <c r="U95" s="27">
        <f t="shared" si="39"/>
        <v>234500</v>
      </c>
      <c r="V95" s="27">
        <f t="shared" si="39"/>
        <v>234500</v>
      </c>
    </row>
    <row r="96" spans="1:22" ht="12.75">
      <c r="A96" s="5">
        <f>A95+1</f>
        <v>72</v>
      </c>
      <c r="B96" t="s">
        <v>188</v>
      </c>
      <c r="D96" s="20">
        <v>39393</v>
      </c>
      <c r="E96" s="19">
        <f t="shared" si="34"/>
        <v>-33816</v>
      </c>
      <c r="F96" s="19">
        <v>5577</v>
      </c>
      <c r="G96" s="20"/>
      <c r="H96" s="20"/>
      <c r="J96" s="3">
        <f t="shared" si="36"/>
        <v>5577</v>
      </c>
      <c r="K96" s="27">
        <f t="shared" si="37"/>
        <v>464750</v>
      </c>
      <c r="L96" s="27">
        <f t="shared" si="39"/>
        <v>464750</v>
      </c>
      <c r="M96" s="27">
        <f t="shared" si="39"/>
        <v>464750</v>
      </c>
      <c r="N96" s="27">
        <f t="shared" si="39"/>
        <v>464750</v>
      </c>
      <c r="O96" s="27">
        <f t="shared" si="39"/>
        <v>464750</v>
      </c>
      <c r="P96" s="27">
        <f t="shared" si="39"/>
        <v>464750</v>
      </c>
      <c r="Q96" s="27">
        <f t="shared" si="39"/>
        <v>464750</v>
      </c>
      <c r="R96" s="27">
        <f t="shared" si="39"/>
        <v>464750</v>
      </c>
      <c r="S96" s="27">
        <f t="shared" si="39"/>
        <v>464750</v>
      </c>
      <c r="T96" s="27">
        <f t="shared" si="39"/>
        <v>464750</v>
      </c>
      <c r="U96" s="27">
        <f t="shared" si="39"/>
        <v>464750</v>
      </c>
      <c r="V96" s="27">
        <f t="shared" si="39"/>
        <v>464750</v>
      </c>
    </row>
    <row r="97" spans="1:22" ht="12.75">
      <c r="A97" s="5">
        <f>A96+1</f>
        <v>73</v>
      </c>
      <c r="B97" t="s">
        <v>189</v>
      </c>
      <c r="D97" s="20">
        <v>662</v>
      </c>
      <c r="E97" s="19">
        <f t="shared" si="34"/>
        <v>-662</v>
      </c>
      <c r="F97" s="19">
        <v>0</v>
      </c>
      <c r="G97" s="20"/>
      <c r="H97" s="20"/>
      <c r="J97" s="3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</row>
    <row r="98" spans="1:22" ht="12.75">
      <c r="A98" s="5">
        <f>A97+1</f>
        <v>74</v>
      </c>
      <c r="B98" t="s">
        <v>129</v>
      </c>
      <c r="D98" s="20">
        <v>-57</v>
      </c>
      <c r="E98" s="19">
        <f t="shared" si="34"/>
        <v>0</v>
      </c>
      <c r="F98" s="19">
        <v>-57</v>
      </c>
      <c r="G98" s="20"/>
      <c r="H98" s="20"/>
      <c r="J98" s="3">
        <f t="shared" si="36"/>
        <v>-57</v>
      </c>
      <c r="K98" s="27">
        <f t="shared" si="37"/>
        <v>-4750</v>
      </c>
      <c r="L98" s="27">
        <f t="shared" si="39"/>
        <v>-4750</v>
      </c>
      <c r="M98" s="27">
        <f t="shared" si="39"/>
        <v>-4750</v>
      </c>
      <c r="N98" s="27">
        <f t="shared" si="39"/>
        <v>-4750</v>
      </c>
      <c r="O98" s="27">
        <f t="shared" si="39"/>
        <v>-4750</v>
      </c>
      <c r="P98" s="27">
        <f t="shared" si="39"/>
        <v>-4750</v>
      </c>
      <c r="Q98" s="27">
        <f t="shared" si="39"/>
        <v>-4750</v>
      </c>
      <c r="R98" s="27">
        <f t="shared" si="39"/>
        <v>-4750</v>
      </c>
      <c r="S98" s="27">
        <f t="shared" si="39"/>
        <v>-4750</v>
      </c>
      <c r="T98" s="27">
        <f t="shared" si="39"/>
        <v>-4750</v>
      </c>
      <c r="U98" s="27">
        <f t="shared" si="39"/>
        <v>-4750</v>
      </c>
      <c r="V98" s="27">
        <f t="shared" si="39"/>
        <v>-4750</v>
      </c>
    </row>
    <row r="99" spans="1:22" ht="12.75">
      <c r="A99" s="5">
        <f>A98+1</f>
        <v>75</v>
      </c>
      <c r="B99" s="17" t="s">
        <v>184</v>
      </c>
      <c r="C99" s="17"/>
      <c r="D99" s="42">
        <v>1634</v>
      </c>
      <c r="E99" s="42">
        <f t="shared" si="34"/>
        <v>-1634</v>
      </c>
      <c r="F99" s="42">
        <v>0</v>
      </c>
      <c r="G99" s="20" t="s">
        <v>160</v>
      </c>
      <c r="H99" s="20">
        <v>324</v>
      </c>
      <c r="J99" s="3">
        <f t="shared" si="36"/>
        <v>0</v>
      </c>
      <c r="K99" s="27">
        <f t="shared" si="37"/>
        <v>0</v>
      </c>
      <c r="L99" s="27">
        <f t="shared" si="39"/>
        <v>0</v>
      </c>
      <c r="M99" s="27">
        <f t="shared" si="39"/>
        <v>0</v>
      </c>
      <c r="N99" s="27">
        <f t="shared" si="39"/>
        <v>0</v>
      </c>
      <c r="O99" s="27">
        <f t="shared" si="39"/>
        <v>0</v>
      </c>
      <c r="P99" s="27">
        <f t="shared" si="39"/>
        <v>0</v>
      </c>
      <c r="Q99" s="27">
        <f t="shared" si="39"/>
        <v>0</v>
      </c>
      <c r="R99" s="27">
        <f t="shared" si="39"/>
        <v>0</v>
      </c>
      <c r="S99" s="27">
        <f t="shared" si="39"/>
        <v>0</v>
      </c>
      <c r="T99" s="27">
        <f t="shared" si="39"/>
        <v>0</v>
      </c>
      <c r="U99" s="27">
        <f t="shared" si="39"/>
        <v>0</v>
      </c>
      <c r="V99" s="27">
        <f t="shared" si="39"/>
        <v>0</v>
      </c>
    </row>
    <row r="100" spans="1:22" ht="12.75">
      <c r="A100" s="5">
        <f>A99+1</f>
        <v>76</v>
      </c>
      <c r="B100" t="s">
        <v>21</v>
      </c>
      <c r="D100" s="19">
        <f>SUM(D89:D99)</f>
        <v>138610</v>
      </c>
      <c r="E100" s="19">
        <f>F100-D100</f>
        <v>-65767.88816845288</v>
      </c>
      <c r="F100" s="19">
        <f>SUM(F89:F99)</f>
        <v>72842.11183154712</v>
      </c>
      <c r="G100" s="19"/>
      <c r="H100" s="42">
        <v>0</v>
      </c>
      <c r="I100" s="19"/>
      <c r="J100" s="3">
        <f t="shared" si="36"/>
        <v>72842.11183154714</v>
      </c>
      <c r="K100" s="27">
        <f aca="true" t="shared" si="40" ref="K100:V100">SUM(K89:K99)</f>
        <v>3058525.9631163534</v>
      </c>
      <c r="L100" s="27">
        <f t="shared" si="40"/>
        <v>4348163.1553438315</v>
      </c>
      <c r="M100" s="27">
        <f t="shared" si="40"/>
        <v>5436648.16431371</v>
      </c>
      <c r="N100" s="27">
        <f t="shared" si="40"/>
        <v>8566003.406750996</v>
      </c>
      <c r="O100" s="27">
        <f t="shared" si="40"/>
        <v>12206417.963716712</v>
      </c>
      <c r="P100" s="27">
        <f t="shared" si="40"/>
        <v>10326160.509230742</v>
      </c>
      <c r="Q100" s="27">
        <f t="shared" si="40"/>
        <v>8696057.407062504</v>
      </c>
      <c r="R100" s="27">
        <f t="shared" si="40"/>
        <v>4497019.11725652</v>
      </c>
      <c r="S100" s="27">
        <f t="shared" si="40"/>
        <v>4027551.1607884727</v>
      </c>
      <c r="T100" s="27">
        <f t="shared" si="40"/>
        <v>3478669.166299947</v>
      </c>
      <c r="U100" s="27">
        <f t="shared" si="40"/>
        <v>4667592.36879476</v>
      </c>
      <c r="V100" s="27">
        <f t="shared" si="40"/>
        <v>3533303.4488725793</v>
      </c>
    </row>
    <row r="101" spans="1:22" ht="12.75">
      <c r="A101" s="5"/>
      <c r="D101" s="19"/>
      <c r="E101" s="19"/>
      <c r="F101" s="19"/>
      <c r="G101" s="19"/>
      <c r="H101" s="19">
        <v>62060.890920372694</v>
      </c>
      <c r="I101" s="19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10" ht="12.75">
      <c r="A102" s="5"/>
      <c r="B102" s="7" t="s">
        <v>22</v>
      </c>
      <c r="D102" s="19"/>
      <c r="E102" s="19" t="s">
        <v>12</v>
      </c>
      <c r="F102" s="19"/>
      <c r="G102" s="19"/>
      <c r="H102" s="19"/>
      <c r="I102" s="19"/>
      <c r="J102" s="3"/>
    </row>
    <row r="103" spans="1:10" ht="12.75">
      <c r="A103" s="5">
        <f>A100+1</f>
        <v>77</v>
      </c>
      <c r="B103" t="s">
        <v>186</v>
      </c>
      <c r="D103" s="95">
        <v>11</v>
      </c>
      <c r="E103" s="95">
        <f>F103-D103</f>
        <v>-11</v>
      </c>
      <c r="F103" s="95">
        <v>0</v>
      </c>
      <c r="G103" s="95"/>
      <c r="H103" s="95"/>
      <c r="I103" s="19"/>
      <c r="J103" s="3"/>
    </row>
    <row r="104" spans="1:10" ht="12.75">
      <c r="A104" s="5">
        <f>A103+1</f>
        <v>78</v>
      </c>
      <c r="B104" s="17" t="s">
        <v>109</v>
      </c>
      <c r="C104" s="17"/>
      <c r="D104" s="19">
        <v>13031</v>
      </c>
      <c r="E104" s="42">
        <f>F104-D104</f>
        <v>-13031</v>
      </c>
      <c r="F104" s="19">
        <v>0</v>
      </c>
      <c r="G104" s="19"/>
      <c r="H104" s="19">
        <v>48</v>
      </c>
      <c r="I104" s="19"/>
      <c r="J104" s="3"/>
    </row>
    <row r="105" spans="1:10" ht="12.75">
      <c r="A105" s="5">
        <f>A104+1</f>
        <v>79</v>
      </c>
      <c r="B105" t="s">
        <v>23</v>
      </c>
      <c r="D105" s="114">
        <f>SUM(D103:D104)</f>
        <v>13042</v>
      </c>
      <c r="E105" s="19">
        <f>F105-D105</f>
        <v>-13042</v>
      </c>
      <c r="F105" s="21">
        <f>SUM(F103:F104)</f>
        <v>0</v>
      </c>
      <c r="G105" s="19"/>
      <c r="H105" s="19">
        <v>0</v>
      </c>
      <c r="I105" s="19"/>
      <c r="J105" s="3"/>
    </row>
    <row r="106" spans="1:10" ht="7.5" customHeight="1">
      <c r="A106" s="5" t="s">
        <v>12</v>
      </c>
      <c r="D106" s="19"/>
      <c r="E106" s="19"/>
      <c r="F106" s="19"/>
      <c r="G106" s="19"/>
      <c r="H106" s="42">
        <v>0</v>
      </c>
      <c r="I106" s="19"/>
      <c r="J106" s="3"/>
    </row>
    <row r="107" spans="1:10" ht="12.75">
      <c r="A107" s="5"/>
      <c r="B107" s="48" t="s">
        <v>32</v>
      </c>
      <c r="D107" s="19"/>
      <c r="E107" s="19"/>
      <c r="F107" s="19" t="s">
        <v>12</v>
      </c>
      <c r="G107" s="19"/>
      <c r="H107" s="19">
        <v>48</v>
      </c>
      <c r="I107" s="19"/>
      <c r="J107" s="3"/>
    </row>
    <row r="108" spans="1:10" ht="12.75">
      <c r="A108" s="5">
        <f>A105+1</f>
        <v>80</v>
      </c>
      <c r="B108" t="s">
        <v>29</v>
      </c>
      <c r="D108" s="95">
        <v>309</v>
      </c>
      <c r="E108" s="95">
        <f>F108-D108</f>
        <v>-19</v>
      </c>
      <c r="F108" s="95">
        <v>290</v>
      </c>
      <c r="G108" s="95"/>
      <c r="H108" s="95"/>
      <c r="I108" s="19"/>
      <c r="J108" s="3"/>
    </row>
    <row r="109" spans="1:10" ht="6.75" customHeight="1">
      <c r="A109" s="5"/>
      <c r="D109" s="95"/>
      <c r="E109" s="19"/>
      <c r="F109" s="95"/>
      <c r="G109" s="19"/>
      <c r="H109" s="19" t="s">
        <v>12</v>
      </c>
      <c r="I109" s="19"/>
      <c r="J109" s="3"/>
    </row>
    <row r="110" spans="1:10" ht="12.75">
      <c r="A110" s="5"/>
      <c r="B110" s="48" t="s">
        <v>60</v>
      </c>
      <c r="D110" s="95"/>
      <c r="E110" s="19"/>
      <c r="F110" s="95"/>
      <c r="G110" s="19"/>
      <c r="H110" s="19">
        <v>365</v>
      </c>
      <c r="I110" s="19"/>
      <c r="J110" s="3"/>
    </row>
    <row r="111" spans="1:10" ht="12.75">
      <c r="A111" s="5">
        <f>A108+1</f>
        <v>81</v>
      </c>
      <c r="B111" t="s">
        <v>61</v>
      </c>
      <c r="D111" s="95">
        <v>21</v>
      </c>
      <c r="E111" s="95">
        <f>F111-D111</f>
        <v>2</v>
      </c>
      <c r="F111" s="95">
        <v>23</v>
      </c>
      <c r="G111" s="95"/>
      <c r="H111" s="95"/>
      <c r="I111" s="19"/>
      <c r="J111" s="3"/>
    </row>
    <row r="112" spans="1:10" ht="6" customHeight="1">
      <c r="A112" s="5"/>
      <c r="D112" s="19"/>
      <c r="E112" s="19"/>
      <c r="F112" s="19"/>
      <c r="G112" s="19"/>
      <c r="H112" s="19"/>
      <c r="I112" s="19"/>
      <c r="J112" s="3"/>
    </row>
    <row r="113" spans="1:10" ht="12.75">
      <c r="A113" s="5">
        <f>A111+1</f>
        <v>82</v>
      </c>
      <c r="B113" s="45" t="s">
        <v>24</v>
      </c>
      <c r="C113" s="38"/>
      <c r="D113" s="46">
        <f>D100+D105+D108+D111</f>
        <v>151982</v>
      </c>
      <c r="E113" s="46">
        <f>F113-D113</f>
        <v>-78826.88816845288</v>
      </c>
      <c r="F113" s="47">
        <f>F100+F105+F108+F111</f>
        <v>73155.11183154712</v>
      </c>
      <c r="G113" s="19"/>
      <c r="H113" s="19">
        <v>24</v>
      </c>
      <c r="I113" s="19"/>
      <c r="J113" s="3"/>
    </row>
    <row r="114" spans="1:10" ht="7.5" customHeight="1">
      <c r="A114" s="5"/>
      <c r="D114" s="19"/>
      <c r="E114" s="19"/>
      <c r="F114" s="19"/>
      <c r="G114" s="19"/>
      <c r="H114" s="19"/>
      <c r="I114" s="19"/>
      <c r="J114" s="3"/>
    </row>
    <row r="115" spans="1:10" ht="12.75">
      <c r="A115" s="5">
        <f>A113+1</f>
        <v>83</v>
      </c>
      <c r="B115" s="45" t="s">
        <v>187</v>
      </c>
      <c r="C115" s="38"/>
      <c r="D115" s="46">
        <f>D86-D113</f>
        <v>195800</v>
      </c>
      <c r="E115" s="46">
        <f>F115-D115</f>
        <v>-4596.246668449952</v>
      </c>
      <c r="F115" s="47">
        <f>F86-F113</f>
        <v>191203.75333155005</v>
      </c>
      <c r="G115" s="19"/>
      <c r="H115" s="46">
        <v>62497.890920372694</v>
      </c>
      <c r="I115" s="19"/>
      <c r="J115" s="3"/>
    </row>
    <row r="116" spans="1:10" ht="3.75" customHeight="1">
      <c r="A116" s="5"/>
      <c r="D116" s="19"/>
      <c r="E116" s="19"/>
      <c r="F116" s="19"/>
      <c r="G116" s="19"/>
      <c r="H116" s="19"/>
      <c r="I116" s="19"/>
      <c r="J116" s="3"/>
    </row>
    <row r="117" spans="1:10" ht="12.75" customHeight="1">
      <c r="A117" s="5">
        <f>A115+1</f>
        <v>84</v>
      </c>
      <c r="B117" s="2" t="s">
        <v>193</v>
      </c>
      <c r="D117" s="19"/>
      <c r="E117" s="3">
        <f>-E35</f>
        <v>19861</v>
      </c>
      <c r="F117" s="19"/>
      <c r="G117" s="19"/>
      <c r="H117" s="19"/>
      <c r="I117" s="19"/>
      <c r="J117" s="3"/>
    </row>
    <row r="118" spans="1:10" ht="12.75" hidden="1">
      <c r="A118" s="5"/>
      <c r="B118" s="118"/>
      <c r="D118" s="19"/>
      <c r="E118" s="19"/>
      <c r="F118" s="19"/>
      <c r="G118" s="19"/>
      <c r="H118" s="19"/>
      <c r="I118" s="19"/>
      <c r="J118" s="3"/>
    </row>
    <row r="119" spans="1:10" ht="12.75" hidden="1">
      <c r="A119" s="5">
        <f>A117+1</f>
        <v>85</v>
      </c>
      <c r="B119" s="2"/>
      <c r="D119" s="23"/>
      <c r="E119" s="23"/>
      <c r="F119" s="23"/>
      <c r="G119" s="23"/>
      <c r="H119" s="23"/>
      <c r="I119" s="19"/>
      <c r="J119" s="3"/>
    </row>
    <row r="120" spans="1:10" ht="12.75" customHeight="1" hidden="1">
      <c r="A120" s="5">
        <f>A119+1</f>
        <v>86</v>
      </c>
      <c r="B120" s="2"/>
      <c r="D120" s="23"/>
      <c r="E120" s="23"/>
      <c r="F120" s="23"/>
      <c r="G120" s="23"/>
      <c r="H120" s="23"/>
      <c r="I120" s="19"/>
      <c r="J120" s="3"/>
    </row>
    <row r="121" spans="2:10" ht="6.75" customHeight="1">
      <c r="B121" s="2"/>
      <c r="F121"/>
      <c r="G121" s="9"/>
      <c r="H121" s="104">
        <f>H88-H115</f>
        <v>125959.36922867766</v>
      </c>
      <c r="I121" s="76" t="s">
        <v>133</v>
      </c>
      <c r="J121" s="3"/>
    </row>
    <row r="122" spans="1:10" ht="12.75" customHeight="1">
      <c r="A122" s="5">
        <f>A117+1</f>
        <v>85</v>
      </c>
      <c r="B122" s="2" t="s">
        <v>192</v>
      </c>
      <c r="E122" s="3">
        <f>E115+E117</f>
        <v>15264.753331550048</v>
      </c>
      <c r="J122" s="3"/>
    </row>
    <row r="123" ht="12.75">
      <c r="J123" s="3"/>
    </row>
    <row r="124" spans="2:22" ht="12.75">
      <c r="B124" t="s">
        <v>158</v>
      </c>
      <c r="J124" s="3">
        <f>SUM(K124:V124)</f>
        <v>175962863.24958873</v>
      </c>
      <c r="K124" s="27">
        <f aca="true" t="shared" si="41" ref="K124:V124">K39+K53+K62-K100</f>
        <v>23560444.528153956</v>
      </c>
      <c r="L124" s="27">
        <f t="shared" si="41"/>
        <v>17162394.304123007</v>
      </c>
      <c r="M124" s="27">
        <f t="shared" si="41"/>
        <v>15263486.009296402</v>
      </c>
      <c r="N124" s="27">
        <f t="shared" si="41"/>
        <v>6453200.241104953</v>
      </c>
      <c r="O124" s="27">
        <f t="shared" si="41"/>
        <v>-1704256.9023647457</v>
      </c>
      <c r="P124" s="27">
        <f t="shared" si="41"/>
        <v>422256.8294147495</v>
      </c>
      <c r="Q124" s="27">
        <f t="shared" si="41"/>
        <v>9794559.567962933</v>
      </c>
      <c r="R124" s="27">
        <f t="shared" si="41"/>
        <v>19463686.77041076</v>
      </c>
      <c r="S124" s="27">
        <f t="shared" si="41"/>
        <v>18972402.019933052</v>
      </c>
      <c r="T124" s="27">
        <f t="shared" si="41"/>
        <v>21139236.126940962</v>
      </c>
      <c r="U124" s="27">
        <f t="shared" si="41"/>
        <v>22176445.084770948</v>
      </c>
      <c r="V124" s="27">
        <f t="shared" si="41"/>
        <v>23259008.66984172</v>
      </c>
    </row>
    <row r="125" ht="12.75">
      <c r="J125" s="3"/>
    </row>
    <row r="126" ht="12.75">
      <c r="J126" s="3"/>
    </row>
    <row r="127" ht="12.75">
      <c r="J127" s="3"/>
    </row>
    <row r="128" ht="12.75">
      <c r="J128" s="3"/>
    </row>
    <row r="129" ht="12.75">
      <c r="J129" s="3"/>
    </row>
    <row r="130" ht="12.75">
      <c r="J130" s="3"/>
    </row>
    <row r="131" ht="12.75">
      <c r="J131" s="3"/>
    </row>
    <row r="132" ht="12.75">
      <c r="J132" s="3"/>
    </row>
    <row r="133" ht="12.75">
      <c r="J133" s="3"/>
    </row>
    <row r="134" ht="12.75">
      <c r="J134" s="3"/>
    </row>
    <row r="135" ht="12.75">
      <c r="J135" s="3"/>
    </row>
    <row r="136" ht="12.75">
      <c r="J136" s="3"/>
    </row>
    <row r="137" ht="12.75">
      <c r="J137" s="3"/>
    </row>
    <row r="138" ht="12.75">
      <c r="J138" s="3"/>
    </row>
    <row r="139" ht="12.75">
      <c r="J139" s="3"/>
    </row>
    <row r="140" ht="12.75">
      <c r="J140" s="3"/>
    </row>
    <row r="141" ht="12.75">
      <c r="J141" s="3"/>
    </row>
    <row r="142" ht="12.75">
      <c r="J142" s="3"/>
    </row>
    <row r="143" ht="12.75">
      <c r="J143" s="3"/>
    </row>
    <row r="144" ht="12.75">
      <c r="J144" s="3"/>
    </row>
    <row r="145" ht="12.75">
      <c r="J145" s="3"/>
    </row>
    <row r="146" ht="12.75">
      <c r="J146" s="3"/>
    </row>
    <row r="147" ht="12.75">
      <c r="J147" s="3"/>
    </row>
    <row r="148" ht="12.75">
      <c r="J148" s="3"/>
    </row>
    <row r="149" ht="12.75">
      <c r="J149" s="3"/>
    </row>
    <row r="150" ht="12.75">
      <c r="J150" s="3"/>
    </row>
    <row r="151" ht="12.75">
      <c r="J151" s="3"/>
    </row>
    <row r="152" ht="12.75">
      <c r="J152" s="3"/>
    </row>
    <row r="153" ht="12.75">
      <c r="J153" s="3"/>
    </row>
    <row r="154" ht="12.75">
      <c r="J154" s="3"/>
    </row>
    <row r="155" ht="12.75">
      <c r="J155" s="3"/>
    </row>
    <row r="156" ht="12.75">
      <c r="J156" s="3"/>
    </row>
    <row r="157" ht="12.75">
      <c r="J157" s="3"/>
    </row>
    <row r="158" ht="12.75">
      <c r="J158" s="3"/>
    </row>
    <row r="159" ht="12.75">
      <c r="J159" s="3"/>
    </row>
    <row r="160" ht="12.75">
      <c r="J160" s="3"/>
    </row>
    <row r="161" ht="12.75">
      <c r="J161" s="3"/>
    </row>
    <row r="162" ht="12.75">
      <c r="J162" s="3"/>
    </row>
    <row r="163" ht="12.75">
      <c r="J163" s="3"/>
    </row>
    <row r="164" ht="12.75">
      <c r="J164" s="3"/>
    </row>
    <row r="165" ht="12.75">
      <c r="J165" s="3"/>
    </row>
    <row r="166" ht="12.75">
      <c r="J166" s="3"/>
    </row>
    <row r="167" ht="12.75">
      <c r="J167" s="3"/>
    </row>
    <row r="168" ht="12.75">
      <c r="J168" s="3"/>
    </row>
    <row r="169" ht="12.75">
      <c r="J169" s="3"/>
    </row>
    <row r="170" ht="12.75">
      <c r="J170" s="3"/>
    </row>
    <row r="171" ht="12.75">
      <c r="J171" s="3"/>
    </row>
    <row r="172" ht="12.75">
      <c r="J172" s="3"/>
    </row>
    <row r="173" ht="12.75">
      <c r="J173" s="3"/>
    </row>
    <row r="174" ht="12.75">
      <c r="J174" s="3"/>
    </row>
    <row r="175" ht="12.75">
      <c r="J175" s="3"/>
    </row>
    <row r="176" ht="12.75">
      <c r="J176" s="3"/>
    </row>
    <row r="177" ht="12.75">
      <c r="J177" s="3"/>
    </row>
    <row r="178" ht="12.75">
      <c r="J178" s="3"/>
    </row>
    <row r="179" ht="12.75">
      <c r="J179" s="3"/>
    </row>
    <row r="180" ht="12.75">
      <c r="J180" s="3"/>
    </row>
    <row r="181" ht="12.75">
      <c r="J181" s="3"/>
    </row>
    <row r="182" ht="12.75">
      <c r="J182" s="3"/>
    </row>
    <row r="183" ht="12.75">
      <c r="J183" s="3"/>
    </row>
    <row r="184" ht="12.75">
      <c r="J184" s="3"/>
    </row>
    <row r="185" ht="12.75">
      <c r="J185" s="3"/>
    </row>
    <row r="186" ht="12.75">
      <c r="J186" s="3"/>
    </row>
    <row r="187" ht="12.75">
      <c r="J187" s="3"/>
    </row>
    <row r="188" ht="12.75">
      <c r="J188" s="3"/>
    </row>
    <row r="189" ht="12.75">
      <c r="J189" s="3"/>
    </row>
    <row r="190" ht="12.75">
      <c r="J190" s="3"/>
    </row>
    <row r="191" ht="12.75">
      <c r="J191" s="3"/>
    </row>
    <row r="192" ht="12.75">
      <c r="J192" s="3"/>
    </row>
    <row r="193" ht="12.75">
      <c r="J193" s="3"/>
    </row>
    <row r="194" ht="12.75">
      <c r="J194" s="3"/>
    </row>
    <row r="195" ht="12.75">
      <c r="J195" s="3"/>
    </row>
    <row r="196" ht="12.75">
      <c r="J196" s="3"/>
    </row>
    <row r="197" ht="12.75">
      <c r="J197" s="3"/>
    </row>
    <row r="198" ht="12.75">
      <c r="J198" s="3"/>
    </row>
    <row r="199" ht="12.75">
      <c r="J199" s="3"/>
    </row>
    <row r="200" ht="12.75">
      <c r="J200" s="3"/>
    </row>
    <row r="201" ht="12.75">
      <c r="J201" s="3"/>
    </row>
    <row r="202" ht="12.75">
      <c r="J202" s="3"/>
    </row>
    <row r="203" ht="12.75">
      <c r="J203" s="3"/>
    </row>
    <row r="204" ht="12.75">
      <c r="J204" s="3"/>
    </row>
    <row r="205" ht="12.75">
      <c r="J205" s="3"/>
    </row>
    <row r="206" ht="12.75">
      <c r="J206" s="3"/>
    </row>
    <row r="207" ht="12.75">
      <c r="J207" s="3"/>
    </row>
    <row r="208" ht="12.75">
      <c r="J208" s="3"/>
    </row>
    <row r="209" ht="12.75">
      <c r="J209" s="3"/>
    </row>
    <row r="210" ht="12.75">
      <c r="J210" s="3"/>
    </row>
    <row r="211" ht="12.75">
      <c r="J211" s="3"/>
    </row>
    <row r="212" ht="12.75">
      <c r="J212" s="3"/>
    </row>
    <row r="213" ht="12.75">
      <c r="J213" s="3"/>
    </row>
    <row r="214" ht="12.75">
      <c r="J214" s="3"/>
    </row>
    <row r="215" ht="12.75">
      <c r="J215" s="3"/>
    </row>
    <row r="216" ht="12.75">
      <c r="J216" s="3"/>
    </row>
    <row r="217" ht="12.75">
      <c r="J217" s="3"/>
    </row>
    <row r="218" ht="12.75">
      <c r="J218" s="3"/>
    </row>
    <row r="219" ht="12.75">
      <c r="J219" s="3"/>
    </row>
    <row r="220" ht="12.75">
      <c r="J220" s="3"/>
    </row>
    <row r="221" ht="12.75">
      <c r="J221" s="3"/>
    </row>
    <row r="222" ht="12.75">
      <c r="J222" s="3"/>
    </row>
    <row r="223" ht="12.75">
      <c r="J223" s="3"/>
    </row>
    <row r="224" ht="12.75">
      <c r="J224" s="3"/>
    </row>
    <row r="225" ht="12.75">
      <c r="J225" s="3"/>
    </row>
    <row r="226" ht="12.75">
      <c r="J226" s="3"/>
    </row>
    <row r="227" ht="12.75">
      <c r="J227" s="3"/>
    </row>
    <row r="228" ht="12.75">
      <c r="J228" s="3"/>
    </row>
    <row r="229" ht="12.75">
      <c r="J229" s="3"/>
    </row>
    <row r="230" ht="12.75">
      <c r="J230" s="3"/>
    </row>
    <row r="231" ht="12.75">
      <c r="J231" s="3"/>
    </row>
    <row r="232" ht="12.75">
      <c r="J232" s="3"/>
    </row>
    <row r="233" ht="12.75">
      <c r="J233" s="3"/>
    </row>
    <row r="234" ht="12.75">
      <c r="J234" s="3"/>
    </row>
    <row r="235" ht="12.75">
      <c r="J235" s="3"/>
    </row>
    <row r="236" ht="12.75">
      <c r="J236" s="3"/>
    </row>
    <row r="237" ht="12.75">
      <c r="J237" s="3"/>
    </row>
    <row r="238" ht="12.75">
      <c r="J238" s="3"/>
    </row>
    <row r="239" ht="12.75">
      <c r="J239" s="3"/>
    </row>
    <row r="240" ht="12.75">
      <c r="J240" s="3"/>
    </row>
    <row r="241" ht="12.75">
      <c r="J241" s="3"/>
    </row>
    <row r="242" ht="12.75">
      <c r="J242" s="3"/>
    </row>
    <row r="243" ht="12.75">
      <c r="J243" s="3"/>
    </row>
    <row r="244" ht="12.75">
      <c r="J244" s="3"/>
    </row>
    <row r="245" ht="12.75">
      <c r="J245" s="3"/>
    </row>
    <row r="246" ht="12.75">
      <c r="J246" s="3"/>
    </row>
    <row r="247" ht="12.75">
      <c r="J247" s="3"/>
    </row>
    <row r="248" ht="12.75">
      <c r="J248" s="3"/>
    </row>
    <row r="249" ht="12.75">
      <c r="J249" s="3"/>
    </row>
    <row r="250" ht="12.75">
      <c r="J250" s="3"/>
    </row>
    <row r="251" ht="12.75">
      <c r="J251" s="3"/>
    </row>
    <row r="252" ht="12.75">
      <c r="J252" s="3"/>
    </row>
    <row r="253" ht="12.75">
      <c r="J253" s="3"/>
    </row>
    <row r="254" ht="12.75">
      <c r="J254" s="3"/>
    </row>
    <row r="255" ht="12.75">
      <c r="J255" s="3"/>
    </row>
    <row r="256" ht="12.75">
      <c r="J256" s="3"/>
    </row>
    <row r="257" ht="12.75">
      <c r="J257" s="3"/>
    </row>
    <row r="258" ht="12.75">
      <c r="J258" s="3"/>
    </row>
    <row r="259" ht="12.75">
      <c r="J259" s="3"/>
    </row>
    <row r="260" ht="12.75">
      <c r="J260" s="3"/>
    </row>
    <row r="261" ht="12.75">
      <c r="J261" s="3"/>
    </row>
    <row r="262" ht="12.75">
      <c r="J262" s="3"/>
    </row>
    <row r="263" ht="12.75">
      <c r="J263" s="3"/>
    </row>
    <row r="264" ht="12.75">
      <c r="J264" s="3"/>
    </row>
    <row r="265" ht="12.75">
      <c r="J265" s="3"/>
    </row>
    <row r="266" ht="12.75">
      <c r="J266" s="3"/>
    </row>
    <row r="267" ht="12.75">
      <c r="J267" s="3"/>
    </row>
    <row r="268" ht="12.75">
      <c r="J268" s="3"/>
    </row>
    <row r="269" ht="12.75">
      <c r="J269" s="3"/>
    </row>
    <row r="270" ht="12.75">
      <c r="J270" s="3"/>
    </row>
    <row r="271" ht="12.75">
      <c r="J271" s="3"/>
    </row>
    <row r="272" ht="12.75">
      <c r="J272" s="3"/>
    </row>
    <row r="273" ht="12.75">
      <c r="J273" s="3"/>
    </row>
    <row r="274" ht="12.75">
      <c r="J274" s="3"/>
    </row>
    <row r="275" ht="12.75">
      <c r="J275" s="3"/>
    </row>
    <row r="276" ht="12.75">
      <c r="J276" s="3"/>
    </row>
    <row r="277" ht="12.75">
      <c r="J277" s="3"/>
    </row>
    <row r="278" ht="12.75">
      <c r="J278" s="3"/>
    </row>
    <row r="279" ht="12.75">
      <c r="J279" s="3"/>
    </row>
    <row r="280" ht="12.75">
      <c r="J280" s="3"/>
    </row>
    <row r="281" ht="12.75">
      <c r="J281" s="3"/>
    </row>
    <row r="282" ht="12.75">
      <c r="J282" s="3"/>
    </row>
    <row r="283" ht="12.75">
      <c r="J283" s="3"/>
    </row>
    <row r="284" ht="12.75">
      <c r="J284" s="3"/>
    </row>
    <row r="285" ht="12.75">
      <c r="J285" s="3"/>
    </row>
    <row r="286" ht="12.75">
      <c r="J286" s="3"/>
    </row>
    <row r="287" ht="12.75">
      <c r="J287" s="3"/>
    </row>
    <row r="288" ht="12.75">
      <c r="J288" s="3"/>
    </row>
    <row r="289" ht="12.75">
      <c r="J289" s="3"/>
    </row>
    <row r="290" ht="12.75">
      <c r="J290" s="3"/>
    </row>
    <row r="291" ht="12.75">
      <c r="J291" s="3"/>
    </row>
    <row r="292" ht="12.75">
      <c r="J292" s="3"/>
    </row>
    <row r="293" ht="12.75">
      <c r="J293" s="3"/>
    </row>
    <row r="294" ht="12.75">
      <c r="J294" s="3"/>
    </row>
    <row r="295" ht="12.75">
      <c r="J295" s="3"/>
    </row>
    <row r="296" ht="12.75">
      <c r="J296" s="3"/>
    </row>
    <row r="297" ht="12.75">
      <c r="J297" s="3"/>
    </row>
    <row r="298" ht="12.75">
      <c r="J298" s="3"/>
    </row>
    <row r="299" ht="12.75">
      <c r="J299" s="3"/>
    </row>
    <row r="300" ht="12.75">
      <c r="J300" s="3"/>
    </row>
    <row r="301" ht="12.75">
      <c r="J301" s="3"/>
    </row>
    <row r="302" ht="12.75">
      <c r="J302" s="3"/>
    </row>
    <row r="303" ht="12.75">
      <c r="J303" s="3"/>
    </row>
    <row r="304" ht="12.75">
      <c r="J304" s="3"/>
    </row>
    <row r="305" ht="12.75">
      <c r="J305" s="3"/>
    </row>
    <row r="306" ht="12.75">
      <c r="J306" s="3"/>
    </row>
    <row r="307" ht="12.75">
      <c r="J307" s="3"/>
    </row>
    <row r="308" ht="12.75">
      <c r="J308" s="3"/>
    </row>
    <row r="309" ht="12.75">
      <c r="J309" s="3"/>
    </row>
    <row r="310" ht="12.75">
      <c r="J310" s="3"/>
    </row>
    <row r="311" ht="12.75">
      <c r="J311" s="3"/>
    </row>
    <row r="312" ht="12.75">
      <c r="J312" s="3"/>
    </row>
    <row r="313" ht="12.75">
      <c r="J313" s="3"/>
    </row>
    <row r="314" ht="12.75">
      <c r="J314" s="3"/>
    </row>
    <row r="315" ht="12.75">
      <c r="J315" s="3"/>
    </row>
    <row r="316" ht="12.75">
      <c r="J316" s="3"/>
    </row>
    <row r="317" ht="12.75">
      <c r="J317" s="3"/>
    </row>
    <row r="318" ht="12.75">
      <c r="J318" s="3"/>
    </row>
    <row r="319" ht="12.75">
      <c r="J319" s="3"/>
    </row>
    <row r="320" ht="12.75">
      <c r="J320" s="3"/>
    </row>
    <row r="321" ht="12.75">
      <c r="J321" s="3"/>
    </row>
    <row r="322" ht="12.75">
      <c r="J322" s="3"/>
    </row>
    <row r="323" ht="12.75">
      <c r="J323" s="3"/>
    </row>
    <row r="324" ht="12.75">
      <c r="J324" s="3"/>
    </row>
    <row r="325" ht="12.75">
      <c r="J325" s="3"/>
    </row>
    <row r="326" ht="12.75">
      <c r="J326" s="3"/>
    </row>
    <row r="327" ht="12.75">
      <c r="J327" s="3"/>
    </row>
    <row r="328" ht="12.75">
      <c r="J328" s="3"/>
    </row>
    <row r="329" ht="12.75">
      <c r="J329" s="3"/>
    </row>
    <row r="330" ht="12.75">
      <c r="J330" s="3"/>
    </row>
    <row r="331" ht="12.75">
      <c r="J331" s="3"/>
    </row>
    <row r="332" ht="12.75">
      <c r="J332" s="3"/>
    </row>
    <row r="333" ht="12.75">
      <c r="J333" s="3"/>
    </row>
    <row r="334" ht="12.75">
      <c r="J334" s="3"/>
    </row>
    <row r="335" ht="12.75">
      <c r="J335" s="3"/>
    </row>
    <row r="336" ht="12.75">
      <c r="J336" s="3"/>
    </row>
    <row r="337" ht="12.75">
      <c r="J337" s="3"/>
    </row>
    <row r="338" ht="12.75">
      <c r="J338" s="3"/>
    </row>
    <row r="339" ht="12.75">
      <c r="J339" s="3"/>
    </row>
    <row r="340" ht="12.75">
      <c r="J340" s="3"/>
    </row>
    <row r="341" ht="12.75">
      <c r="J341" s="3"/>
    </row>
    <row r="342" ht="12.75">
      <c r="J342" s="3"/>
    </row>
    <row r="343" ht="12.75">
      <c r="J343" s="3"/>
    </row>
    <row r="344" ht="12.75">
      <c r="J344" s="3"/>
    </row>
    <row r="345" ht="12.75">
      <c r="J345" s="3"/>
    </row>
    <row r="346" ht="12.75">
      <c r="J346" s="3"/>
    </row>
    <row r="347" ht="12.75">
      <c r="J347" s="3"/>
    </row>
    <row r="348" ht="12.75">
      <c r="J348" s="3"/>
    </row>
    <row r="349" ht="12.75">
      <c r="J349" s="3"/>
    </row>
    <row r="350" ht="12.75">
      <c r="J350" s="3"/>
    </row>
    <row r="351" ht="12.75">
      <c r="J351" s="3"/>
    </row>
    <row r="352" ht="12.75">
      <c r="J352" s="3"/>
    </row>
    <row r="353" ht="12.75">
      <c r="J353" s="3"/>
    </row>
    <row r="354" ht="12.75">
      <c r="J354" s="3"/>
    </row>
    <row r="355" ht="12.75">
      <c r="J355" s="3"/>
    </row>
    <row r="356" ht="12.75">
      <c r="J356" s="3"/>
    </row>
    <row r="357" ht="12.75">
      <c r="J357" s="3"/>
    </row>
    <row r="358" ht="12.75">
      <c r="J358" s="3"/>
    </row>
    <row r="359" ht="12.75">
      <c r="J359" s="3"/>
    </row>
    <row r="360" ht="12.75">
      <c r="J360" s="3"/>
    </row>
    <row r="361" ht="12.75">
      <c r="J361" s="3"/>
    </row>
    <row r="362" ht="12.75">
      <c r="J362" s="3"/>
    </row>
    <row r="363" ht="12.75">
      <c r="J363" s="3"/>
    </row>
    <row r="364" ht="12.75">
      <c r="J364" s="3"/>
    </row>
    <row r="365" ht="12.75">
      <c r="J365" s="3"/>
    </row>
    <row r="366" ht="12.75">
      <c r="J366" s="3"/>
    </row>
    <row r="367" ht="12.75">
      <c r="J367" s="3"/>
    </row>
    <row r="368" ht="12.75">
      <c r="J368" s="3"/>
    </row>
    <row r="369" ht="12.75">
      <c r="J369" s="3"/>
    </row>
    <row r="370" ht="12.75">
      <c r="J370" s="3"/>
    </row>
    <row r="371" ht="12.75">
      <c r="J371" s="3"/>
    </row>
    <row r="372" ht="12.75">
      <c r="J372" s="3"/>
    </row>
    <row r="373" ht="12.75">
      <c r="J373" s="3"/>
    </row>
    <row r="374" ht="12.75">
      <c r="J374" s="3"/>
    </row>
    <row r="375" ht="12.75">
      <c r="J375" s="3"/>
    </row>
    <row r="376" ht="12.75">
      <c r="J376" s="3"/>
    </row>
    <row r="377" ht="12.75">
      <c r="J377" s="3"/>
    </row>
    <row r="378" ht="12.75">
      <c r="J378" s="3"/>
    </row>
    <row r="379" ht="12.75">
      <c r="J379" s="3"/>
    </row>
    <row r="380" ht="12.75">
      <c r="J380" s="3"/>
    </row>
    <row r="381" ht="12.75">
      <c r="J381" s="3"/>
    </row>
    <row r="382" ht="12.75">
      <c r="J382" s="3"/>
    </row>
    <row r="383" ht="12.75">
      <c r="J383" s="3"/>
    </row>
    <row r="384" ht="12.75">
      <c r="J384" s="3"/>
    </row>
    <row r="385" ht="12.75">
      <c r="J385" s="3"/>
    </row>
    <row r="386" ht="12.75">
      <c r="J386" s="3"/>
    </row>
    <row r="387" ht="12.75">
      <c r="J387" s="3"/>
    </row>
    <row r="388" ht="12.75">
      <c r="J388" s="3"/>
    </row>
    <row r="389" ht="12.75">
      <c r="J389" s="3"/>
    </row>
    <row r="390" ht="12.75">
      <c r="J390" s="3"/>
    </row>
    <row r="391" ht="12.75">
      <c r="J391" s="3"/>
    </row>
    <row r="392" ht="12.75">
      <c r="J392" s="3"/>
    </row>
    <row r="393" ht="12.75">
      <c r="J393" s="3"/>
    </row>
    <row r="394" ht="12.75">
      <c r="J394" s="3"/>
    </row>
    <row r="395" ht="12.75">
      <c r="J395" s="3"/>
    </row>
    <row r="396" ht="12.75">
      <c r="J396" s="3"/>
    </row>
    <row r="397" ht="12.75">
      <c r="J397" s="3"/>
    </row>
    <row r="398" ht="12.75">
      <c r="J398" s="3"/>
    </row>
    <row r="399" ht="12.75">
      <c r="J399" s="3"/>
    </row>
    <row r="400" ht="12.75">
      <c r="J400" s="3"/>
    </row>
    <row r="401" ht="12.75">
      <c r="J401" s="3"/>
    </row>
    <row r="402" ht="12.75">
      <c r="J402" s="3"/>
    </row>
    <row r="403" ht="12.75">
      <c r="J403" s="3"/>
    </row>
    <row r="404" ht="12.75">
      <c r="J404" s="3"/>
    </row>
    <row r="405" ht="12.75">
      <c r="J405" s="3"/>
    </row>
    <row r="406" ht="12.75">
      <c r="J406" s="3"/>
    </row>
    <row r="407" ht="12.75">
      <c r="J407" s="3"/>
    </row>
    <row r="408" ht="12.75">
      <c r="J408" s="3"/>
    </row>
    <row r="409" ht="12.75">
      <c r="J409" s="3"/>
    </row>
    <row r="410" ht="12.75">
      <c r="J410" s="3"/>
    </row>
    <row r="411" ht="12.75">
      <c r="J411" s="3"/>
    </row>
    <row r="412" ht="12.75">
      <c r="J412" s="3"/>
    </row>
    <row r="413" ht="12.75">
      <c r="J413" s="3"/>
    </row>
    <row r="414" ht="12.75">
      <c r="J414" s="3"/>
    </row>
    <row r="415" ht="12.75">
      <c r="J415" s="3"/>
    </row>
    <row r="416" ht="12.75">
      <c r="J416" s="3"/>
    </row>
    <row r="417" ht="12.75">
      <c r="J417" s="3"/>
    </row>
    <row r="418" ht="12.75">
      <c r="J418" s="3"/>
    </row>
    <row r="419" ht="12.75">
      <c r="J419" s="3"/>
    </row>
    <row r="420" ht="12.75">
      <c r="J420" s="3"/>
    </row>
    <row r="421" ht="12.75">
      <c r="J421" s="3"/>
    </row>
    <row r="422" ht="12.75">
      <c r="J422" s="3"/>
    </row>
    <row r="423" ht="12.75">
      <c r="J423" s="3"/>
    </row>
    <row r="424" ht="12.75">
      <c r="J424" s="3"/>
    </row>
    <row r="425" ht="12.75">
      <c r="J425" s="3"/>
    </row>
    <row r="426" ht="12.75">
      <c r="J426" s="3"/>
    </row>
    <row r="427" ht="12.75">
      <c r="J427" s="3"/>
    </row>
    <row r="428" ht="12.75">
      <c r="J428" s="3"/>
    </row>
    <row r="429" ht="12.75">
      <c r="J429" s="3"/>
    </row>
    <row r="430" ht="12.75">
      <c r="J430" s="3"/>
    </row>
    <row r="431" ht="12.75">
      <c r="J431" s="3"/>
    </row>
    <row r="432" ht="12.75">
      <c r="J432" s="3"/>
    </row>
    <row r="433" ht="12.75">
      <c r="J433" s="3"/>
    </row>
    <row r="434" ht="12.75">
      <c r="J434" s="3"/>
    </row>
    <row r="435" ht="12.75">
      <c r="J435" s="3"/>
    </row>
    <row r="436" ht="12.75">
      <c r="J436" s="3"/>
    </row>
    <row r="437" ht="12.75">
      <c r="J437" s="3"/>
    </row>
    <row r="438" ht="12.75">
      <c r="J438" s="3"/>
    </row>
    <row r="439" ht="12.75">
      <c r="J439" s="3"/>
    </row>
    <row r="440" ht="12.75">
      <c r="J440" s="3"/>
    </row>
    <row r="441" ht="12.75">
      <c r="J441" s="3"/>
    </row>
    <row r="442" ht="12.75">
      <c r="J442" s="3"/>
    </row>
    <row r="443" ht="12.75">
      <c r="J443" s="3"/>
    </row>
    <row r="444" ht="12.75">
      <c r="J444" s="3"/>
    </row>
    <row r="445" ht="12.75">
      <c r="J445" s="3"/>
    </row>
    <row r="446" ht="12.75">
      <c r="J446" s="3"/>
    </row>
    <row r="447" ht="12.75">
      <c r="J447" s="3"/>
    </row>
    <row r="448" ht="12.75">
      <c r="J448" s="3"/>
    </row>
    <row r="449" ht="12.75">
      <c r="J449" s="3"/>
    </row>
    <row r="450" ht="12.75">
      <c r="J450" s="3"/>
    </row>
    <row r="451" ht="12.75">
      <c r="J451" s="3"/>
    </row>
    <row r="452" ht="12.75">
      <c r="J452" s="3"/>
    </row>
    <row r="453" ht="12.75">
      <c r="J453" s="3"/>
    </row>
    <row r="454" ht="12.75">
      <c r="J454" s="3"/>
    </row>
    <row r="455" ht="12.75">
      <c r="J455" s="3"/>
    </row>
    <row r="456" ht="12.75">
      <c r="J456" s="3"/>
    </row>
    <row r="457" ht="12.75">
      <c r="J457" s="3"/>
    </row>
    <row r="458" ht="12.75">
      <c r="J458" s="3"/>
    </row>
    <row r="459" ht="12.75">
      <c r="J459" s="3"/>
    </row>
    <row r="460" ht="12.75">
      <c r="J460" s="3"/>
    </row>
    <row r="461" ht="12.75">
      <c r="J461" s="3"/>
    </row>
    <row r="462" ht="12.75">
      <c r="J462" s="3"/>
    </row>
    <row r="463" ht="12.75">
      <c r="J463" s="3"/>
    </row>
    <row r="464" ht="12.75">
      <c r="J464" s="3"/>
    </row>
    <row r="465" ht="12.75">
      <c r="J465" s="3"/>
    </row>
    <row r="466" ht="12.75">
      <c r="J466" s="3"/>
    </row>
    <row r="467" ht="12.75">
      <c r="J467" s="3"/>
    </row>
    <row r="468" ht="12.75">
      <c r="J468" s="3"/>
    </row>
    <row r="469" ht="12.75">
      <c r="J469" s="3"/>
    </row>
    <row r="470" ht="12.75">
      <c r="J470" s="3"/>
    </row>
    <row r="471" ht="12.75">
      <c r="J471" s="3"/>
    </row>
    <row r="472" ht="12.75">
      <c r="J472" s="3"/>
    </row>
    <row r="473" ht="12.75">
      <c r="J473" s="3"/>
    </row>
    <row r="474" ht="12.75">
      <c r="J474" s="3"/>
    </row>
    <row r="475" ht="12.75">
      <c r="J475" s="3"/>
    </row>
    <row r="476" ht="12.75">
      <c r="J476" s="3"/>
    </row>
    <row r="477" ht="12.75">
      <c r="J477" s="3"/>
    </row>
    <row r="478" ht="12.75">
      <c r="J478" s="3"/>
    </row>
    <row r="479" ht="12.75">
      <c r="J479" s="3"/>
    </row>
    <row r="480" ht="12.75">
      <c r="J480" s="3"/>
    </row>
    <row r="481" ht="12.75">
      <c r="J481" s="3"/>
    </row>
    <row r="482" ht="12.75">
      <c r="J482" s="3"/>
    </row>
    <row r="483" ht="12.75">
      <c r="J483" s="3"/>
    </row>
    <row r="484" ht="12.75">
      <c r="J484" s="3"/>
    </row>
    <row r="485" ht="12.75">
      <c r="J485" s="3"/>
    </row>
    <row r="486" ht="12.75">
      <c r="J486" s="3"/>
    </row>
    <row r="487" ht="12.75">
      <c r="J487" s="3"/>
    </row>
    <row r="488" ht="12.75">
      <c r="J488" s="3"/>
    </row>
    <row r="489" ht="12.75">
      <c r="J489" s="3"/>
    </row>
    <row r="490" ht="12.75">
      <c r="J490" s="3"/>
    </row>
    <row r="491" ht="12.75">
      <c r="J491" s="3"/>
    </row>
    <row r="492" ht="12.75">
      <c r="J492" s="3"/>
    </row>
    <row r="493" ht="12.75">
      <c r="J493" s="3"/>
    </row>
    <row r="494" ht="12.75">
      <c r="J494" s="3"/>
    </row>
    <row r="495" ht="12.75">
      <c r="J495" s="3"/>
    </row>
    <row r="496" ht="12.75">
      <c r="J496" s="3"/>
    </row>
    <row r="497" ht="12.75">
      <c r="J497" s="3"/>
    </row>
    <row r="498" ht="12.75">
      <c r="J498" s="3"/>
    </row>
    <row r="499" ht="12.75">
      <c r="J499" s="3"/>
    </row>
    <row r="500" ht="12.75">
      <c r="J500" s="3"/>
    </row>
    <row r="501" ht="12.75">
      <c r="J501" s="3"/>
    </row>
    <row r="502" ht="12.75">
      <c r="J502" s="3"/>
    </row>
    <row r="503" ht="12.75">
      <c r="J503" s="3"/>
    </row>
    <row r="504" ht="12.75">
      <c r="J504" s="3"/>
    </row>
    <row r="505" ht="12.75">
      <c r="J505" s="3"/>
    </row>
    <row r="506" ht="12.75">
      <c r="J506" s="3"/>
    </row>
    <row r="507" ht="12.75">
      <c r="J507" s="3"/>
    </row>
    <row r="508" ht="12.75">
      <c r="J508" s="3"/>
    </row>
    <row r="509" ht="12.75">
      <c r="J509" s="3"/>
    </row>
    <row r="510" ht="12.75">
      <c r="J510" s="3"/>
    </row>
    <row r="511" ht="12.75">
      <c r="J511" s="3"/>
    </row>
    <row r="512" ht="12.75">
      <c r="J512" s="3"/>
    </row>
    <row r="513" ht="12.75">
      <c r="J513" s="3"/>
    </row>
    <row r="514" ht="12.75">
      <c r="J514" s="3"/>
    </row>
    <row r="515" ht="12.75">
      <c r="J515" s="3"/>
    </row>
    <row r="516" ht="12.75">
      <c r="J516" s="3"/>
    </row>
    <row r="517" ht="12.75">
      <c r="J517" s="3"/>
    </row>
    <row r="518" ht="12.75">
      <c r="J518" s="3"/>
    </row>
    <row r="519" ht="12.75">
      <c r="J519" s="3"/>
    </row>
    <row r="520" ht="12.75">
      <c r="J520" s="3"/>
    </row>
    <row r="521" ht="12.75">
      <c r="J521" s="3"/>
    </row>
    <row r="522" ht="12.75">
      <c r="J522" s="3"/>
    </row>
    <row r="523" ht="12.75">
      <c r="J523" s="3"/>
    </row>
    <row r="524" ht="12.75">
      <c r="J524" s="3"/>
    </row>
    <row r="525" ht="12.75">
      <c r="J525" s="3"/>
    </row>
    <row r="526" ht="12.75">
      <c r="J526" s="3"/>
    </row>
    <row r="527" ht="12.75">
      <c r="J527" s="3"/>
    </row>
    <row r="528" ht="12.75">
      <c r="J528" s="3"/>
    </row>
    <row r="529" ht="12.75">
      <c r="J529" s="3"/>
    </row>
    <row r="530" ht="12.75">
      <c r="J530" s="3"/>
    </row>
    <row r="531" ht="12.75">
      <c r="J531" s="3"/>
    </row>
    <row r="532" ht="12.75">
      <c r="J532" s="3"/>
    </row>
    <row r="533" ht="12.75">
      <c r="J533" s="3"/>
    </row>
    <row r="534" ht="12.75">
      <c r="J534" s="3"/>
    </row>
    <row r="535" ht="12.75">
      <c r="J535" s="3"/>
    </row>
    <row r="536" ht="12.75">
      <c r="J536" s="3"/>
    </row>
    <row r="537" ht="12.75">
      <c r="J537" s="3"/>
    </row>
    <row r="538" ht="12.75">
      <c r="J538" s="3"/>
    </row>
    <row r="539" ht="12.75">
      <c r="J539" s="3"/>
    </row>
    <row r="540" ht="12.75">
      <c r="J540" s="3"/>
    </row>
    <row r="541" ht="12.75">
      <c r="J541" s="3"/>
    </row>
    <row r="542" ht="12.75">
      <c r="J542" s="3"/>
    </row>
    <row r="543" ht="12.75">
      <c r="J543" s="3"/>
    </row>
    <row r="544" ht="12.75">
      <c r="J544" s="3"/>
    </row>
    <row r="545" ht="12.75">
      <c r="J545" s="3"/>
    </row>
    <row r="546" ht="12.75">
      <c r="J546" s="3"/>
    </row>
    <row r="547" ht="12.75">
      <c r="J547" s="3"/>
    </row>
    <row r="548" ht="12.75">
      <c r="J548" s="3"/>
    </row>
    <row r="549" ht="12.75">
      <c r="J549" s="3"/>
    </row>
    <row r="550" ht="12.75">
      <c r="J550" s="3"/>
    </row>
    <row r="551" ht="12.75">
      <c r="J551" s="3"/>
    </row>
    <row r="552" ht="12.75">
      <c r="J552" s="3"/>
    </row>
    <row r="553" ht="12.75">
      <c r="J553" s="3"/>
    </row>
    <row r="554" ht="12.75">
      <c r="J554" s="3"/>
    </row>
    <row r="555" ht="12.75">
      <c r="J555" s="3"/>
    </row>
    <row r="556" ht="12.75">
      <c r="J556" s="3"/>
    </row>
    <row r="557" ht="12.75">
      <c r="J557" s="3"/>
    </row>
    <row r="558" ht="12.75">
      <c r="J558" s="3"/>
    </row>
    <row r="559" ht="12.75">
      <c r="J559" s="3"/>
    </row>
    <row r="560" ht="12.75">
      <c r="J560" s="3"/>
    </row>
    <row r="561" ht="12.75">
      <c r="J561" s="3"/>
    </row>
    <row r="562" ht="12.75">
      <c r="J562" s="3"/>
    </row>
    <row r="563" ht="12.75">
      <c r="J563" s="3"/>
    </row>
    <row r="564" ht="12.75">
      <c r="J564" s="3"/>
    </row>
    <row r="565" ht="12.75">
      <c r="J565" s="3"/>
    </row>
    <row r="566" ht="12.75">
      <c r="J566" s="3"/>
    </row>
    <row r="567" ht="12.75">
      <c r="J567" s="3"/>
    </row>
    <row r="568" ht="12.75">
      <c r="J568" s="3"/>
    </row>
    <row r="569" ht="12.75">
      <c r="J569" s="3"/>
    </row>
    <row r="570" ht="12.75">
      <c r="J570" s="3"/>
    </row>
    <row r="571" ht="12.75">
      <c r="J571" s="3"/>
    </row>
    <row r="572" ht="12.75">
      <c r="J572" s="3"/>
    </row>
    <row r="573" ht="12.75">
      <c r="J573" s="3"/>
    </row>
    <row r="574" ht="12.75">
      <c r="J574" s="3"/>
    </row>
    <row r="575" ht="12.75">
      <c r="J575" s="3"/>
    </row>
    <row r="576" ht="12.75">
      <c r="J576" s="3"/>
    </row>
    <row r="577" ht="12.75">
      <c r="J577" s="3"/>
    </row>
    <row r="578" ht="12.75">
      <c r="J578" s="3"/>
    </row>
    <row r="579" ht="12.75">
      <c r="J579" s="3"/>
    </row>
    <row r="580" ht="12.75">
      <c r="J580" s="3"/>
    </row>
    <row r="581" ht="12.75">
      <c r="J581" s="3"/>
    </row>
    <row r="582" ht="12.75">
      <c r="J582" s="3"/>
    </row>
    <row r="583" ht="12.75">
      <c r="J583" s="3"/>
    </row>
    <row r="584" ht="12.75">
      <c r="J584" s="3"/>
    </row>
    <row r="585" ht="12.75">
      <c r="J585" s="3"/>
    </row>
    <row r="586" ht="12.75">
      <c r="J586" s="3"/>
    </row>
    <row r="587" ht="12.75">
      <c r="J587" s="3"/>
    </row>
    <row r="588" ht="12.75">
      <c r="J588" s="3"/>
    </row>
    <row r="589" ht="12.75">
      <c r="J589" s="3"/>
    </row>
    <row r="590" ht="12.75">
      <c r="J590" s="3"/>
    </row>
    <row r="591" ht="12.75">
      <c r="J591" s="3"/>
    </row>
    <row r="592" ht="12.75">
      <c r="J592" s="3"/>
    </row>
    <row r="593" ht="12.75">
      <c r="J593" s="3"/>
    </row>
    <row r="594" ht="12.75">
      <c r="J594" s="3"/>
    </row>
    <row r="595" ht="12.75">
      <c r="J595" s="3"/>
    </row>
    <row r="596" ht="12.75">
      <c r="J596" s="3"/>
    </row>
    <row r="597" ht="12.75">
      <c r="J597" s="3"/>
    </row>
    <row r="598" ht="12.75">
      <c r="J598" s="3"/>
    </row>
    <row r="599" ht="12.75">
      <c r="J599" s="3"/>
    </row>
    <row r="600" ht="12.75">
      <c r="J600" s="3"/>
    </row>
    <row r="601" ht="12.75">
      <c r="J601" s="3"/>
    </row>
    <row r="602" ht="12.75">
      <c r="J602" s="3"/>
    </row>
    <row r="603" ht="12.75">
      <c r="J603" s="3"/>
    </row>
    <row r="604" ht="12.75">
      <c r="J604" s="3"/>
    </row>
    <row r="605" ht="12.75">
      <c r="J605" s="3"/>
    </row>
    <row r="606" ht="12.75">
      <c r="J606" s="3"/>
    </row>
    <row r="607" ht="12.75">
      <c r="J607" s="3"/>
    </row>
    <row r="608" ht="12.75">
      <c r="J608" s="3"/>
    </row>
    <row r="609" ht="12.75">
      <c r="J609" s="3"/>
    </row>
    <row r="610" ht="12.75">
      <c r="J610" s="3"/>
    </row>
    <row r="611" ht="12.75">
      <c r="J611" s="3"/>
    </row>
    <row r="612" ht="12.75">
      <c r="J612" s="3"/>
    </row>
    <row r="613" ht="12.75">
      <c r="J613" s="3"/>
    </row>
    <row r="614" ht="12.75">
      <c r="J614" s="3"/>
    </row>
    <row r="615" ht="12.75">
      <c r="J615" s="3"/>
    </row>
    <row r="616" ht="12.75">
      <c r="J616" s="3"/>
    </row>
    <row r="617" ht="12.75">
      <c r="J617" s="3"/>
    </row>
    <row r="618" ht="12.75">
      <c r="J618" s="3"/>
    </row>
    <row r="619" ht="12.75">
      <c r="J619" s="3"/>
    </row>
    <row r="620" ht="12.75">
      <c r="J620" s="3"/>
    </row>
    <row r="621" ht="12.75">
      <c r="J621" s="3"/>
    </row>
    <row r="622" ht="12.75">
      <c r="J622" s="3"/>
    </row>
    <row r="623" ht="12.75">
      <c r="J623" s="3"/>
    </row>
    <row r="624" ht="12.75">
      <c r="J624" s="3"/>
    </row>
    <row r="625" ht="12.75">
      <c r="J625" s="3"/>
    </row>
    <row r="626" ht="12.75">
      <c r="J626" s="3"/>
    </row>
    <row r="627" ht="12.75">
      <c r="J627" s="3"/>
    </row>
    <row r="628" ht="12.75">
      <c r="J628" s="3"/>
    </row>
    <row r="629" ht="12.75">
      <c r="J629" s="3"/>
    </row>
    <row r="630" ht="12.75">
      <c r="J630" s="3"/>
    </row>
    <row r="631" ht="12.75">
      <c r="J631" s="3"/>
    </row>
    <row r="632" ht="12.75">
      <c r="J632" s="3"/>
    </row>
    <row r="633" ht="12.75">
      <c r="J633" s="3"/>
    </row>
    <row r="634" ht="12.75">
      <c r="J634" s="3"/>
    </row>
    <row r="635" ht="12.75">
      <c r="J635" s="3"/>
    </row>
    <row r="636" ht="12.75">
      <c r="J636" s="3"/>
    </row>
    <row r="637" ht="12.75">
      <c r="J637" s="3"/>
    </row>
    <row r="638" ht="12.75">
      <c r="J638" s="3"/>
    </row>
    <row r="639" ht="12.75">
      <c r="J639" s="3"/>
    </row>
    <row r="640" ht="12.75">
      <c r="J640" s="3"/>
    </row>
    <row r="641" ht="12.75">
      <c r="J641" s="3"/>
    </row>
    <row r="642" ht="12.75">
      <c r="J642" s="3"/>
    </row>
    <row r="643" ht="12.75">
      <c r="J643" s="3"/>
    </row>
    <row r="644" ht="12.75">
      <c r="J644" s="3"/>
    </row>
    <row r="645" ht="12.75">
      <c r="J645" s="3"/>
    </row>
    <row r="646" ht="12.75">
      <c r="J646" s="3"/>
    </row>
    <row r="647" ht="12.75">
      <c r="J647" s="3"/>
    </row>
    <row r="648" ht="12.75">
      <c r="J648" s="3"/>
    </row>
    <row r="649" ht="12.75">
      <c r="J649" s="3"/>
    </row>
    <row r="650" ht="12.75">
      <c r="J650" s="3"/>
    </row>
    <row r="651" ht="12.75">
      <c r="J651" s="3"/>
    </row>
    <row r="652" ht="12.75">
      <c r="J652" s="3"/>
    </row>
    <row r="653" ht="12.75">
      <c r="J653" s="3"/>
    </row>
    <row r="654" ht="12.75">
      <c r="J654" s="3"/>
    </row>
    <row r="655" ht="12.75">
      <c r="J655" s="3"/>
    </row>
    <row r="656" ht="12.75">
      <c r="J656" s="3"/>
    </row>
    <row r="657" ht="12.75">
      <c r="J657" s="3"/>
    </row>
    <row r="658" ht="12.75">
      <c r="J658" s="3"/>
    </row>
    <row r="659" ht="12.75">
      <c r="J659" s="3"/>
    </row>
    <row r="660" ht="12.75">
      <c r="J660" s="3"/>
    </row>
    <row r="661" ht="12.75">
      <c r="J661" s="3"/>
    </row>
    <row r="662" ht="12.75">
      <c r="J662" s="3"/>
    </row>
    <row r="663" ht="12.75">
      <c r="J663" s="3"/>
    </row>
    <row r="664" ht="12.75">
      <c r="J664" s="3"/>
    </row>
    <row r="665" ht="12.75">
      <c r="J665" s="3"/>
    </row>
    <row r="666" ht="12.75">
      <c r="J666" s="3"/>
    </row>
    <row r="667" ht="12.75">
      <c r="J667" s="3"/>
    </row>
    <row r="668" ht="12.75">
      <c r="J668" s="3"/>
    </row>
    <row r="669" ht="12.75">
      <c r="J669" s="3"/>
    </row>
    <row r="670" ht="12.75">
      <c r="J670" s="3"/>
    </row>
    <row r="671" ht="12.75">
      <c r="J671" s="3"/>
    </row>
    <row r="672" ht="12.75">
      <c r="J672" s="3"/>
    </row>
    <row r="673" ht="12.75">
      <c r="J673" s="3"/>
    </row>
    <row r="674" ht="12.75">
      <c r="J674" s="3"/>
    </row>
    <row r="675" ht="12.75">
      <c r="J675" s="3"/>
    </row>
    <row r="676" ht="12.75">
      <c r="J676" s="3"/>
    </row>
    <row r="677" ht="12.75">
      <c r="J677" s="3"/>
    </row>
    <row r="678" ht="12.75">
      <c r="J678" s="3"/>
    </row>
    <row r="679" ht="12.75">
      <c r="J679" s="3"/>
    </row>
    <row r="680" ht="12.75">
      <c r="J680" s="3"/>
    </row>
    <row r="681" ht="12.75">
      <c r="J681" s="3"/>
    </row>
    <row r="682" ht="12.75">
      <c r="J682" s="3"/>
    </row>
    <row r="683" ht="12.75">
      <c r="J683" s="3"/>
    </row>
    <row r="684" ht="12.75">
      <c r="J684" s="3"/>
    </row>
    <row r="685" ht="12.75">
      <c r="J685" s="3"/>
    </row>
    <row r="686" ht="12.75">
      <c r="J686" s="3"/>
    </row>
    <row r="687" ht="12.75">
      <c r="J687" s="3"/>
    </row>
    <row r="688" ht="12.75">
      <c r="J688" s="3"/>
    </row>
    <row r="689" ht="12.75">
      <c r="J689" s="3"/>
    </row>
    <row r="690" ht="12.75">
      <c r="J690" s="3"/>
    </row>
    <row r="691" ht="12.75">
      <c r="J691" s="3"/>
    </row>
    <row r="692" ht="12.75">
      <c r="J692" s="3"/>
    </row>
    <row r="693" ht="12.75">
      <c r="J693" s="3"/>
    </row>
    <row r="694" ht="12.75">
      <c r="J694" s="3"/>
    </row>
    <row r="695" ht="12.75">
      <c r="J695" s="3"/>
    </row>
    <row r="696" ht="12.75">
      <c r="J696" s="3"/>
    </row>
    <row r="697" ht="12.75">
      <c r="J697" s="3"/>
    </row>
  </sheetData>
  <sheetProtection/>
  <printOptions/>
  <pageMargins left="0.75" right="0.75" top="1" bottom="1" header="0.5" footer="0.5"/>
  <pageSetup horizontalDpi="600" verticalDpi="600" orientation="portrait" scale="80" r:id="rId1"/>
  <headerFooter alignWithMargins="0">
    <oddHeader>&amp;R&amp;"Geneva,Bold"&amp;12Exhibit No. ___ (WGJ-2)
</oddHeader>
    <oddFooter>&amp;R&amp;"Arial,Bold"&amp;12Page &amp;P of &amp;N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4">
      <pane xSplit="6930" ySplit="1590" topLeftCell="A1" activePane="bottomLeft" state="split"/>
      <selection pane="topLeft" activeCell="A6" sqref="A5:A6"/>
      <selection pane="topRight" activeCell="E7" sqref="E7"/>
      <selection pane="bottomLeft" activeCell="A25" sqref="A25"/>
      <selection pane="bottomRight" activeCell="A6" sqref="A6"/>
    </sheetView>
  </sheetViews>
  <sheetFormatPr defaultColWidth="11.375" defaultRowHeight="12.75"/>
  <cols>
    <col min="1" max="1" width="36.625" style="0" customWidth="1"/>
    <col min="2" max="2" width="2.00390625" style="0" hidden="1" customWidth="1"/>
    <col min="3" max="15" width="13.75390625" style="0" customWidth="1"/>
  </cols>
  <sheetData>
    <row r="1" ht="18">
      <c r="A1" s="94" t="s">
        <v>37</v>
      </c>
    </row>
    <row r="2" ht="18">
      <c r="A2" s="94" t="s">
        <v>135</v>
      </c>
    </row>
    <row r="3" spans="1:9" ht="18">
      <c r="A3" s="94" t="s">
        <v>242</v>
      </c>
      <c r="I3" s="14"/>
    </row>
    <row r="4" spans="2:9" ht="12.75">
      <c r="B4" s="58"/>
      <c r="I4" s="14"/>
    </row>
    <row r="6" spans="3:15" ht="12.75">
      <c r="C6" s="40"/>
      <c r="D6" s="40">
        <v>744</v>
      </c>
      <c r="E6" s="40">
        <v>672</v>
      </c>
      <c r="F6" s="40">
        <v>743</v>
      </c>
      <c r="G6" s="40">
        <v>720</v>
      </c>
      <c r="H6" s="40">
        <v>744</v>
      </c>
      <c r="I6" s="40">
        <v>720</v>
      </c>
      <c r="J6" s="40">
        <v>744</v>
      </c>
      <c r="K6" s="40">
        <v>744</v>
      </c>
      <c r="L6" s="40">
        <v>720</v>
      </c>
      <c r="M6" s="40">
        <v>744</v>
      </c>
      <c r="N6" s="40">
        <v>721</v>
      </c>
      <c r="O6" s="40">
        <v>744</v>
      </c>
    </row>
    <row r="7" spans="3:15" ht="12.75">
      <c r="C7" s="24" t="s">
        <v>38</v>
      </c>
      <c r="D7" s="25">
        <v>38352</v>
      </c>
      <c r="E7" s="25">
        <v>38383</v>
      </c>
      <c r="F7" s="25">
        <v>38411</v>
      </c>
      <c r="G7" s="25">
        <v>38442</v>
      </c>
      <c r="H7" s="25">
        <v>38472</v>
      </c>
      <c r="I7" s="25">
        <v>38503</v>
      </c>
      <c r="J7" s="25">
        <v>38533</v>
      </c>
      <c r="K7" s="25">
        <v>38564</v>
      </c>
      <c r="L7" s="25">
        <v>38595</v>
      </c>
      <c r="M7" s="25">
        <v>38625</v>
      </c>
      <c r="N7" s="25">
        <v>38656</v>
      </c>
      <c r="O7" s="25">
        <v>38686</v>
      </c>
    </row>
    <row r="8" ht="12.75">
      <c r="C8" s="54"/>
    </row>
    <row r="9" spans="1:16" ht="12.75">
      <c r="A9" t="s">
        <v>120</v>
      </c>
      <c r="B9" s="5" t="s">
        <v>62</v>
      </c>
      <c r="C9" s="41">
        <f>SUM(D9:O9)</f>
        <v>-58360773.26477051</v>
      </c>
      <c r="D9" s="27">
        <f>Aurora!B37*1000</f>
        <v>-1842313.3020019531</v>
      </c>
      <c r="E9" s="27">
        <f>Aurora!C37*1000</f>
        <v>-3139771.9995117188</v>
      </c>
      <c r="F9" s="27">
        <f>Aurora!D37*1000</f>
        <v>-4214557.6123046875</v>
      </c>
      <c r="G9" s="27">
        <f>Aurora!E37*1000</f>
        <v>-7393070.2001953125</v>
      </c>
      <c r="H9" s="27">
        <f>Aurora!F37*1000</f>
        <v>-11051893.53515625</v>
      </c>
      <c r="I9" s="27">
        <f>Aurora!G37*1000</f>
        <v>-9213478.972167969</v>
      </c>
      <c r="J9" s="27">
        <f>Aurora!H37*1000</f>
        <v>-7480130.95703125</v>
      </c>
      <c r="K9" s="27">
        <f>Aurora!I37*1000</f>
        <v>-3239976.025390625</v>
      </c>
      <c r="L9" s="27">
        <f>Aurora!J37*1000</f>
        <v>-2802357.122192383</v>
      </c>
      <c r="M9" s="27">
        <f>Aurora!K37*1000</f>
        <v>-2256258.1396484375</v>
      </c>
      <c r="N9" s="27">
        <f>Aurora!L37*1000</f>
        <v>-3433477.8735351562</v>
      </c>
      <c r="O9" s="27">
        <f>Aurora!M37*1000</f>
        <v>-2293487.5256347656</v>
      </c>
      <c r="P9" s="27"/>
    </row>
    <row r="10" spans="1:15" ht="12.75">
      <c r="A10" t="s">
        <v>121</v>
      </c>
      <c r="C10" s="28">
        <f>SUM(D10:O10)</f>
        <v>-1287425.2591015627</v>
      </c>
      <c r="D10" s="3">
        <f>Aurora!B33*1000</f>
        <v>-33679.291874999995</v>
      </c>
      <c r="E10" s="3">
        <f>Aurora!C33*1000</f>
        <v>-53044.8029296875</v>
      </c>
      <c r="F10" s="3">
        <f>Aurora!D33*1000</f>
        <v>-77788.69374999999</v>
      </c>
      <c r="G10" s="3">
        <f>Aurora!E33*1000</f>
        <v>-162232.67265625</v>
      </c>
      <c r="H10" s="3">
        <f>Aurora!F33*1000</f>
        <v>-268917.5128125</v>
      </c>
      <c r="I10" s="3">
        <f>Aurora!G33*1000</f>
        <v>-269754.576875</v>
      </c>
      <c r="J10" s="3">
        <f>Aurora!H33*1000</f>
        <v>-156484.688359375</v>
      </c>
      <c r="K10" s="3">
        <f>Aurora!I33*1000</f>
        <v>-61636.29265624999</v>
      </c>
      <c r="L10" s="3">
        <f>Aurora!J33*1000</f>
        <v>-57854.15396484375</v>
      </c>
      <c r="M10" s="3">
        <f>Aurora!K33*1000</f>
        <v>-45141.2828125</v>
      </c>
      <c r="N10" s="3">
        <f>Aurora!L33*1000</f>
        <v>-60549.42773437499</v>
      </c>
      <c r="O10" s="3">
        <f>Aurora!M33*1000</f>
        <v>-40341.862675781245</v>
      </c>
    </row>
    <row r="11" spans="1:15" ht="12.75" hidden="1">
      <c r="A11" t="s">
        <v>63</v>
      </c>
      <c r="C11" s="31">
        <f>C9/C10</f>
        <v>45.3313874744837</v>
      </c>
      <c r="D11" s="32">
        <f>D9/D10</f>
        <v>54.70166382475206</v>
      </c>
      <c r="E11" s="32">
        <f aca="true" t="shared" si="0" ref="E11:O11">E9/E10</f>
        <v>59.190944750489166</v>
      </c>
      <c r="F11" s="32">
        <f t="shared" si="0"/>
        <v>54.17956529582023</v>
      </c>
      <c r="G11" s="32">
        <f t="shared" si="0"/>
        <v>45.57078472016712</v>
      </c>
      <c r="H11" s="32">
        <f t="shared" si="0"/>
        <v>41.0977084369439</v>
      </c>
      <c r="I11" s="32">
        <f t="shared" si="0"/>
        <v>34.155042256937676</v>
      </c>
      <c r="J11" s="32">
        <f t="shared" si="0"/>
        <v>47.801040698964435</v>
      </c>
      <c r="K11" s="32">
        <f t="shared" si="0"/>
        <v>52.566043247607425</v>
      </c>
      <c r="L11" s="32">
        <f t="shared" si="0"/>
        <v>48.43830442832665</v>
      </c>
      <c r="M11" s="32">
        <f t="shared" si="0"/>
        <v>49.9821449253024</v>
      </c>
      <c r="N11" s="32">
        <f t="shared" si="0"/>
        <v>56.705372817023495</v>
      </c>
      <c r="O11" s="32">
        <f t="shared" si="0"/>
        <v>56.851304662529465</v>
      </c>
    </row>
    <row r="12" spans="1:15" ht="12.75">
      <c r="A12" t="s">
        <v>119</v>
      </c>
      <c r="C12" s="55">
        <f>C9/C10</f>
        <v>45.3313874744837</v>
      </c>
      <c r="D12" s="53">
        <f>D9/D10</f>
        <v>54.70166382475206</v>
      </c>
      <c r="E12" s="53">
        <f aca="true" t="shared" si="1" ref="E12:O12">E9/E10</f>
        <v>59.190944750489166</v>
      </c>
      <c r="F12" s="53">
        <f t="shared" si="1"/>
        <v>54.17956529582023</v>
      </c>
      <c r="G12" s="53">
        <f t="shared" si="1"/>
        <v>45.57078472016712</v>
      </c>
      <c r="H12" s="53">
        <f t="shared" si="1"/>
        <v>41.0977084369439</v>
      </c>
      <c r="I12" s="53">
        <f t="shared" si="1"/>
        <v>34.155042256937676</v>
      </c>
      <c r="J12" s="53">
        <f t="shared" si="1"/>
        <v>47.801040698964435</v>
      </c>
      <c r="K12" s="53">
        <f t="shared" si="1"/>
        <v>52.566043247607425</v>
      </c>
      <c r="L12" s="53">
        <f t="shared" si="1"/>
        <v>48.43830442832665</v>
      </c>
      <c r="M12" s="53">
        <f t="shared" si="1"/>
        <v>49.9821449253024</v>
      </c>
      <c r="N12" s="53">
        <f t="shared" si="1"/>
        <v>56.705372817023495</v>
      </c>
      <c r="O12" s="53">
        <f t="shared" si="1"/>
        <v>56.851304662529465</v>
      </c>
    </row>
    <row r="13" spans="1:15" ht="12.75">
      <c r="A13" t="s">
        <v>122</v>
      </c>
      <c r="B13" s="5" t="s">
        <v>62</v>
      </c>
      <c r="C13" s="41">
        <f>SUM(D13:O13)</f>
        <v>53587112.0625484</v>
      </c>
      <c r="D13" s="27">
        <f>Aurora!B36*1000</f>
        <v>8333956.313476563</v>
      </c>
      <c r="E13" s="27">
        <f>Aurora!C36*1000</f>
        <v>3741176.8603515625</v>
      </c>
      <c r="F13" s="27">
        <f>Aurora!D36*1000</f>
        <v>3970485.8542251587</v>
      </c>
      <c r="G13" s="27">
        <f>Aurora!E36*1000</f>
        <v>1620602.586631775</v>
      </c>
      <c r="H13" s="27">
        <f>Aurora!F36*1000</f>
        <v>436705.68727374077</v>
      </c>
      <c r="I13" s="27">
        <f>Aurora!G36*1000</f>
        <v>520437.2378540039</v>
      </c>
      <c r="J13" s="27">
        <f>Aurora!H36*1000</f>
        <v>2577553.815460205</v>
      </c>
      <c r="K13" s="27">
        <f>Aurora!I36*1000</f>
        <v>5607565.899658203</v>
      </c>
      <c r="L13" s="27">
        <f>Aurora!J36*1000</f>
        <v>6005033.5400390625</v>
      </c>
      <c r="M13" s="27">
        <f>Aurora!K36*1000</f>
        <v>7532991.38671875</v>
      </c>
      <c r="N13" s="27">
        <f>Aurora!L36*1000</f>
        <v>6064268.1005859375</v>
      </c>
      <c r="O13" s="27">
        <f>Aurora!M36*1000</f>
        <v>7176334.7802734375</v>
      </c>
    </row>
    <row r="14" spans="1:15" s="3" customFormat="1" ht="12.75">
      <c r="A14" s="3" t="s">
        <v>126</v>
      </c>
      <c r="C14" s="29">
        <f>SUM(D14:O14)</f>
        <v>776413.3030710601</v>
      </c>
      <c r="D14" s="3">
        <f>Aurora!B32*1000</f>
        <v>130591.69515624999</v>
      </c>
      <c r="E14" s="3">
        <f>Aurora!C32*1000</f>
        <v>54870.01078125001</v>
      </c>
      <c r="F14" s="3">
        <f>Aurora!D32*1000</f>
        <v>60335.63973388672</v>
      </c>
      <c r="G14" s="3">
        <f>Aurora!E32*1000</f>
        <v>25133.477668762207</v>
      </c>
      <c r="H14" s="3">
        <f>Aurora!F32*1000</f>
        <v>6217.036782913208</v>
      </c>
      <c r="I14" s="3">
        <f>Aurora!G32*1000</f>
        <v>8611.702121582031</v>
      </c>
      <c r="J14" s="3">
        <f>Aurora!H32*1000</f>
        <v>31551.45890258789</v>
      </c>
      <c r="K14" s="3">
        <f>Aurora!I32*1000</f>
        <v>68007.74971679687</v>
      </c>
      <c r="L14" s="3">
        <f>Aurora!J32*1000</f>
        <v>81686.0955859375</v>
      </c>
      <c r="M14" s="3">
        <f>Aurora!K32*1000</f>
        <v>113665.02828125</v>
      </c>
      <c r="N14" s="3">
        <f>Aurora!L32*1000</f>
        <v>89183.87656250001</v>
      </c>
      <c r="O14" s="3">
        <f>Aurora!M32*1000</f>
        <v>106559.53177734374</v>
      </c>
    </row>
    <row r="15" spans="1:15" ht="12.75" hidden="1">
      <c r="A15" s="3" t="s">
        <v>64</v>
      </c>
      <c r="C15" s="31">
        <f>C13/C14</f>
        <v>69.01879688380856</v>
      </c>
      <c r="D15" s="32">
        <f>D13/D14</f>
        <v>63.81689358963581</v>
      </c>
      <c r="E15" s="32">
        <f aca="true" t="shared" si="2" ref="E15:O15">E13/E14</f>
        <v>68.18254283321528</v>
      </c>
      <c r="F15" s="32">
        <f t="shared" si="2"/>
        <v>65.80664217263926</v>
      </c>
      <c r="G15" s="32">
        <f t="shared" si="2"/>
        <v>64.47983872307424</v>
      </c>
      <c r="H15" s="32">
        <f t="shared" si="2"/>
        <v>70.2433816177467</v>
      </c>
      <c r="I15" s="32">
        <f t="shared" si="2"/>
        <v>60.433725006549096</v>
      </c>
      <c r="J15" s="32">
        <f t="shared" si="2"/>
        <v>81.69364920392924</v>
      </c>
      <c r="K15" s="32">
        <f t="shared" si="2"/>
        <v>82.45480732724819</v>
      </c>
      <c r="L15" s="32">
        <f t="shared" si="2"/>
        <v>73.51353369217523</v>
      </c>
      <c r="M15" s="32">
        <f t="shared" si="2"/>
        <v>66.2736067603775</v>
      </c>
      <c r="N15" s="32">
        <f t="shared" si="2"/>
        <v>67.99735932465441</v>
      </c>
      <c r="O15" s="32">
        <f t="shared" si="2"/>
        <v>67.34577996521604</v>
      </c>
    </row>
    <row r="16" spans="1:15" ht="12.75">
      <c r="A16" s="3" t="s">
        <v>124</v>
      </c>
      <c r="C16" s="55">
        <f>C13/C14</f>
        <v>69.01879688380856</v>
      </c>
      <c r="D16" s="53">
        <f>D13/D14</f>
        <v>63.81689358963581</v>
      </c>
      <c r="E16" s="53">
        <f aca="true" t="shared" si="3" ref="E16:O16">E13/E14</f>
        <v>68.18254283321528</v>
      </c>
      <c r="F16" s="53">
        <f t="shared" si="3"/>
        <v>65.80664217263926</v>
      </c>
      <c r="G16" s="53">
        <f t="shared" si="3"/>
        <v>64.47983872307424</v>
      </c>
      <c r="H16" s="53">
        <f t="shared" si="3"/>
        <v>70.2433816177467</v>
      </c>
      <c r="I16" s="53"/>
      <c r="J16" s="53">
        <f t="shared" si="3"/>
        <v>81.69364920392924</v>
      </c>
      <c r="K16" s="53">
        <f t="shared" si="3"/>
        <v>82.45480732724819</v>
      </c>
      <c r="L16" s="53">
        <f t="shared" si="3"/>
        <v>73.51353369217523</v>
      </c>
      <c r="M16" s="53">
        <f t="shared" si="3"/>
        <v>66.2736067603775</v>
      </c>
      <c r="N16" s="53">
        <f t="shared" si="3"/>
        <v>67.99735932465441</v>
      </c>
      <c r="O16" s="53">
        <f t="shared" si="3"/>
        <v>67.34577996521604</v>
      </c>
    </row>
    <row r="17" spans="1:15" ht="12.75">
      <c r="A17" t="s">
        <v>123</v>
      </c>
      <c r="C17" s="29">
        <f>C14+C10</f>
        <v>-511011.95603050257</v>
      </c>
      <c r="D17" s="19">
        <f>D14+D10</f>
        <v>96912.40328125</v>
      </c>
      <c r="E17" s="19">
        <f>E14+E10</f>
        <v>1825.2078515625035</v>
      </c>
      <c r="F17" s="19">
        <f aca="true" t="shared" si="4" ref="F17:O17">F14+F10</f>
        <v>-17453.054016113274</v>
      </c>
      <c r="G17" s="19">
        <f t="shared" si="4"/>
        <v>-137099.1949874878</v>
      </c>
      <c r="H17" s="19">
        <f t="shared" si="4"/>
        <v>-262700.4760295868</v>
      </c>
      <c r="I17" s="19">
        <f t="shared" si="4"/>
        <v>-261142.874753418</v>
      </c>
      <c r="J17" s="19">
        <f t="shared" si="4"/>
        <v>-124933.22945678711</v>
      </c>
      <c r="K17" s="19">
        <f t="shared" si="4"/>
        <v>6371.457060546876</v>
      </c>
      <c r="L17" s="19">
        <f t="shared" si="4"/>
        <v>23831.94162109375</v>
      </c>
      <c r="M17" s="19">
        <f t="shared" si="4"/>
        <v>68523.74546874998</v>
      </c>
      <c r="N17" s="19">
        <f t="shared" si="4"/>
        <v>28634.448828125016</v>
      </c>
      <c r="O17" s="19">
        <f t="shared" si="4"/>
        <v>66217.6691015625</v>
      </c>
    </row>
    <row r="18" spans="1:15" ht="12.75">
      <c r="A18" t="s">
        <v>125</v>
      </c>
      <c r="C18" s="131">
        <f>C17/8760</f>
        <v>-58.33469817699801</v>
      </c>
      <c r="D18" s="3">
        <f>D17/D6</f>
        <v>130.25860656081989</v>
      </c>
      <c r="E18" s="3">
        <f aca="true" t="shared" si="5" ref="E18:O18">E17/E6</f>
        <v>2.7160831124442018</v>
      </c>
      <c r="F18" s="3">
        <f t="shared" si="5"/>
        <v>-23.489978487366454</v>
      </c>
      <c r="G18" s="3">
        <f t="shared" si="5"/>
        <v>-190.41554859373306</v>
      </c>
      <c r="H18" s="3">
        <f t="shared" si="5"/>
        <v>-353.0920376741758</v>
      </c>
      <c r="I18" s="3">
        <f t="shared" si="5"/>
        <v>-362.698437157525</v>
      </c>
      <c r="J18" s="3">
        <f t="shared" si="5"/>
        <v>-167.92100733439128</v>
      </c>
      <c r="K18" s="3">
        <f t="shared" si="5"/>
        <v>8.56378637170279</v>
      </c>
      <c r="L18" s="3">
        <f t="shared" si="5"/>
        <v>33.099918918185764</v>
      </c>
      <c r="M18" s="3">
        <f t="shared" si="5"/>
        <v>92.10180842573922</v>
      </c>
      <c r="N18" s="3">
        <f t="shared" si="5"/>
        <v>39.7149082220874</v>
      </c>
      <c r="O18" s="3">
        <f t="shared" si="5"/>
        <v>89.00224341607863</v>
      </c>
    </row>
    <row r="19" spans="1:15" ht="12.75">
      <c r="A19" t="s">
        <v>127</v>
      </c>
      <c r="C19" s="84">
        <f>(-C9+C13)/(-C10+C14)</f>
        <v>54.24255917065058</v>
      </c>
      <c r="D19" s="32">
        <f>(-D9+D13)/(-D10+D14)</f>
        <v>61.94806398492413</v>
      </c>
      <c r="E19" s="32">
        <f>(-E9+E13)/(-E10+E14)</f>
        <v>63.7627830994057</v>
      </c>
      <c r="F19" s="32">
        <f aca="true" t="shared" si="6" ref="F19:O19">(-F9+F13)/(-F10+F14)</f>
        <v>59.258519191223435</v>
      </c>
      <c r="G19" s="32">
        <f t="shared" si="6"/>
        <v>48.10726361827704</v>
      </c>
      <c r="H19" s="32">
        <f t="shared" si="6"/>
        <v>41.75629429064447</v>
      </c>
      <c r="I19" s="32">
        <f t="shared" si="6"/>
        <v>34.96801496614283</v>
      </c>
      <c r="J19" s="32">
        <f t="shared" si="6"/>
        <v>53.48803896986665</v>
      </c>
      <c r="K19" s="32">
        <f t="shared" si="6"/>
        <v>68.24487853896356</v>
      </c>
      <c r="L19" s="32">
        <f t="shared" si="6"/>
        <v>63.11720589998139</v>
      </c>
      <c r="M19" s="32">
        <f t="shared" si="6"/>
        <v>61.64269832190853</v>
      </c>
      <c r="N19" s="32">
        <f t="shared" si="6"/>
        <v>63.4310851464948</v>
      </c>
      <c r="O19" s="32">
        <f t="shared" si="6"/>
        <v>64.46380132170866</v>
      </c>
    </row>
    <row r="20" spans="3:15" ht="12.75">
      <c r="C20" s="31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1:17" s="3" customFormat="1" ht="12.75">
      <c r="A21" s="3" t="s">
        <v>39</v>
      </c>
      <c r="C21" s="29">
        <f>SUM(D21:O21)</f>
        <v>1729692.7941015624</v>
      </c>
      <c r="D21" s="3">
        <f>Aurora!B6*1000</f>
        <v>155523.602421875</v>
      </c>
      <c r="E21" s="3">
        <f>Aurora!C6*1000</f>
        <v>142868.34375</v>
      </c>
      <c r="F21" s="3">
        <f>Aurora!D6*1000</f>
        <v>152223.294296875</v>
      </c>
      <c r="G21" s="3">
        <f>Aurora!E6*1000</f>
        <v>126011.24703125</v>
      </c>
      <c r="H21" s="3">
        <f>Aurora!F6*1000</f>
        <v>105814.96851562499</v>
      </c>
      <c r="I21" s="3">
        <f>Aurora!G6*1000</f>
        <v>115942.0378515625</v>
      </c>
      <c r="J21" s="3">
        <f>Aurora!H6*1000</f>
        <v>154667.848203125</v>
      </c>
      <c r="K21" s="3">
        <f>Aurora!I6*1000</f>
        <v>158125.845</v>
      </c>
      <c r="L21" s="3">
        <f>Aurora!J6*1000</f>
        <v>152929.40875</v>
      </c>
      <c r="M21" s="3">
        <f>Aurora!K6*1000</f>
        <v>156893.47984374998</v>
      </c>
      <c r="N21" s="3">
        <f>Aurora!L6*1000</f>
        <v>153073.21875</v>
      </c>
      <c r="O21" s="3">
        <f>Aurora!M6*1000</f>
        <v>155619.4996875</v>
      </c>
      <c r="P21" s="3">
        <f>C21/8760</f>
        <v>197.45351530839753</v>
      </c>
      <c r="Q21" s="130">
        <f>P21/230</f>
        <v>0.8584935448191197</v>
      </c>
    </row>
    <row r="22" spans="1:15" ht="12.75">
      <c r="A22" s="3" t="s">
        <v>115</v>
      </c>
      <c r="C22" s="77">
        <f>C23/C21</f>
        <v>11.209146156730027</v>
      </c>
      <c r="D22" s="81">
        <f>D23/D21</f>
        <v>11.20340259060488</v>
      </c>
      <c r="E22" s="81">
        <f aca="true" t="shared" si="7" ref="E22:O22">E23/E21</f>
        <v>11.200049824609064</v>
      </c>
      <c r="F22" s="81">
        <f t="shared" si="7"/>
        <v>11.203545975975782</v>
      </c>
      <c r="G22" s="81">
        <f t="shared" si="7"/>
        <v>11.20022044355438</v>
      </c>
      <c r="H22" s="81">
        <f t="shared" si="7"/>
        <v>11.239987435712859</v>
      </c>
      <c r="I22" s="81">
        <f t="shared" si="7"/>
        <v>11.27585472169233</v>
      </c>
      <c r="J22" s="81">
        <f t="shared" si="7"/>
        <v>11.20972567545484</v>
      </c>
      <c r="K22" s="81">
        <f t="shared" si="7"/>
        <v>11.200281835907441</v>
      </c>
      <c r="L22" s="81">
        <f t="shared" si="7"/>
        <v>11.200709687934696</v>
      </c>
      <c r="M22" s="81">
        <f t="shared" si="7"/>
        <v>11.200054725363623</v>
      </c>
      <c r="N22" s="81">
        <f t="shared" si="7"/>
        <v>11.200050200649486</v>
      </c>
      <c r="O22" s="81">
        <f t="shared" si="7"/>
        <v>11.20010630856403</v>
      </c>
    </row>
    <row r="23" spans="1:15" ht="12.75">
      <c r="A23" t="s">
        <v>40</v>
      </c>
      <c r="C23" s="33">
        <f>SUM(D23:O23)</f>
        <v>19388379.33532715</v>
      </c>
      <c r="D23" s="34">
        <f>Aurora!B24*1000</f>
        <v>1742393.5302734375</v>
      </c>
      <c r="E23" s="34">
        <f>Aurora!C24*1000</f>
        <v>1600132.568359375</v>
      </c>
      <c r="F23" s="34">
        <f>Aurora!D24*1000</f>
        <v>1705440.6762695312</v>
      </c>
      <c r="G23" s="34">
        <f>Aurora!E24*1000</f>
        <v>1411353.7451171875</v>
      </c>
      <c r="H23" s="34">
        <f>Aurora!F24*1000</f>
        <v>1189358.9166259766</v>
      </c>
      <c r="I23" s="34">
        <f>Aurora!G24*1000</f>
        <v>1307345.5749511719</v>
      </c>
      <c r="J23" s="34">
        <f>Aurora!H24*1000</f>
        <v>1733784.1491699219</v>
      </c>
      <c r="K23" s="34">
        <f>Aurora!I24*1000</f>
        <v>1771054.0295410156</v>
      </c>
      <c r="L23" s="34">
        <f>Aurora!J24*1000</f>
        <v>1712917.91015625</v>
      </c>
      <c r="M23" s="34">
        <f>Aurora!K24*1000</f>
        <v>1757215.5603027344</v>
      </c>
      <c r="N23" s="34">
        <f>Aurora!L24*1000</f>
        <v>1714427.734375</v>
      </c>
      <c r="O23" s="34">
        <f>Aurora!M24*1000</f>
        <v>1742954.9401855469</v>
      </c>
    </row>
    <row r="24" ht="12.75">
      <c r="C24" s="31"/>
    </row>
    <row r="25" spans="1:16" s="3" customFormat="1" ht="12.75">
      <c r="A25" s="3" t="s">
        <v>41</v>
      </c>
      <c r="C25" s="29">
        <f>SUM(D25:O25)</f>
        <v>333535.7036853027</v>
      </c>
      <c r="D25" s="3">
        <f>Aurora!B8*1000</f>
        <v>32105.228339843747</v>
      </c>
      <c r="E25" s="3">
        <f>Aurora!C8*1000</f>
        <v>31147.544570312497</v>
      </c>
      <c r="F25" s="3">
        <f>Aurora!D8*1000</f>
        <v>33990.827208251954</v>
      </c>
      <c r="G25" s="3">
        <f>Aurora!E8*1000</f>
        <v>32251.576289062497</v>
      </c>
      <c r="H25" s="3">
        <f>Aurora!F8*1000</f>
        <v>1116.1830786132812</v>
      </c>
      <c r="I25" s="3">
        <f>Aurora!G8*1000</f>
        <v>0</v>
      </c>
      <c r="J25" s="3">
        <f>Aurora!H8*1000</f>
        <v>31754.14736328125</v>
      </c>
      <c r="K25" s="3">
        <f>Aurora!I8*1000</f>
        <v>34775.245859375</v>
      </c>
      <c r="L25" s="3">
        <f>Aurora!J8*1000</f>
        <v>33087.858789062506</v>
      </c>
      <c r="M25" s="3">
        <f>Aurora!K8*1000</f>
        <v>34952.345546874996</v>
      </c>
      <c r="N25" s="3">
        <f>Aurora!L8*1000</f>
        <v>33887.10734375</v>
      </c>
      <c r="O25" s="3">
        <f>Aurora!M8*1000</f>
        <v>34467.639296875</v>
      </c>
      <c r="P25" s="3">
        <f>C25/8760</f>
        <v>38.07485201887017</v>
      </c>
    </row>
    <row r="26" spans="1:15" ht="12.75">
      <c r="A26" s="3" t="s">
        <v>114</v>
      </c>
      <c r="C26" s="77">
        <f aca="true" t="shared" si="8" ref="C26:O26">C27/C25</f>
        <v>35.410738532128775</v>
      </c>
      <c r="D26" s="81">
        <f>D27/D25</f>
        <v>35.59380460808245</v>
      </c>
      <c r="E26" s="81">
        <f t="shared" si="8"/>
        <v>35.36907022238051</v>
      </c>
      <c r="F26" s="81">
        <f t="shared" si="8"/>
        <v>35.35367629314852</v>
      </c>
      <c r="G26" s="81">
        <f t="shared" si="8"/>
        <v>35.51523287313211</v>
      </c>
      <c r="H26" s="81">
        <f t="shared" si="8"/>
        <v>36.41650929306112</v>
      </c>
      <c r="I26" s="81"/>
      <c r="J26" s="81">
        <f t="shared" si="8"/>
        <v>35.588231951670906</v>
      </c>
      <c r="K26" s="81">
        <f t="shared" si="8"/>
        <v>35.32232866279138</v>
      </c>
      <c r="L26" s="81">
        <f t="shared" si="8"/>
        <v>35.387293913457924</v>
      </c>
      <c r="M26" s="81">
        <f t="shared" si="8"/>
        <v>35.30380149425013</v>
      </c>
      <c r="N26" s="81">
        <f t="shared" si="8"/>
        <v>35.29903649300861</v>
      </c>
      <c r="O26" s="81">
        <f t="shared" si="8"/>
        <v>35.370247300103955</v>
      </c>
    </row>
    <row r="27" spans="1:15" ht="12.75">
      <c r="A27" t="s">
        <v>42</v>
      </c>
      <c r="C27" s="33">
        <f>SUM(D27:O27)</f>
        <v>11810745.594329834</v>
      </c>
      <c r="D27" s="35">
        <f>Aurora!B26*1000</f>
        <v>1142747.2244262695</v>
      </c>
      <c r="E27" s="35">
        <f>Aurora!C26*1000</f>
        <v>1101659.6911621094</v>
      </c>
      <c r="F27" s="35">
        <f>Aurora!D26*1000</f>
        <v>1201700.7020568848</v>
      </c>
      <c r="G27" s="35">
        <f>Aurora!E26*1000</f>
        <v>1145422.2424316406</v>
      </c>
      <c r="H27" s="35">
        <f>Aurora!F26*1000</f>
        <v>40647.491455078125</v>
      </c>
      <c r="I27" s="35">
        <f>Aurora!G26*1000</f>
        <v>0</v>
      </c>
      <c r="J27" s="35">
        <f>Aurora!H26*1000</f>
        <v>1130073.9617919922</v>
      </c>
      <c r="K27" s="35">
        <f>Aurora!I26*1000</f>
        <v>1228342.6635742188</v>
      </c>
      <c r="L27" s="35">
        <f>Aurora!J26*1000</f>
        <v>1170889.7839355469</v>
      </c>
      <c r="M27" s="35">
        <f>Aurora!K26*1000</f>
        <v>1233950.6689453125</v>
      </c>
      <c r="N27" s="35">
        <f>Aurora!L26*1000</f>
        <v>1196182.2387695312</v>
      </c>
      <c r="O27" s="35">
        <f>Aurora!M26*1000</f>
        <v>1219128.92578125</v>
      </c>
    </row>
    <row r="28" spans="3:15" ht="12.75">
      <c r="C28" s="8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6" ht="12.75">
      <c r="A29" t="s">
        <v>101</v>
      </c>
      <c r="C29" s="29">
        <f>SUM(D29:O29)</f>
        <v>1298463.2883251952</v>
      </c>
      <c r="D29" s="3">
        <f>Aurora!B7*1000</f>
        <v>77240.77157226563</v>
      </c>
      <c r="E29" s="3">
        <f>Aurora!C7*1000</f>
        <v>88734.6940234375</v>
      </c>
      <c r="F29" s="3">
        <f>Aurora!D7*1000</f>
        <v>84547.75654296875</v>
      </c>
      <c r="G29" s="3">
        <f>Aurora!E7*1000</f>
        <v>67292.26541015625</v>
      </c>
      <c r="H29" s="3">
        <f>Aurora!F7*1000</f>
        <v>46935.35912109375</v>
      </c>
      <c r="I29" s="3">
        <f>Aurora!G7*1000</f>
        <v>51172.129438476564</v>
      </c>
      <c r="J29" s="3">
        <f>Aurora!H7*1000</f>
        <v>120158.0776953125</v>
      </c>
      <c r="K29" s="3">
        <f>Aurora!I7*1000</f>
        <v>166227.50703125002</v>
      </c>
      <c r="L29" s="3">
        <f>Aurora!J7*1000</f>
        <v>159887.078125</v>
      </c>
      <c r="M29" s="3">
        <f>Aurora!K7*1000</f>
        <v>153863.7424609375</v>
      </c>
      <c r="N29" s="3">
        <f>Aurora!L7*1000</f>
        <v>159239.9075</v>
      </c>
      <c r="O29" s="3">
        <f>Aurora!M7*1000</f>
        <v>123163.99940429686</v>
      </c>
      <c r="P29" s="3">
        <f>C29/8760</f>
        <v>148.22640277684877</v>
      </c>
    </row>
    <row r="30" spans="1:15" ht="12.75">
      <c r="A30" t="s">
        <v>112</v>
      </c>
      <c r="C30" s="77">
        <f>C31/C29</f>
        <v>53.4455694810038</v>
      </c>
      <c r="D30" s="81">
        <f>D31/D29</f>
        <v>58.32594427687433</v>
      </c>
      <c r="E30" s="81">
        <f aca="true" t="shared" si="9" ref="E30:O30">E31/E29</f>
        <v>57.968343415767016</v>
      </c>
      <c r="F30" s="81">
        <f t="shared" si="9"/>
        <v>56.53634027657756</v>
      </c>
      <c r="G30" s="81">
        <f t="shared" si="9"/>
        <v>50.63223464337368</v>
      </c>
      <c r="H30" s="81">
        <f t="shared" si="9"/>
        <v>50.32747914970244</v>
      </c>
      <c r="I30" s="81">
        <f t="shared" si="9"/>
        <v>51.21697407253029</v>
      </c>
      <c r="J30" s="81">
        <f t="shared" si="9"/>
        <v>51.776287495871436</v>
      </c>
      <c r="K30" s="81">
        <f t="shared" si="9"/>
        <v>51.53837402206486</v>
      </c>
      <c r="L30" s="81">
        <f t="shared" si="9"/>
        <v>51.43771799561348</v>
      </c>
      <c r="M30" s="81">
        <f t="shared" si="9"/>
        <v>51.791634189213696</v>
      </c>
      <c r="N30" s="81">
        <f t="shared" si="9"/>
        <v>54.003022107799424</v>
      </c>
      <c r="O30" s="81">
        <f t="shared" si="9"/>
        <v>56.81055651754527</v>
      </c>
    </row>
    <row r="31" spans="1:15" ht="12.75">
      <c r="A31" t="s">
        <v>99</v>
      </c>
      <c r="C31" s="33">
        <f>SUM(D31:O31)</f>
        <v>69397109.89471689</v>
      </c>
      <c r="D31" s="27">
        <f>Aurora!B25*1000</f>
        <v>4505140.938626744</v>
      </c>
      <c r="E31" s="27">
        <f>Aurora!C25*1000</f>
        <v>5143803.216043634</v>
      </c>
      <c r="F31" s="27">
        <f>Aurora!D25*1000</f>
        <v>4780020.733534519</v>
      </c>
      <c r="G31" s="27">
        <f>Aurora!E25*1000</f>
        <v>3407157.7719312096</v>
      </c>
      <c r="H31" s="27">
        <f>Aurora!F25*1000</f>
        <v>2362138.307550642</v>
      </c>
      <c r="I31" s="27">
        <f>Aurora!G25*1000</f>
        <v>2620881.626686618</v>
      </c>
      <c r="J31" s="27">
        <f>Aurora!H25*1000</f>
        <v>6221339.175703757</v>
      </c>
      <c r="K31" s="27">
        <f>Aurora!I25*1000</f>
        <v>8567095.43013198</v>
      </c>
      <c r="L31" s="27">
        <f>Aurora!J25*1000</f>
        <v>8224226.435736371</v>
      </c>
      <c r="M31" s="27">
        <f>Aurora!K25*1000</f>
        <v>7968854.664520262</v>
      </c>
      <c r="N31" s="27">
        <f>Aurora!L25*1000</f>
        <v>8599436.245166436</v>
      </c>
      <c r="O31" s="27">
        <f>Aurora!M25*1000</f>
        <v>6997015.349084719</v>
      </c>
    </row>
    <row r="32" spans="3:15" ht="12.75"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7" ht="12.75">
      <c r="A33" t="s">
        <v>66</v>
      </c>
      <c r="C33" s="29">
        <f>SUM(D33:O33)</f>
        <v>6482.725772018917</v>
      </c>
      <c r="D33" s="3">
        <f>Aurora!B5*1000</f>
        <v>173.21128624916076</v>
      </c>
      <c r="E33" s="3">
        <f>Aurora!C5*1000</f>
        <v>245.78314125061036</v>
      </c>
      <c r="F33" s="3">
        <f>Aurora!D5*1000</f>
        <v>81.80384307861328</v>
      </c>
      <c r="G33" s="3">
        <f>Aurora!E5*1000</f>
        <v>535.4281749761104</v>
      </c>
      <c r="H33" s="3">
        <f>Aurora!F5*1000</f>
        <v>522.1768969345093</v>
      </c>
      <c r="I33" s="3">
        <f>Aurora!G5*1000</f>
        <v>185.3327045059204</v>
      </c>
      <c r="J33" s="3">
        <f>Aurora!H5*1000</f>
        <v>1232.8720899319649</v>
      </c>
      <c r="K33" s="3">
        <f>Aurora!I5*1000</f>
        <v>1797.781164550781</v>
      </c>
      <c r="L33" s="3">
        <f>Aurora!J5*1000</f>
        <v>1368.4268360900878</v>
      </c>
      <c r="M33" s="3">
        <f>Aurora!K5*1000</f>
        <v>169.56906057357787</v>
      </c>
      <c r="N33" s="3">
        <f>Aurora!L5*1000</f>
        <v>86.15806516576558</v>
      </c>
      <c r="O33" s="3">
        <f>Aurora!M5*1000</f>
        <v>84.18250871181488</v>
      </c>
      <c r="P33" s="3">
        <f>C33/8760</f>
        <v>0.7400371885866344</v>
      </c>
      <c r="Q33" s="92">
        <f>SUM(P33:P45)</f>
        <v>3.104146063604639</v>
      </c>
    </row>
    <row r="34" spans="1:15" ht="12.75">
      <c r="A34" t="s">
        <v>113</v>
      </c>
      <c r="C34" s="77">
        <f>C35/C33</f>
        <v>72.21652410261183</v>
      </c>
      <c r="D34" s="81">
        <f>IF(D33&gt;0,D35/D33,"")</f>
        <v>79.78669119459886</v>
      </c>
      <c r="E34" s="81">
        <f aca="true" t="shared" si="10" ref="E34:O34">IF(E33&gt;0,E35/E33,"")</f>
        <v>80.85891582808388</v>
      </c>
      <c r="F34" s="81">
        <f t="shared" si="10"/>
        <v>80.3640645652899</v>
      </c>
      <c r="G34" s="81">
        <f t="shared" si="10"/>
        <v>70.34038520904213</v>
      </c>
      <c r="H34" s="81">
        <f t="shared" si="10"/>
        <v>69.78817923134581</v>
      </c>
      <c r="I34" s="81">
        <f t="shared" si="10"/>
        <v>69.05173360034763</v>
      </c>
      <c r="J34" s="81">
        <f t="shared" si="10"/>
        <v>71.35633770810408</v>
      </c>
      <c r="K34" s="81">
        <f t="shared" si="10"/>
        <v>71.99259930112827</v>
      </c>
      <c r="L34" s="81">
        <f t="shared" si="10"/>
        <v>71.65953690220454</v>
      </c>
      <c r="M34" s="81">
        <f t="shared" si="10"/>
        <v>71.78815433030566</v>
      </c>
      <c r="N34" s="81">
        <f t="shared" si="10"/>
        <v>75.64057025490814</v>
      </c>
      <c r="O34" s="81">
        <f t="shared" si="10"/>
        <v>81.24574656462983</v>
      </c>
    </row>
    <row r="35" spans="1:15" ht="12.75">
      <c r="A35" t="s">
        <v>65</v>
      </c>
      <c r="C35" s="33">
        <f>SUM(D35:O35)</f>
        <v>468159.921965627</v>
      </c>
      <c r="D35" s="27">
        <f>Aurora!B23*1000</f>
        <v>13819.955407381058</v>
      </c>
      <c r="E35" s="27">
        <f>Aurora!C23*1000</f>
        <v>19873.758330345154</v>
      </c>
      <c r="F35" s="27">
        <f>Aurora!D23*1000</f>
        <v>6574.0893268585205</v>
      </c>
      <c r="G35" s="27">
        <f>Aurora!E23*1000</f>
        <v>37662.224079594016</v>
      </c>
      <c r="H35" s="27">
        <f>Aurora!F23*1000</f>
        <v>36441.77487373352</v>
      </c>
      <c r="I35" s="27">
        <f>Aurora!G23*1000</f>
        <v>12797.544538974762</v>
      </c>
      <c r="J35" s="27">
        <f>Aurora!H23*1000</f>
        <v>87973.23720008135</v>
      </c>
      <c r="K35" s="27">
        <f>Aurora!I23*1000</f>
        <v>129426.93901062012</v>
      </c>
      <c r="L35" s="27">
        <f>Aurora!J23*1000</f>
        <v>98060.83335876465</v>
      </c>
      <c r="M35" s="27">
        <f>Aurora!K23*1000</f>
        <v>12173.049890100956</v>
      </c>
      <c r="N35" s="27">
        <f>Aurora!L23*1000</f>
        <v>6517.045181198046</v>
      </c>
      <c r="O35" s="27">
        <f>Aurora!M23*1000</f>
        <v>6839.4707679748535</v>
      </c>
    </row>
    <row r="36" spans="3:15" ht="12.75"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6" ht="12.75">
      <c r="A37" t="s">
        <v>68</v>
      </c>
      <c r="C37" s="29">
        <f>SUM(D37:O37)</f>
        <v>4999.742525675297</v>
      </c>
      <c r="D37" s="3">
        <f>Aurora!B9*1000</f>
        <v>119.88810748577117</v>
      </c>
      <c r="E37" s="3">
        <f>Aurora!C9*1000</f>
        <v>140.7198333323002</v>
      </c>
      <c r="F37" s="3">
        <f>Aurora!D9*1000</f>
        <v>115.42447954416275</v>
      </c>
      <c r="G37" s="3">
        <f>Aurora!E9*1000</f>
        <v>287.3903931844235</v>
      </c>
      <c r="H37" s="3">
        <f>Aurora!F9*1000</f>
        <v>306.75664823293687</v>
      </c>
      <c r="I37" s="3">
        <f>Aurora!G9*1000</f>
        <v>177.51927665233612</v>
      </c>
      <c r="J37" s="3">
        <f>Aurora!H9*1000</f>
        <v>857.277319393158</v>
      </c>
      <c r="K37" s="3">
        <f>Aurora!I9*1000</f>
        <v>1288.7663159179688</v>
      </c>
      <c r="L37" s="3">
        <f>Aurora!J9*1000</f>
        <v>1080.5489831542968</v>
      </c>
      <c r="M37" s="3">
        <f>Aurora!K9*1000</f>
        <v>257.48422117233275</v>
      </c>
      <c r="N37" s="3">
        <f>Aurora!L9*1000</f>
        <v>241.02931575775145</v>
      </c>
      <c r="O37" s="3">
        <f>Aurora!M9*1000</f>
        <v>126.93763184785841</v>
      </c>
      <c r="P37" s="3">
        <f>C37/8760</f>
        <v>0.5707468636615636</v>
      </c>
    </row>
    <row r="38" spans="1:15" ht="12.75">
      <c r="A38" t="s">
        <v>116</v>
      </c>
      <c r="C38" s="77">
        <f>C39/C37</f>
        <v>70.71092082041855</v>
      </c>
      <c r="D38" s="81">
        <f aca="true" t="shared" si="11" ref="D38:O38">IF(D37&gt;0,D39/D37,"")</f>
        <v>77.87895162313895</v>
      </c>
      <c r="E38" s="81">
        <f t="shared" si="11"/>
        <v>78.96124424710844</v>
      </c>
      <c r="F38" s="81">
        <f t="shared" si="11"/>
        <v>78.03640006552023</v>
      </c>
      <c r="G38" s="81">
        <f t="shared" si="11"/>
        <v>68.70124503291203</v>
      </c>
      <c r="H38" s="81">
        <f t="shared" si="11"/>
        <v>68.1599414094446</v>
      </c>
      <c r="I38" s="81">
        <f t="shared" si="11"/>
        <v>68.01247586939269</v>
      </c>
      <c r="J38" s="81">
        <f t="shared" si="11"/>
        <v>69.6015908213322</v>
      </c>
      <c r="K38" s="81">
        <f t="shared" si="11"/>
        <v>70.06663988728921</v>
      </c>
      <c r="L38" s="81">
        <f t="shared" si="11"/>
        <v>69.97814367647955</v>
      </c>
      <c r="M38" s="81">
        <f t="shared" si="11"/>
        <v>69.32653203342198</v>
      </c>
      <c r="N38" s="81">
        <f t="shared" si="11"/>
        <v>74.23760583625935</v>
      </c>
      <c r="O38" s="81">
        <f t="shared" si="11"/>
        <v>79.00466616244965</v>
      </c>
    </row>
    <row r="39" spans="1:15" ht="12.75">
      <c r="A39" t="s">
        <v>67</v>
      </c>
      <c r="C39" s="33">
        <f>SUM(D39:O39)</f>
        <v>353536.39785550535</v>
      </c>
      <c r="D39" s="27">
        <f>Aurora!B27*1000</f>
        <v>9336.760123074055</v>
      </c>
      <c r="E39" s="27">
        <f>Aurora!C27*1000</f>
        <v>11111.413130164146</v>
      </c>
      <c r="F39" s="27">
        <f>Aurora!D27*1000</f>
        <v>9007.31086306274</v>
      </c>
      <c r="G39" s="27">
        <f>Aurora!E27*1000</f>
        <v>19744.07782226801</v>
      </c>
      <c r="H39" s="27">
        <f>Aurora!F27*1000</f>
        <v>20908.515170514584</v>
      </c>
      <c r="I39" s="27">
        <f>Aurora!G27*1000</f>
        <v>12073.525519669056</v>
      </c>
      <c r="J39" s="27">
        <f>Aurora!H27*1000</f>
        <v>59667.865204811096</v>
      </c>
      <c r="K39" s="27">
        <f>Aurora!I27*1000</f>
        <v>90299.52535629272</v>
      </c>
      <c r="L39" s="27">
        <f>Aurora!J27*1000</f>
        <v>75614.81199264526</v>
      </c>
      <c r="M39" s="27">
        <f>Aurora!K27*1000</f>
        <v>17850.488107204437</v>
      </c>
      <c r="N39" s="27">
        <f>Aurora!L27*1000</f>
        <v>17893.439338207245</v>
      </c>
      <c r="O39" s="27">
        <f>Aurora!M27*1000</f>
        <v>10028.665227591991</v>
      </c>
    </row>
    <row r="40" spans="3:15" ht="12.75"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6" ht="12.75">
      <c r="A41" t="s">
        <v>43</v>
      </c>
      <c r="C41" s="29">
        <f>SUM(D41:O41)</f>
        <v>15709.851219482422</v>
      </c>
      <c r="D41" s="3">
        <f>Aurora!B11*1000</f>
        <v>0</v>
      </c>
      <c r="E41" s="3">
        <f>Aurora!C11*1000</f>
        <v>31.854943847656255</v>
      </c>
      <c r="F41" s="3">
        <f>Aurora!D11*1000</f>
        <v>0</v>
      </c>
      <c r="G41" s="3">
        <f>Aurora!E11*1000</f>
        <v>64.29843383789061</v>
      </c>
      <c r="H41" s="3">
        <f>Aurora!F11*1000</f>
        <v>222.65021728515626</v>
      </c>
      <c r="I41" s="3">
        <f>Aurora!G11*1000</f>
        <v>89.16442016601563</v>
      </c>
      <c r="J41" s="3">
        <f>Aurora!H11*1000</f>
        <v>6645.39064453125</v>
      </c>
      <c r="K41" s="3">
        <f>Aurora!I11*1000</f>
        <v>7653.76405517578</v>
      </c>
      <c r="L41" s="3">
        <f>Aurora!J11*1000</f>
        <v>465.4647399902344</v>
      </c>
      <c r="M41" s="3">
        <f>Aurora!K11*1000</f>
        <v>494.2264843749999</v>
      </c>
      <c r="N41" s="3">
        <f>Aurora!L11*1000</f>
        <v>43.037280273437496</v>
      </c>
      <c r="O41" s="3">
        <f>Aurora!M11*1000</f>
        <v>0</v>
      </c>
      <c r="P41" s="3">
        <f>C41/8760</f>
        <v>1.7933620113564408</v>
      </c>
    </row>
    <row r="42" spans="1:15" ht="12.75">
      <c r="A42" t="s">
        <v>110</v>
      </c>
      <c r="C42" s="77">
        <f>C43/C41</f>
        <v>87.37487624158882</v>
      </c>
      <c r="D42" s="81">
        <f aca="true" t="shared" si="12" ref="D42:O42">IF(D41&gt;0,D43/D41,"")</f>
      </c>
      <c r="E42" s="81">
        <f t="shared" si="12"/>
        <v>97.98593209498776</v>
      </c>
      <c r="F42" s="81">
        <f t="shared" si="12"/>
      </c>
      <c r="G42" s="81">
        <f t="shared" si="12"/>
        <v>85.48621818232424</v>
      </c>
      <c r="H42" s="81">
        <f t="shared" si="12"/>
        <v>84.70073412021942</v>
      </c>
      <c r="I42" s="81">
        <f t="shared" si="12"/>
        <v>81.05742988632814</v>
      </c>
      <c r="J42" s="81">
        <f t="shared" si="12"/>
        <v>86.92491274124258</v>
      </c>
      <c r="K42" s="81">
        <f t="shared" si="12"/>
        <v>88.30526906396285</v>
      </c>
      <c r="L42" s="81">
        <f t="shared" si="12"/>
        <v>87.22351684251433</v>
      </c>
      <c r="M42" s="81">
        <f t="shared" si="12"/>
        <v>80.51950736148771</v>
      </c>
      <c r="N42" s="81">
        <f t="shared" si="12"/>
        <v>93.6449367400969</v>
      </c>
      <c r="O42" s="81">
        <f t="shared" si="12"/>
      </c>
    </row>
    <row r="43" spans="1:15" ht="12.75">
      <c r="A43" t="s">
        <v>44</v>
      </c>
      <c r="C43" s="33">
        <f>SUM(D43:O43)</f>
        <v>1372646.3060760498</v>
      </c>
      <c r="D43" s="27">
        <f>Aurora!B29*1000</f>
        <v>0</v>
      </c>
      <c r="E43" s="27">
        <f>Aurora!C29*1000</f>
        <v>3121.3363647460938</v>
      </c>
      <c r="F43" s="27">
        <f>Aurora!D29*1000</f>
        <v>0</v>
      </c>
      <c r="G43" s="27">
        <f>Aurora!E29*1000</f>
        <v>5496.629943847656</v>
      </c>
      <c r="H43" s="27">
        <f>Aurora!F29*1000</f>
        <v>18858.6368560791</v>
      </c>
      <c r="I43" s="27">
        <f>Aurora!G29*1000</f>
        <v>7227.438735961914</v>
      </c>
      <c r="J43" s="27">
        <f>Aurora!H29*1000</f>
        <v>577650.0019073486</v>
      </c>
      <c r="K43" s="27">
        <f>Aurora!I29*1000</f>
        <v>675867.6942443848</v>
      </c>
      <c r="L43" s="27">
        <f>Aurora!J29*1000</f>
        <v>40599.471588134766</v>
      </c>
      <c r="M43" s="27">
        <f>Aurora!K29*1000</f>
        <v>39794.873046875</v>
      </c>
      <c r="N43" s="27">
        <f>Aurora!L29*1000</f>
        <v>4030.2233886718745</v>
      </c>
      <c r="O43" s="27">
        <f>Aurora!M29*1000</f>
        <v>0</v>
      </c>
    </row>
    <row r="44" spans="3:15" ht="12.75">
      <c r="C44" s="41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6" ht="12.75">
      <c r="A45" t="s">
        <v>48</v>
      </c>
      <c r="C45" s="29">
        <f>SUM(D45:O45)</f>
        <v>0</v>
      </c>
      <c r="D45" s="3">
        <f>Aurora!B10*1000</f>
        <v>0</v>
      </c>
      <c r="E45" s="3">
        <f>Aurora!C10*1000</f>
        <v>0</v>
      </c>
      <c r="F45" s="3">
        <f>Aurora!D10*1000</f>
        <v>0</v>
      </c>
      <c r="G45" s="3">
        <f>Aurora!E10*1000</f>
        <v>0</v>
      </c>
      <c r="H45" s="3">
        <f>Aurora!F10*1000</f>
        <v>0</v>
      </c>
      <c r="I45" s="3">
        <f>Aurora!G10*1000</f>
        <v>0</v>
      </c>
      <c r="J45" s="3">
        <f>Aurora!H10*1000</f>
        <v>0</v>
      </c>
      <c r="K45" s="3">
        <f>Aurora!I10*1000</f>
        <v>0</v>
      </c>
      <c r="L45" s="3">
        <f>Aurora!J10*1000</f>
        <v>0</v>
      </c>
      <c r="M45" s="3">
        <f>Aurora!K10*1000</f>
        <v>0</v>
      </c>
      <c r="N45" s="3">
        <f>Aurora!L10*1000</f>
        <v>0</v>
      </c>
      <c r="O45" s="3">
        <f>Aurora!M10*1000</f>
        <v>0</v>
      </c>
      <c r="P45" s="3">
        <f>C45/8760</f>
        <v>0</v>
      </c>
    </row>
    <row r="46" spans="1:15" ht="12.75">
      <c r="A46" t="s">
        <v>111</v>
      </c>
      <c r="C46" s="77" t="e">
        <f>C47/C45</f>
        <v>#DIV/0!</v>
      </c>
      <c r="D46" s="81">
        <f aca="true" t="shared" si="13" ref="D46:O46">IF(D45&gt;0,D47/D45,"")</f>
      </c>
      <c r="E46" s="81">
        <f t="shared" si="13"/>
      </c>
      <c r="F46" s="81">
        <f t="shared" si="13"/>
      </c>
      <c r="G46" s="81">
        <f t="shared" si="13"/>
      </c>
      <c r="H46" s="81">
        <f t="shared" si="13"/>
      </c>
      <c r="I46" s="81">
        <f t="shared" si="13"/>
      </c>
      <c r="J46" s="81">
        <f t="shared" si="13"/>
      </c>
      <c r="K46" s="81">
        <f t="shared" si="13"/>
      </c>
      <c r="L46" s="81">
        <f t="shared" si="13"/>
      </c>
      <c r="M46" s="81">
        <f t="shared" si="13"/>
      </c>
      <c r="N46" s="81">
        <f t="shared" si="13"/>
      </c>
      <c r="O46" s="81">
        <f t="shared" si="13"/>
      </c>
    </row>
    <row r="47" spans="1:15" ht="12.75">
      <c r="A47" t="s">
        <v>49</v>
      </c>
      <c r="C47" s="33">
        <f>SUM(D47:O47)</f>
        <v>0</v>
      </c>
      <c r="D47" s="27">
        <f>Aurora!B28*1000</f>
        <v>0</v>
      </c>
      <c r="E47" s="27">
        <f>Aurora!C28*1000</f>
        <v>0</v>
      </c>
      <c r="F47" s="27">
        <f>Aurora!D28*1000</f>
        <v>0</v>
      </c>
      <c r="G47" s="27">
        <f>Aurora!E28*1000</f>
        <v>0</v>
      </c>
      <c r="H47" s="27">
        <f>Aurora!F28*1000</f>
        <v>0</v>
      </c>
      <c r="I47" s="27">
        <f>Aurora!G28*1000</f>
        <v>0</v>
      </c>
      <c r="J47" s="27">
        <f>Aurora!H28*1000</f>
        <v>0</v>
      </c>
      <c r="K47" s="27">
        <f>Aurora!I28*1000</f>
        <v>0</v>
      </c>
      <c r="L47" s="27">
        <f>Aurora!J28*1000</f>
        <v>0</v>
      </c>
      <c r="M47" s="27">
        <f>Aurora!K28*1000</f>
        <v>0</v>
      </c>
      <c r="N47" s="27">
        <f>Aurora!L28*1000</f>
        <v>0</v>
      </c>
      <c r="O47" s="27">
        <f>Aurora!M28*1000</f>
        <v>0</v>
      </c>
    </row>
    <row r="48" spans="3:15" ht="12.75"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2.75">
      <c r="A49" t="s">
        <v>45</v>
      </c>
      <c r="C49" s="56">
        <f>SUM(D49:O49)</f>
        <v>102790577.45027106</v>
      </c>
      <c r="D49" s="35">
        <f aca="true" t="shared" si="14" ref="D49:O49">D23+D27+D31+D35+D39+D43+D47</f>
        <v>7413438.408856906</v>
      </c>
      <c r="E49" s="35">
        <f t="shared" si="14"/>
        <v>7879701.983390374</v>
      </c>
      <c r="F49" s="35">
        <f t="shared" si="14"/>
        <v>7702743.512050856</v>
      </c>
      <c r="G49" s="35">
        <f t="shared" si="14"/>
        <v>6026836.691325747</v>
      </c>
      <c r="H49" s="35">
        <f t="shared" si="14"/>
        <v>3668353.642532024</v>
      </c>
      <c r="I49" s="35">
        <f t="shared" si="14"/>
        <v>3960325.710432396</v>
      </c>
      <c r="J49" s="35">
        <f t="shared" si="14"/>
        <v>9810488.390977912</v>
      </c>
      <c r="K49" s="35">
        <f t="shared" si="14"/>
        <v>12462086.281858511</v>
      </c>
      <c r="L49" s="35">
        <f t="shared" si="14"/>
        <v>11322309.246767713</v>
      </c>
      <c r="M49" s="35">
        <f t="shared" si="14"/>
        <v>11029839.30481249</v>
      </c>
      <c r="N49" s="35">
        <f t="shared" si="14"/>
        <v>11538486.926219044</v>
      </c>
      <c r="O49" s="35">
        <f t="shared" si="14"/>
        <v>9975967.351047084</v>
      </c>
    </row>
    <row r="50" spans="3:9" ht="12.75">
      <c r="C50" s="27"/>
      <c r="D50" s="27"/>
      <c r="E50" s="27"/>
      <c r="F50" s="27"/>
      <c r="G50" s="27"/>
      <c r="H50" s="27"/>
      <c r="I50" s="27"/>
    </row>
    <row r="51" spans="1:3" s="12" customFormat="1" ht="12.75">
      <c r="A51" s="37" t="s">
        <v>100</v>
      </c>
      <c r="B51" s="38"/>
      <c r="C51" s="75">
        <f>C49+C13+C9</f>
        <v>98016916.24804896</v>
      </c>
    </row>
    <row r="52" spans="1:9" s="12" customFormat="1" ht="12.75">
      <c r="A52" s="9"/>
      <c r="C52" s="39"/>
      <c r="D52" s="39"/>
      <c r="E52" s="39"/>
      <c r="F52" s="39"/>
      <c r="G52" s="39"/>
      <c r="H52" s="39"/>
      <c r="I52" s="39"/>
    </row>
  </sheetData>
  <sheetProtection/>
  <printOptions/>
  <pageMargins left="0.5" right="0.5" top="1" bottom="1" header="0.5" footer="0.5"/>
  <pageSetup fitToHeight="1" fitToWidth="1" horizontalDpi="600" verticalDpi="600" orientation="landscape" scale="59" r:id="rId1"/>
  <headerFooter alignWithMargins="0">
    <oddHeader>&amp;R&amp;"Geneva,Bold"&amp;12Exhibit No. ____ (WGJ-4)</oddHeader>
    <oddFooter xml:space="preserve">&amp;RPage 1 of 1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1">
      <pane xSplit="4470" ySplit="825" topLeftCell="A1" activePane="bottomRight" state="split"/>
      <selection pane="topLeft" activeCell="B2" sqref="B2"/>
      <selection pane="topRight" activeCell="K1" sqref="K1"/>
      <selection pane="bottomLeft" activeCell="A26" sqref="A26:IV26"/>
      <selection pane="bottomRight" activeCell="B5" sqref="B5:M11"/>
    </sheetView>
  </sheetViews>
  <sheetFormatPr defaultColWidth="9.00390625" defaultRowHeight="12.75"/>
  <cols>
    <col min="1" max="1" width="20.125" style="64" customWidth="1"/>
    <col min="2" max="13" width="9.125" style="64" customWidth="1"/>
    <col min="14" max="14" width="10.25390625" style="66" customWidth="1"/>
    <col min="15" max="15" width="9.25390625" style="64" customWidth="1"/>
    <col min="16" max="16384" width="9.125" style="64" customWidth="1"/>
  </cols>
  <sheetData>
    <row r="1" spans="1:15" ht="16.5" thickBot="1">
      <c r="A1" s="61" t="s">
        <v>74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  <c r="O1" s="62"/>
    </row>
    <row r="2" spans="1:13" ht="12.75">
      <c r="A2" s="65"/>
      <c r="B2" s="74" t="s">
        <v>87</v>
      </c>
      <c r="C2" s="74" t="s">
        <v>88</v>
      </c>
      <c r="D2" s="74" t="s">
        <v>89</v>
      </c>
      <c r="E2" s="74" t="s">
        <v>90</v>
      </c>
      <c r="F2" s="74" t="s">
        <v>91</v>
      </c>
      <c r="G2" s="74" t="s">
        <v>92</v>
      </c>
      <c r="H2" s="74" t="s">
        <v>93</v>
      </c>
      <c r="I2" s="74" t="s">
        <v>94</v>
      </c>
      <c r="J2" s="74" t="s">
        <v>95</v>
      </c>
      <c r="K2" s="74" t="s">
        <v>96</v>
      </c>
      <c r="L2" s="74" t="s">
        <v>97</v>
      </c>
      <c r="M2" s="74" t="s">
        <v>98</v>
      </c>
    </row>
    <row r="3" spans="2:14" ht="12.75">
      <c r="B3" s="67">
        <v>1</v>
      </c>
      <c r="C3" s="67">
        <v>2</v>
      </c>
      <c r="D3" s="67">
        <v>3</v>
      </c>
      <c r="E3" s="67">
        <v>4</v>
      </c>
      <c r="F3" s="67">
        <v>5</v>
      </c>
      <c r="G3" s="67">
        <v>6</v>
      </c>
      <c r="H3" s="67">
        <v>7</v>
      </c>
      <c r="I3" s="67">
        <v>8</v>
      </c>
      <c r="J3" s="67">
        <v>9</v>
      </c>
      <c r="K3" s="67">
        <v>10</v>
      </c>
      <c r="L3" s="67">
        <v>11</v>
      </c>
      <c r="M3" s="67">
        <v>12</v>
      </c>
      <c r="N3" s="68" t="s">
        <v>75</v>
      </c>
    </row>
    <row r="4" spans="1:14" ht="12.75">
      <c r="A4" s="78" t="s">
        <v>76</v>
      </c>
      <c r="N4" s="79" t="s">
        <v>102</v>
      </c>
    </row>
    <row r="5" spans="1:15" ht="12.75">
      <c r="A5" s="69" t="s">
        <v>77</v>
      </c>
      <c r="B5" s="70">
        <v>0.17321128624916077</v>
      </c>
      <c r="C5" s="70">
        <v>0.24578314125061035</v>
      </c>
      <c r="D5" s="70">
        <v>0.08180384307861328</v>
      </c>
      <c r="E5" s="70">
        <v>0.5354281749761104</v>
      </c>
      <c r="F5" s="70">
        <v>0.5221768969345093</v>
      </c>
      <c r="G5" s="70">
        <v>0.18533270450592038</v>
      </c>
      <c r="H5" s="70">
        <v>1.232872089931965</v>
      </c>
      <c r="I5" s="70">
        <v>1.797781164550781</v>
      </c>
      <c r="J5" s="70">
        <v>1.3684268360900878</v>
      </c>
      <c r="K5" s="70">
        <v>0.16956906057357787</v>
      </c>
      <c r="L5" s="70">
        <v>0.08615806516576557</v>
      </c>
      <c r="M5" s="70">
        <v>0.08418250871181487</v>
      </c>
      <c r="N5" s="66">
        <f>SUM(B5:M5)</f>
        <v>6.482725772018917</v>
      </c>
      <c r="O5" s="64">
        <f>N5/8760*1000</f>
        <v>0.7400371885866343</v>
      </c>
    </row>
    <row r="6" spans="1:15" ht="12.75">
      <c r="A6" s="69" t="s">
        <v>27</v>
      </c>
      <c r="B6" s="70">
        <v>155.52360242187498</v>
      </c>
      <c r="C6" s="70">
        <v>142.86834375</v>
      </c>
      <c r="D6" s="70">
        <v>152.22329429687503</v>
      </c>
      <c r="E6" s="70">
        <v>126.01124703125</v>
      </c>
      <c r="F6" s="70">
        <v>105.814968515625</v>
      </c>
      <c r="G6" s="70">
        <v>115.9420378515625</v>
      </c>
      <c r="H6" s="70">
        <v>154.667848203125</v>
      </c>
      <c r="I6" s="70">
        <v>158.125845</v>
      </c>
      <c r="J6" s="70">
        <v>152.92940875</v>
      </c>
      <c r="K6" s="70">
        <v>156.89347984375</v>
      </c>
      <c r="L6" s="70">
        <v>153.07321875</v>
      </c>
      <c r="M6" s="70">
        <v>155.6194996875</v>
      </c>
      <c r="N6" s="66">
        <f aca="true" t="shared" si="0" ref="N6:N11">SUM(B6:M6)</f>
        <v>1729.6927941015624</v>
      </c>
      <c r="O6" s="64">
        <f aca="true" t="shared" si="1" ref="O6:O13">N6/8760*1000</f>
        <v>197.45351530839753</v>
      </c>
    </row>
    <row r="7" spans="1:16" ht="12.75">
      <c r="A7" s="69" t="s">
        <v>78</v>
      </c>
      <c r="B7" s="70">
        <v>77.24077157226563</v>
      </c>
      <c r="C7" s="70">
        <v>88.73469402343751</v>
      </c>
      <c r="D7" s="70">
        <v>84.54775654296876</v>
      </c>
      <c r="E7" s="70">
        <v>67.29226541015625</v>
      </c>
      <c r="F7" s="70">
        <v>46.935359121093754</v>
      </c>
      <c r="G7" s="70">
        <v>51.17212943847657</v>
      </c>
      <c r="H7" s="70">
        <v>120.1580776953125</v>
      </c>
      <c r="I7" s="70">
        <v>166.22750703125</v>
      </c>
      <c r="J7" s="70">
        <v>159.887078125</v>
      </c>
      <c r="K7" s="70">
        <v>153.8637424609375</v>
      </c>
      <c r="L7" s="70">
        <v>159.23990750000002</v>
      </c>
      <c r="M7" s="70">
        <v>123.16399940429686</v>
      </c>
      <c r="N7" s="66">
        <f t="shared" si="0"/>
        <v>1298.4632883251954</v>
      </c>
      <c r="O7" s="64">
        <f t="shared" si="1"/>
        <v>148.2264027768488</v>
      </c>
      <c r="P7" s="64">
        <f>SUM(B7:M7)</f>
        <v>1298.4632883251954</v>
      </c>
    </row>
    <row r="8" spans="1:15" ht="12.75">
      <c r="A8" s="69" t="s">
        <v>25</v>
      </c>
      <c r="B8" s="70">
        <v>32.10522833984375</v>
      </c>
      <c r="C8" s="70">
        <v>31.147544570312498</v>
      </c>
      <c r="D8" s="70">
        <v>33.99082720825196</v>
      </c>
      <c r="E8" s="70">
        <v>32.2515762890625</v>
      </c>
      <c r="F8" s="70">
        <v>1.1161830786132811</v>
      </c>
      <c r="G8" s="70">
        <v>0</v>
      </c>
      <c r="H8" s="70">
        <v>31.75414736328125</v>
      </c>
      <c r="I8" s="70">
        <v>34.775245859375</v>
      </c>
      <c r="J8" s="70">
        <v>33.08785878906251</v>
      </c>
      <c r="K8" s="70">
        <v>34.952345546874994</v>
      </c>
      <c r="L8" s="70">
        <v>33.88710734375</v>
      </c>
      <c r="M8" s="70">
        <v>34.467639296875</v>
      </c>
      <c r="N8" s="66">
        <f t="shared" si="0"/>
        <v>333.53570368530274</v>
      </c>
      <c r="O8" s="64">
        <f t="shared" si="1"/>
        <v>38.074852018870175</v>
      </c>
    </row>
    <row r="9" spans="1:15" ht="12.75">
      <c r="A9" s="69" t="s">
        <v>79</v>
      </c>
      <c r="B9" s="70">
        <v>0.11988810748577117</v>
      </c>
      <c r="C9" s="70">
        <v>0.1407198333323002</v>
      </c>
      <c r="D9" s="70">
        <v>0.11542447954416275</v>
      </c>
      <c r="E9" s="70">
        <v>0.2873903931844235</v>
      </c>
      <c r="F9" s="70">
        <v>0.30675664823293686</v>
      </c>
      <c r="G9" s="70">
        <v>0.1775192766523361</v>
      </c>
      <c r="H9" s="70">
        <v>0.857277319393158</v>
      </c>
      <c r="I9" s="70">
        <v>1.2887663159179688</v>
      </c>
      <c r="J9" s="70">
        <v>1.080548983154297</v>
      </c>
      <c r="K9" s="70">
        <v>0.2574842211723328</v>
      </c>
      <c r="L9" s="70">
        <v>0.24102931575775144</v>
      </c>
      <c r="M9" s="70">
        <v>0.12693763184785842</v>
      </c>
      <c r="N9" s="66">
        <f t="shared" si="0"/>
        <v>4.999742525675297</v>
      </c>
      <c r="O9" s="64">
        <f t="shared" si="1"/>
        <v>0.5707468636615636</v>
      </c>
    </row>
    <row r="10" spans="1:15" ht="12.75">
      <c r="A10" s="69" t="s">
        <v>80</v>
      </c>
      <c r="B10" s="70">
        <v>0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66">
        <f t="shared" si="0"/>
        <v>0</v>
      </c>
      <c r="O10" s="64">
        <f t="shared" si="1"/>
        <v>0</v>
      </c>
    </row>
    <row r="11" spans="1:15" ht="12.75">
      <c r="A11" s="69" t="s">
        <v>81</v>
      </c>
      <c r="B11" s="70">
        <v>0</v>
      </c>
      <c r="C11" s="70">
        <v>0.031854943847656254</v>
      </c>
      <c r="D11" s="70">
        <v>0</v>
      </c>
      <c r="E11" s="70">
        <v>0.0642984338378906</v>
      </c>
      <c r="F11" s="70">
        <v>0.22265021728515627</v>
      </c>
      <c r="G11" s="70">
        <v>0.08916442016601563</v>
      </c>
      <c r="H11" s="70">
        <v>6.64539064453125</v>
      </c>
      <c r="I11" s="70">
        <v>7.65376405517578</v>
      </c>
      <c r="J11" s="70">
        <v>0.4654647399902344</v>
      </c>
      <c r="K11" s="70">
        <v>0.49422648437499994</v>
      </c>
      <c r="L11" s="70">
        <v>0.0430372802734375</v>
      </c>
      <c r="M11" s="70">
        <v>0</v>
      </c>
      <c r="N11" s="66">
        <f t="shared" si="0"/>
        <v>15.709851219482422</v>
      </c>
      <c r="O11" s="64">
        <f t="shared" si="1"/>
        <v>1.793362011356441</v>
      </c>
    </row>
    <row r="12" spans="1:15" ht="12.75">
      <c r="A12" s="69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>
        <f>SUM(N5:N11)</f>
        <v>3388.8841056292376</v>
      </c>
      <c r="O12" s="64">
        <f t="shared" si="1"/>
        <v>386.8589161677212</v>
      </c>
    </row>
    <row r="13" spans="1:15" ht="12.75">
      <c r="A13" s="65" t="s">
        <v>103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  <c r="O13" s="64">
        <f t="shared" si="1"/>
        <v>0</v>
      </c>
    </row>
    <row r="14" spans="1:14" ht="12.75">
      <c r="A14" s="69" t="s">
        <v>77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1"/>
    </row>
    <row r="15" spans="1:14" ht="12.75">
      <c r="A15" s="69" t="s">
        <v>27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</row>
    <row r="16" spans="1:14" ht="12.75">
      <c r="A16" s="69" t="s">
        <v>78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</row>
    <row r="17" spans="1:14" ht="12.75">
      <c r="A17" s="69" t="s">
        <v>25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/>
    </row>
    <row r="18" spans="1:14" ht="12.75">
      <c r="A18" s="69" t="s">
        <v>79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</row>
    <row r="19" spans="1:14" ht="12.75">
      <c r="A19" s="69" t="s">
        <v>80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/>
    </row>
    <row r="20" spans="1:14" ht="12.75">
      <c r="A20" s="69" t="s">
        <v>81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1"/>
    </row>
    <row r="21" spans="1:14" ht="12.75">
      <c r="A21" s="69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2">
        <f>SUM(N14:N20)</f>
        <v>0</v>
      </c>
    </row>
    <row r="22" spans="1:14" ht="12.75">
      <c r="A22" s="78" t="s">
        <v>82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</row>
    <row r="23" spans="1:14" ht="12.75">
      <c r="A23" s="69" t="s">
        <v>77</v>
      </c>
      <c r="B23" s="70">
        <v>13.819955407381057</v>
      </c>
      <c r="C23" s="70">
        <v>19.873758330345154</v>
      </c>
      <c r="D23" s="70">
        <v>6.5740893268585205</v>
      </c>
      <c r="E23" s="70">
        <v>37.66222407959402</v>
      </c>
      <c r="F23" s="70">
        <v>36.44177487373352</v>
      </c>
      <c r="G23" s="70">
        <v>12.797544538974762</v>
      </c>
      <c r="H23" s="70">
        <v>87.97323720008134</v>
      </c>
      <c r="I23" s="70">
        <v>129.42693901062012</v>
      </c>
      <c r="J23" s="70">
        <v>98.06083335876465</v>
      </c>
      <c r="K23" s="70">
        <v>12.173049890100955</v>
      </c>
      <c r="L23" s="70">
        <v>6.517045181198045</v>
      </c>
      <c r="M23" s="70">
        <v>6.839470767974854</v>
      </c>
      <c r="N23" s="71">
        <f>SUM(B23:M23)</f>
        <v>468.159921965627</v>
      </c>
    </row>
    <row r="24" spans="1:14" ht="12.75">
      <c r="A24" s="69" t="s">
        <v>27</v>
      </c>
      <c r="B24" s="70">
        <v>1742.3935302734376</v>
      </c>
      <c r="C24" s="70">
        <v>1600.132568359375</v>
      </c>
      <c r="D24" s="70">
        <v>1705.4406762695312</v>
      </c>
      <c r="E24" s="70">
        <v>1411.3537451171876</v>
      </c>
      <c r="F24" s="70">
        <v>1189.3589166259765</v>
      </c>
      <c r="G24" s="70">
        <v>1307.3455749511718</v>
      </c>
      <c r="H24" s="70">
        <v>1733.7841491699219</v>
      </c>
      <c r="I24" s="70">
        <v>1771.0540295410156</v>
      </c>
      <c r="J24" s="70">
        <v>1712.91791015625</v>
      </c>
      <c r="K24" s="70">
        <v>1757.2155603027343</v>
      </c>
      <c r="L24" s="70">
        <v>1714.427734375</v>
      </c>
      <c r="M24" s="70">
        <v>1742.9549401855468</v>
      </c>
      <c r="N24" s="71">
        <f aca="true" t="shared" si="2" ref="N24:N29">SUM(B24:M24)</f>
        <v>19388.379335327147</v>
      </c>
    </row>
    <row r="25" spans="1:15" ht="12.75">
      <c r="A25" s="69" t="s">
        <v>78</v>
      </c>
      <c r="B25" s="70">
        <v>4505.140938626744</v>
      </c>
      <c r="C25" s="70">
        <v>5143.803216043634</v>
      </c>
      <c r="D25" s="70">
        <v>4780.0207335345185</v>
      </c>
      <c r="E25" s="70">
        <v>3407.1577719312095</v>
      </c>
      <c r="F25" s="70">
        <v>2362.1383075506424</v>
      </c>
      <c r="G25" s="70">
        <v>2620.8816266866183</v>
      </c>
      <c r="H25" s="70">
        <v>6221.339175703757</v>
      </c>
      <c r="I25" s="70">
        <v>8567.09543013198</v>
      </c>
      <c r="J25" s="70">
        <v>8224.226435736371</v>
      </c>
      <c r="K25" s="70">
        <v>7968.854664520261</v>
      </c>
      <c r="L25" s="70">
        <v>8599.436245166436</v>
      </c>
      <c r="M25" s="70">
        <v>6997.015349084719</v>
      </c>
      <c r="N25" s="71">
        <f t="shared" si="2"/>
        <v>69397.10989471688</v>
      </c>
      <c r="O25" s="64">
        <f>N25/8760*1000</f>
        <v>7922.044508529324</v>
      </c>
    </row>
    <row r="26" spans="1:15" ht="12.75">
      <c r="A26" s="69" t="s">
        <v>25</v>
      </c>
      <c r="B26" s="70">
        <v>1142.7472244262694</v>
      </c>
      <c r="C26" s="70">
        <v>1101.6596911621093</v>
      </c>
      <c r="D26" s="70">
        <v>1201.7007020568847</v>
      </c>
      <c r="E26" s="70">
        <v>1145.4222424316406</v>
      </c>
      <c r="F26" s="70">
        <v>40.647491455078125</v>
      </c>
      <c r="G26" s="70">
        <v>0</v>
      </c>
      <c r="H26" s="70">
        <v>1130.0739617919921</v>
      </c>
      <c r="I26" s="70">
        <v>1228.3426635742187</v>
      </c>
      <c r="J26" s="70">
        <v>1170.8897839355468</v>
      </c>
      <c r="K26" s="70">
        <v>1233.9506689453126</v>
      </c>
      <c r="L26" s="70">
        <v>1196.1822387695313</v>
      </c>
      <c r="M26" s="70">
        <v>1219.12892578125</v>
      </c>
      <c r="N26" s="71">
        <f t="shared" si="2"/>
        <v>11810.745594329834</v>
      </c>
      <c r="O26" s="64">
        <f>N26/8760*1000</f>
        <v>1348.258629489707</v>
      </c>
    </row>
    <row r="27" spans="1:15" ht="12.75">
      <c r="A27" s="69" t="s">
        <v>79</v>
      </c>
      <c r="B27" s="70">
        <v>9.336760123074054</v>
      </c>
      <c r="C27" s="70">
        <v>11.111413130164147</v>
      </c>
      <c r="D27" s="70">
        <v>9.00731086306274</v>
      </c>
      <c r="E27" s="70">
        <v>19.74407782226801</v>
      </c>
      <c r="F27" s="70">
        <v>20.908515170514583</v>
      </c>
      <c r="G27" s="70">
        <v>12.073525519669056</v>
      </c>
      <c r="H27" s="70">
        <v>59.66786520481109</v>
      </c>
      <c r="I27" s="70">
        <v>90.29952535629272</v>
      </c>
      <c r="J27" s="70">
        <v>75.61481199264526</v>
      </c>
      <c r="K27" s="70">
        <v>17.850488107204438</v>
      </c>
      <c r="L27" s="70">
        <v>17.893439338207244</v>
      </c>
      <c r="M27" s="70">
        <v>10.028665227591992</v>
      </c>
      <c r="N27" s="71">
        <f t="shared" si="2"/>
        <v>353.53639785550536</v>
      </c>
      <c r="O27" s="64">
        <f>N27/8760*1000</f>
        <v>40.35803628487504</v>
      </c>
    </row>
    <row r="28" spans="1:14" ht="12.75">
      <c r="A28" s="69" t="s">
        <v>80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1">
        <f t="shared" si="2"/>
        <v>0</v>
      </c>
    </row>
    <row r="29" spans="1:14" ht="12.75">
      <c r="A29" s="69" t="s">
        <v>81</v>
      </c>
      <c r="B29" s="70">
        <v>0</v>
      </c>
      <c r="C29" s="70">
        <v>3.1213363647460937</v>
      </c>
      <c r="D29" s="70">
        <v>0</v>
      </c>
      <c r="E29" s="70">
        <v>5.4966299438476565</v>
      </c>
      <c r="F29" s="70">
        <v>18.8586368560791</v>
      </c>
      <c r="G29" s="70">
        <v>7.227438735961914</v>
      </c>
      <c r="H29" s="70">
        <v>577.6500019073486</v>
      </c>
      <c r="I29" s="70">
        <v>675.8676942443848</v>
      </c>
      <c r="J29" s="70">
        <v>40.59947158813477</v>
      </c>
      <c r="K29" s="70">
        <v>39.794873046875</v>
      </c>
      <c r="L29" s="70">
        <v>4.030223388671875</v>
      </c>
      <c r="M29" s="70">
        <v>0</v>
      </c>
      <c r="N29" s="71">
        <f t="shared" si="2"/>
        <v>1372.6463060760495</v>
      </c>
    </row>
    <row r="30" spans="1:14" ht="12.75">
      <c r="A30" s="69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2">
        <f>SUM(N23:N29)</f>
        <v>102790.57745027106</v>
      </c>
    </row>
    <row r="31" spans="1:14" ht="12.75">
      <c r="A31" s="78" t="s">
        <v>83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1"/>
    </row>
    <row r="32" spans="1:14" ht="12.75">
      <c r="A32" s="69" t="s">
        <v>84</v>
      </c>
      <c r="B32" s="71">
        <v>130.59169515624998</v>
      </c>
      <c r="C32" s="64">
        <v>54.87001078125001</v>
      </c>
      <c r="D32" s="64">
        <v>60.335639733886715</v>
      </c>
      <c r="E32" s="64">
        <v>25.133477668762207</v>
      </c>
      <c r="F32" s="70">
        <v>6.217036782913208</v>
      </c>
      <c r="G32" s="70">
        <v>8.61170212158203</v>
      </c>
      <c r="H32" s="70">
        <v>31.55145890258789</v>
      </c>
      <c r="I32" s="70">
        <v>68.00774971679687</v>
      </c>
      <c r="J32" s="70">
        <v>81.6860955859375</v>
      </c>
      <c r="K32" s="70">
        <v>113.66502828124999</v>
      </c>
      <c r="L32" s="70">
        <v>89.1838765625</v>
      </c>
      <c r="M32" s="70">
        <v>106.55953177734374</v>
      </c>
      <c r="N32" s="71">
        <f>SUM(B32:M32)</f>
        <v>776.4133030710602</v>
      </c>
    </row>
    <row r="33" spans="1:14" ht="12.75">
      <c r="A33" s="69" t="s">
        <v>85</v>
      </c>
      <c r="B33" s="71">
        <v>-33.679291875</v>
      </c>
      <c r="C33" s="70">
        <v>-53.044802929687506</v>
      </c>
      <c r="D33" s="64">
        <v>-77.78869375</v>
      </c>
      <c r="E33" s="64">
        <v>-162.23267265625</v>
      </c>
      <c r="F33" s="70">
        <v>-268.9175128125</v>
      </c>
      <c r="G33" s="70">
        <v>-269.75457687500005</v>
      </c>
      <c r="H33" s="70">
        <v>-156.48468835937499</v>
      </c>
      <c r="I33" s="70">
        <v>-61.63629265624999</v>
      </c>
      <c r="J33" s="70">
        <v>-57.854153964843746</v>
      </c>
      <c r="K33" s="70">
        <v>-45.1412828125</v>
      </c>
      <c r="L33" s="70">
        <v>-60.549427734374994</v>
      </c>
      <c r="M33" s="70">
        <v>-40.34186267578124</v>
      </c>
      <c r="N33" s="71">
        <f>SUM(B33:M33)</f>
        <v>-1287.4252591015627</v>
      </c>
    </row>
    <row r="34" spans="2:15" ht="12.7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2">
        <f>SUM(B32:B33)</f>
        <v>96.91240328125</v>
      </c>
      <c r="O34" s="64">
        <f>N34/8.76</f>
        <v>11.063059735302511</v>
      </c>
    </row>
    <row r="35" spans="1:14" ht="12.75">
      <c r="A35" s="78" t="s">
        <v>86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1"/>
    </row>
    <row r="36" spans="1:14" ht="12.75">
      <c r="A36" s="69" t="s">
        <v>84</v>
      </c>
      <c r="B36" s="66">
        <v>8333.956313476563</v>
      </c>
      <c r="C36" s="64">
        <v>3741.1768603515625</v>
      </c>
      <c r="D36" s="64">
        <v>3970.4858542251586</v>
      </c>
      <c r="E36" s="64">
        <v>1620.602586631775</v>
      </c>
      <c r="F36" s="70">
        <v>436.70568727374075</v>
      </c>
      <c r="G36" s="70">
        <v>520.4372378540039</v>
      </c>
      <c r="H36" s="70">
        <v>2577.553815460205</v>
      </c>
      <c r="I36" s="70">
        <v>5607.565899658203</v>
      </c>
      <c r="J36" s="70">
        <v>6005.033540039062</v>
      </c>
      <c r="K36" s="70">
        <v>7532.99138671875</v>
      </c>
      <c r="L36" s="70">
        <v>6064.268100585938</v>
      </c>
      <c r="M36" s="70">
        <v>7176.334780273438</v>
      </c>
      <c r="N36" s="71">
        <f>SUM(B36:M36)</f>
        <v>53587.11206254839</v>
      </c>
    </row>
    <row r="37" spans="1:14" ht="12.75">
      <c r="A37" s="69" t="s">
        <v>85</v>
      </c>
      <c r="B37" s="66">
        <v>-1842.3133020019532</v>
      </c>
      <c r="C37" s="64">
        <v>-3139.7719995117186</v>
      </c>
      <c r="D37" s="64">
        <v>-4214.557612304688</v>
      </c>
      <c r="E37" s="64">
        <v>-7393.070200195312</v>
      </c>
      <c r="F37" s="70">
        <v>-11051.89353515625</v>
      </c>
      <c r="G37" s="70">
        <v>-9213.478972167968</v>
      </c>
      <c r="H37" s="70">
        <v>-7480.13095703125</v>
      </c>
      <c r="I37" s="70">
        <v>-3239.976025390625</v>
      </c>
      <c r="J37" s="70">
        <v>-2802.357122192383</v>
      </c>
      <c r="K37" s="70">
        <v>-2256.2581396484375</v>
      </c>
      <c r="L37" s="70">
        <v>-3433.477873535156</v>
      </c>
      <c r="M37" s="70">
        <v>-2293.4875256347655</v>
      </c>
      <c r="N37" s="71">
        <f>SUM(B37:M37)</f>
        <v>-58360.77326477051</v>
      </c>
    </row>
    <row r="38" ht="12.75">
      <c r="N38" s="72">
        <f>SUM(N36:N37)</f>
        <v>-4773.661202222123</v>
      </c>
    </row>
    <row r="40" spans="13:14" ht="12.75">
      <c r="M40" s="73" t="s">
        <v>104</v>
      </c>
      <c r="N40" s="72">
        <f>N30+N38</f>
        <v>98016.91624804893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1"/>
  <headerFooter alignWithMargins="0">
    <oddFooter>&amp;L&amp;"Geneva,Bold Italic"&amp;9&amp;F &amp;A&amp;R&amp;"Geneva,Bold Italic"&amp;9&amp;D WGJ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 Resources</dc:creator>
  <cp:keywords/>
  <dc:description/>
  <cp:lastModifiedBy>jocarlson</cp:lastModifiedBy>
  <cp:lastPrinted>2008-02-28T01:29:46Z</cp:lastPrinted>
  <dcterms:created xsi:type="dcterms:W3CDTF">1998-10-07T00:01:47Z</dcterms:created>
  <dcterms:modified xsi:type="dcterms:W3CDTF">2008-03-04T23:12:58Z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080416</vt:lpwstr>
  </property>
  <property fmtid="{D5CDD505-2E9C-101B-9397-08002B2CF9AE}" pid="6" name="IsConfidenti">
    <vt:lpwstr>0</vt:lpwstr>
  </property>
  <property fmtid="{D5CDD505-2E9C-101B-9397-08002B2CF9AE}" pid="7" name="Dat">
    <vt:lpwstr>2008-03-04T00:00:00Z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2008-03-04T00:00:00Z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