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age 1-2" sheetId="1" r:id="rId1"/>
  </sheets>
  <definedNames>
    <definedName name="_xlnm.Print_Area" localSheetId="0">'Page 1-2'!$A$3:$K$103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 satisfied Microsoft Office user</author>
    <author>BOLJH</author>
  </authors>
  <commentList>
    <comment ref="E7" authorId="0">
      <text>
        <r>
          <rPr>
            <sz val="8"/>
            <rFont val="Tahoma"/>
            <family val="0"/>
          </rPr>
          <t>$1.0/kW variable O&amp;M per jay jacobsen 11/19/97 NWPPC data</t>
        </r>
      </text>
    </comment>
    <comment ref="D85" authorId="0">
      <text>
        <r>
          <t/>
        </r>
      </text>
    </comment>
    <comment ref="G91" authorId="0">
      <text>
        <r>
          <rPr>
            <sz val="8"/>
            <rFont val="Tahoma"/>
            <family val="0"/>
          </rPr>
          <t>used WEFA 2015 data rounded from 2.79% to 2.80% for years 2016 through 2025</t>
        </r>
      </text>
    </comment>
    <comment ref="F95" authorId="0">
      <text>
        <r>
          <rPr>
            <sz val="8"/>
            <rFont val="Tahoma"/>
            <family val="0"/>
          </rPr>
          <t>PSE Least Cost Plan Appendix J</t>
        </r>
      </text>
    </comment>
    <comment ref="F96" authorId="0">
      <text>
        <r>
          <rPr>
            <sz val="8"/>
            <rFont val="Tahoma"/>
            <family val="0"/>
          </rPr>
          <t>PSE Least Cost Plan Appendix J</t>
        </r>
      </text>
    </comment>
    <comment ref="K6" authorId="1">
      <text>
        <r>
          <rPr>
            <b/>
            <sz val="8"/>
            <rFont val="Tahoma"/>
            <family val="0"/>
          </rPr>
          <t>BOLJH:</t>
        </r>
        <r>
          <rPr>
            <sz val="8"/>
            <rFont val="Tahoma"/>
            <family val="0"/>
          </rPr>
          <t xml:space="preserve">
PSE IRP Assumption</t>
        </r>
      </text>
    </comment>
  </commentList>
</comments>
</file>

<file path=xl/sharedStrings.xml><?xml version="1.0" encoding="utf-8"?>
<sst xmlns="http://schemas.openxmlformats.org/spreadsheetml/2006/main" count="80" uniqueCount="51">
  <si>
    <t>PEAK CREDIT METHOD FOR 2003 COST OF SERVICE STUDY</t>
  </si>
  <si>
    <t xml:space="preserve">                                 Peak Credit uses the UE-920499 Methodology</t>
  </si>
  <si>
    <t>Combined Cycle Plant (Nominal $)</t>
  </si>
  <si>
    <t xml:space="preserve">Capital Cost </t>
  </si>
  <si>
    <t>Fixed O&amp;M</t>
  </si>
  <si>
    <t>Ins / Prop Tax</t>
  </si>
  <si>
    <t>Variable O&amp;M</t>
  </si>
  <si>
    <t>Gas</t>
  </si>
  <si>
    <t>Total</t>
  </si>
  <si>
    <t>Annual</t>
  </si>
  <si>
    <t>Year</t>
  </si>
  <si>
    <t>$/MWH Yr</t>
  </si>
  <si>
    <t>$/MWH</t>
  </si>
  <si>
    <t>$/MMBTU</t>
  </si>
  <si>
    <t>Inflation</t>
  </si>
  <si>
    <t>Combustion Turbine</t>
  </si>
  <si>
    <t>Peak</t>
  </si>
  <si>
    <t>Fuel Oil</t>
  </si>
  <si>
    <t>Credit</t>
  </si>
  <si>
    <t>$/kW Yr</t>
  </si>
  <si>
    <t>Combustion</t>
  </si>
  <si>
    <t>CC</t>
  </si>
  <si>
    <t>Turbine</t>
  </si>
  <si>
    <t>CT</t>
  </si>
  <si>
    <t xml:space="preserve">Levelized Cost $/mWh </t>
  </si>
  <si>
    <t>Levelized Cost $/kW Yr</t>
  </si>
  <si>
    <t>Assumptions</t>
  </si>
  <si>
    <t xml:space="preserve">Fixed Charge Rate CC: </t>
  </si>
  <si>
    <t xml:space="preserve">Fixed Charge Rate CT: </t>
  </si>
  <si>
    <t>Hours/Year  CT Peak Operation</t>
  </si>
  <si>
    <t>Oil (hours):</t>
  </si>
  <si>
    <t>CCCT Capacity Factor:</t>
  </si>
  <si>
    <t>Weighted Cost of Capital CC:</t>
  </si>
  <si>
    <t>Weighted Cost of Capital CT:</t>
  </si>
  <si>
    <t>1/2 of Capital &amp; Fixed O&amp;M For CT Used For Peak Credit Cost</t>
  </si>
  <si>
    <t>Fixed &amp; variable O&amp;M, gas, and fuel escalation rate beyond 2015:</t>
  </si>
  <si>
    <t>Capital</t>
  </si>
  <si>
    <t>Var O&amp;M</t>
  </si>
  <si>
    <t>Heat Rate</t>
  </si>
  <si>
    <t>$/kW</t>
  </si>
  <si>
    <t>$/kW/yr</t>
  </si>
  <si>
    <t>$ / MWH</t>
  </si>
  <si>
    <t>BTU/kWh</t>
  </si>
  <si>
    <t>Combined Cycle Combustion Turbine Plant</t>
  </si>
  <si>
    <t>Simple Cycle Combustion Turbine Plant</t>
  </si>
  <si>
    <t>Reserve margin</t>
  </si>
  <si>
    <t xml:space="preserve"> </t>
  </si>
  <si>
    <t>Debt</t>
  </si>
  <si>
    <t>Preferred</t>
  </si>
  <si>
    <t>Common Equity</t>
  </si>
  <si>
    <t>TOTAL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</si>
</sst>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_);[Red]\(&quot;$&quot;#,##0.0\)"/>
    <numFmt numFmtId="166" formatCode="0.000000"/>
    <numFmt numFmtId="167" formatCode="d\.mmm\.yy"/>
    <numFmt numFmtId="168" formatCode="_ * #,##0_)_C_r_$_ ;_ * \(#,##0\)_C_r_$_ ;_ * &quot;-&quot;_)_C_r_$_ ;_ @_ "/>
    <numFmt numFmtId="169" formatCode="#,##0.0_);[Red]\(#,##0.0\)"/>
    <numFmt numFmtId="170" formatCode="d\.mmm"/>
    <numFmt numFmtId="171" formatCode="_-* #,##0\ _F_-;\-* #,##0\ _F_-;_-* &quot;-&quot;\ _F_-;_-@_-"/>
    <numFmt numFmtId="172" formatCode="#,##0.00&quot; $&quot;;[Red]\-#,##0.00&quot; $&quot;"/>
    <numFmt numFmtId="173" formatCode="mmm\.yy"/>
    <numFmt numFmtId="174" formatCode="d\.m\.yy\ h:mm"/>
    <numFmt numFmtId="175" formatCode="_ * #,##0.00_)_C_r_$_ ;_ * \(#,##0.00\)_C_r_$_ ;_ * &quot;-&quot;??_)_C_r_$_ ;_ @_ "/>
    <numFmt numFmtId="176" formatCode="#,##0.000_);[Red]\(#,##0.000\)"/>
    <numFmt numFmtId="177" formatCode=";;"/>
    <numFmt numFmtId="178" formatCode="_-* #,##0.00\ _F_-;\-* #,##0.00\ _F_-;_-* &quot;-&quot;??\ _F_-;_-@_-"/>
    <numFmt numFmtId="179" formatCode="0&quot;  &quot;"/>
    <numFmt numFmtId="180" formatCode="0.00&quot;  &quot;"/>
    <numFmt numFmtId="181" formatCode="0.0&quot;  &quot;"/>
    <numFmt numFmtId="182" formatCode="_(&quot;R$&quot;* #,##0_);_(&quot;R$&quot;* \(#,##0\);_(&quot;R$&quot;* &quot;-&quot;_);_(@_)"/>
    <numFmt numFmtId="183" formatCode="0.0000000"/>
    <numFmt numFmtId="184" formatCode="_-&quot;$&quot;\ * #,##0_-;\-&quot;$&quot;\ * #,##0_-;_-&quot;$&quot;\ * &quot;-&quot;_-;_-@_-"/>
    <numFmt numFmtId="185" formatCode="#,##0.00&quot;Pts&quot;_);\(#,##0.00&quot;Pts&quot;\)"/>
    <numFmt numFmtId="186" formatCode="_-* #,##0\ &quot;F&quot;_-;\-* #,##0\ &quot;F&quot;_-;_-* &quot;-&quot;\ &quot;F&quot;_-;_-@_-"/>
    <numFmt numFmtId="187" formatCode="_-&quot;£&quot;* #,##0_-;\-&quot;£&quot;* #,##0_-;_-&quot;£&quot;* &quot;-&quot;_-;_-@_-"/>
    <numFmt numFmtId="188" formatCode="0.000&quot;  &quot;"/>
    <numFmt numFmtId="189" formatCode="&quot;R$&quot;#,##0_);[Red]\(&quot;R$&quot;#,##0\)"/>
    <numFmt numFmtId="190" formatCode="_(* #,##0.0_);_(* \(#,##0.0\);_(* &quot;-&quot;??_);_(@_)"/>
    <numFmt numFmtId="191" formatCode="0.0000&quot;  &quot;"/>
    <numFmt numFmtId="192" formatCode="#,##0.00&quot; $&quot;;\-#,##0.00&quot; $&quot;"/>
    <numFmt numFmtId="193" formatCode="0.00000&quot;  &quot;"/>
    <numFmt numFmtId="194" formatCode="_(&quot;Cr$&quot;\ * #,##0_);_(&quot;Cr$&quot;\ * \(#,##0\);_(&quot;Cr$&quot;\ * &quot;-&quot;_);_(@_)"/>
    <numFmt numFmtId="195" formatCode="_(&quot;R$&quot;* #,##0.00_);_(&quot;R$&quot;* \(#,##0.00\);_(&quot;R$&quot;* &quot;-&quot;??_);_(@_)"/>
    <numFmt numFmtId="196" formatCode="0.0000"/>
    <numFmt numFmtId="197" formatCode="_-&quot;$&quot;\ * #,##0.00_-;\-&quot;$&quot;\ * #,##0.00_-;_-&quot;$&quot;\ * &quot;-&quot;??_-;_-@_-"/>
    <numFmt numFmtId="198" formatCode="#,##0.00&quot;Pts&quot;_);[Red]\(#,##0.00&quot;Pts&quot;\)"/>
    <numFmt numFmtId="199" formatCode="_-* #,##0.00\ &quot;F&quot;_-;\-* #,##0.00\ &quot;F&quot;_-;_-* &quot;-&quot;??\ &quot;F&quot;_-;_-@_-"/>
    <numFmt numFmtId="200" formatCode="_-&quot;£&quot;* #,##0.00_-;\-&quot;£&quot;* #,##0.00_-;_-&quot;£&quot;* &quot;-&quot;??_-;_-@_-"/>
    <numFmt numFmtId="201" formatCode="&quot;R$&quot;#,##0.00_);[Red]\(&quot;R$&quot;#,##0.00\)"/>
    <numFmt numFmtId="202" formatCode="d\.m\.yy"/>
    <numFmt numFmtId="203" formatCode="_(&quot;Cr$&quot;\ * #,##0.00_);_(&quot;Cr$&quot;\ * \(#,##0.00\);_(&quot;Cr$&quot;\ * &quot;-&quot;??_);_(@_)"/>
    <numFmt numFmtId="204" formatCode="0.000000000"/>
    <numFmt numFmtId="205" formatCode="&quot;Cr$&quot;\ #,##0_);\(&quot;Cr$&quot;\ #,##0\)"/>
    <numFmt numFmtId="206" formatCode="#.0%"/>
    <numFmt numFmtId="207" formatCode="&quot;$&quot;#,##0.00"/>
    <numFmt numFmtId="208" formatCode="0.000000%"/>
    <numFmt numFmtId="209" formatCode="#,##0.000"/>
    <numFmt numFmtId="210" formatCode="#,##0.0000"/>
    <numFmt numFmtId="211" formatCode="0.0%"/>
  </numFmts>
  <fonts count="2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10"/>
      <name val="MS Serif"/>
      <family val="0"/>
    </font>
    <font>
      <sz val="10"/>
      <name val="Courier"/>
      <family val="0"/>
    </font>
    <font>
      <sz val="10"/>
      <color indexed="16"/>
      <name val="MS Serif"/>
      <family val="0"/>
    </font>
    <font>
      <u val="single"/>
      <sz val="10"/>
      <color indexed="36"/>
      <name val="Helv"/>
      <family val="0"/>
    </font>
    <font>
      <sz val="8"/>
      <name val="Arial"/>
      <family val="2"/>
    </font>
    <font>
      <b/>
      <sz val="12"/>
      <name val="Arial"/>
      <family val="0"/>
    </font>
    <font>
      <u val="single"/>
      <sz val="10"/>
      <color indexed="12"/>
      <name val="Helv"/>
      <family val="0"/>
    </font>
    <font>
      <sz val="7"/>
      <name val="Small Fonts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sz val="10"/>
      <name val="Helvetica"/>
      <family val="0"/>
    </font>
    <font>
      <b/>
      <sz val="8"/>
      <name val="Helvetica"/>
      <family val="0"/>
    </font>
    <font>
      <sz val="8.5"/>
      <name val="LinePrinter"/>
      <family val="0"/>
    </font>
    <font>
      <sz val="8.5"/>
      <name val="Helvetica"/>
      <family val="0"/>
    </font>
    <font>
      <sz val="8"/>
      <name val="Helvetica"/>
      <family val="0"/>
    </font>
    <font>
      <b/>
      <sz val="8.5"/>
      <name val="Helvetica"/>
      <family val="0"/>
    </font>
    <font>
      <b/>
      <sz val="8.5"/>
      <name val="Helv"/>
      <family val="0"/>
    </font>
    <font>
      <u val="singleAccounting"/>
      <sz val="8.5"/>
      <name val="Helvetic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4" fillId="0" borderId="0">
      <alignment horizontal="left" wrapText="1"/>
      <protection/>
    </xf>
    <xf numFmtId="166" fontId="4" fillId="0" borderId="0">
      <alignment horizontal="left" wrapText="1"/>
      <protection/>
    </xf>
    <xf numFmtId="167" fontId="5" fillId="0" borderId="0" applyFill="0" applyBorder="0" applyAlignment="0">
      <protection/>
    </xf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" fillId="0" borderId="0" applyNumberFormat="0" applyAlignment="0">
      <protection/>
    </xf>
    <xf numFmtId="0" fontId="7" fillId="0" borderId="0" applyNumberFormat="0" applyAlignment="0">
      <protection/>
    </xf>
    <xf numFmtId="8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Alignment="0">
      <protection/>
    </xf>
    <xf numFmtId="0" fontId="9" fillId="0" borderId="0" applyNumberFormat="0" applyFill="0" applyBorder="0" applyAlignment="0" applyProtection="0"/>
    <xf numFmtId="38" fontId="10" fillId="2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/>
      <protection/>
    </xf>
    <xf numFmtId="0" fontId="12" fillId="0" borderId="0" applyNumberFormat="0" applyFill="0" applyBorder="0" applyAlignment="0" applyProtection="0"/>
    <xf numFmtId="10" fontId="10" fillId="3" borderId="3" applyNumberFormat="0" applyBorder="0" applyAlignment="0" applyProtection="0"/>
    <xf numFmtId="37" fontId="13" fillId="0" borderId="0">
      <alignment/>
      <protection/>
    </xf>
    <xf numFmtId="205" fontId="4" fillId="0" borderId="0">
      <alignment/>
      <protection/>
    </xf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14" fontId="14" fillId="0" borderId="0" applyNumberFormat="0" applyFill="0" applyBorder="0" applyAlignment="0" applyProtection="0"/>
    <xf numFmtId="40" fontId="15" fillId="0" borderId="0" applyBorder="0">
      <alignment horizontal="right"/>
      <protection/>
    </xf>
  </cellStyleXfs>
  <cellXfs count="61">
    <xf numFmtId="0" fontId="0" fillId="0" borderId="0" xfId="0" applyAlignment="1">
      <alignment/>
    </xf>
    <xf numFmtId="14" fontId="16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14" fontId="14" fillId="0" borderId="0" xfId="0" applyNumberFormat="1" applyFont="1" applyAlignment="1">
      <alignment horizontal="center"/>
    </xf>
    <xf numFmtId="0" fontId="17" fillId="0" borderId="0" xfId="0" applyFont="1" applyAlignment="1" quotePrefix="1">
      <alignment horizontal="left"/>
    </xf>
    <xf numFmtId="0" fontId="10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4" xfId="0" applyFont="1" applyBorder="1" applyAlignment="1">
      <alignment/>
    </xf>
    <xf numFmtId="0" fontId="19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7" fontId="19" fillId="0" borderId="0" xfId="0" applyNumberFormat="1" applyFont="1" applyAlignment="1">
      <alignment/>
    </xf>
    <xf numFmtId="0" fontId="20" fillId="0" borderId="0" xfId="0" applyFont="1" applyAlignment="1">
      <alignment/>
    </xf>
    <xf numFmtId="7" fontId="4" fillId="0" borderId="0" xfId="22" applyNumberFormat="1" applyFont="1" applyAlignment="1">
      <alignment horizontal="center"/>
    </xf>
    <xf numFmtId="2" fontId="19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19" fillId="0" borderId="4" xfId="0" applyFont="1" applyBorder="1" applyAlignment="1" quotePrefix="1">
      <alignment horizontal="center"/>
    </xf>
    <xf numFmtId="4" fontId="20" fillId="0" borderId="0" xfId="18" applyFont="1" applyAlignment="1">
      <alignment/>
    </xf>
    <xf numFmtId="4" fontId="19" fillId="0" borderId="0" xfId="0" applyNumberFormat="1" applyFont="1" applyAlignment="1">
      <alignment/>
    </xf>
    <xf numFmtId="0" fontId="19" fillId="0" borderId="6" xfId="0" applyFont="1" applyBorder="1" applyAlignment="1">
      <alignment/>
    </xf>
    <xf numFmtId="0" fontId="19" fillId="0" borderId="7" xfId="0" applyFont="1" applyBorder="1" applyAlignment="1">
      <alignment/>
    </xf>
    <xf numFmtId="0" fontId="19" fillId="0" borderId="7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9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12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19" fillId="0" borderId="13" xfId="0" applyFont="1" applyBorder="1" applyAlignment="1">
      <alignment/>
    </xf>
    <xf numFmtId="9" fontId="19" fillId="0" borderId="0" xfId="0" applyNumberFormat="1" applyFont="1" applyAlignment="1">
      <alignment/>
    </xf>
    <xf numFmtId="0" fontId="19" fillId="0" borderId="14" xfId="0" applyFont="1" applyBorder="1" applyAlignment="1">
      <alignment/>
    </xf>
    <xf numFmtId="4" fontId="19" fillId="0" borderId="4" xfId="0" applyNumberFormat="1" applyFont="1" applyBorder="1" applyAlignment="1">
      <alignment/>
    </xf>
    <xf numFmtId="2" fontId="19" fillId="0" borderId="4" xfId="0" applyNumberFormat="1" applyFont="1" applyBorder="1" applyAlignment="1">
      <alignment/>
    </xf>
    <xf numFmtId="9" fontId="21" fillId="0" borderId="15" xfId="0" applyNumberFormat="1" applyFont="1" applyBorder="1" applyAlignment="1">
      <alignment/>
    </xf>
    <xf numFmtId="0" fontId="19" fillId="0" borderId="0" xfId="0" applyFont="1" applyAlignment="1" quotePrefix="1">
      <alignment horizontal="left"/>
    </xf>
    <xf numFmtId="10" fontId="19" fillId="0" borderId="0" xfId="0" applyNumberFormat="1" applyFont="1" applyAlignment="1">
      <alignment/>
    </xf>
    <xf numFmtId="0" fontId="20" fillId="0" borderId="0" xfId="0" applyFont="1" applyAlignment="1" quotePrefix="1">
      <alignment horizontal="left"/>
    </xf>
    <xf numFmtId="10" fontId="20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6" fontId="19" fillId="0" borderId="0" xfId="22" applyNumberFormat="1" applyFont="1" applyAlignment="1">
      <alignment/>
    </xf>
    <xf numFmtId="8" fontId="19" fillId="0" borderId="0" xfId="22" applyFont="1" applyAlignment="1">
      <alignment/>
    </xf>
    <xf numFmtId="8" fontId="0" fillId="0" borderId="0" xfId="0" applyNumberFormat="1" applyAlignment="1">
      <alignment/>
    </xf>
    <xf numFmtId="164" fontId="19" fillId="0" borderId="0" xfId="22" applyNumberFormat="1" applyFont="1" applyAlignment="1">
      <alignment/>
    </xf>
    <xf numFmtId="3" fontId="19" fillId="0" borderId="0" xfId="0" applyNumberFormat="1" applyFont="1" applyAlignment="1">
      <alignment/>
    </xf>
    <xf numFmtId="8" fontId="10" fillId="0" borderId="0" xfId="22" applyNumberFormat="1" applyFont="1" applyAlignment="1">
      <alignment/>
    </xf>
    <xf numFmtId="0" fontId="10" fillId="0" borderId="0" xfId="22" applyNumberFormat="1" applyFont="1" applyAlignment="1">
      <alignment/>
    </xf>
    <xf numFmtId="3" fontId="10" fillId="0" borderId="0" xfId="0" applyNumberFormat="1" applyFont="1" applyAlignment="1">
      <alignment/>
    </xf>
    <xf numFmtId="9" fontId="10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23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</cellXfs>
  <cellStyles count="22">
    <cellStyle name="Normal" xfId="0"/>
    <cellStyle name="_Fuel Prices 4-14" xfId="16"/>
    <cellStyle name="Calc Currency (0)" xfId="17"/>
    <cellStyle name="Comma" xfId="18"/>
    <cellStyle name="Comma [0]" xfId="19"/>
    <cellStyle name="Copied" xfId="20"/>
    <cellStyle name="COST1" xfId="21"/>
    <cellStyle name="Currency" xfId="22"/>
    <cellStyle name="Currency [0]" xfId="23"/>
    <cellStyle name="Entered" xfId="24"/>
    <cellStyle name="Followed Hyperlink" xfId="25"/>
    <cellStyle name="Grey" xfId="26"/>
    <cellStyle name="Header1" xfId="27"/>
    <cellStyle name="Header2" xfId="28"/>
    <cellStyle name="Hyperlink" xfId="29"/>
    <cellStyle name="Input [yellow]" xfId="30"/>
    <cellStyle name="no dec" xfId="31"/>
    <cellStyle name="Normal - Style1" xfId="32"/>
    <cellStyle name="Percent" xfId="33"/>
    <cellStyle name="Percent [2]" xfId="34"/>
    <cellStyle name="RevList" xfId="35"/>
    <cellStyle name="Subtot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0.7109375" style="0" customWidth="1"/>
    <col min="3" max="3" width="10.00390625" style="0" customWidth="1"/>
    <col min="4" max="4" width="10.421875" style="0" customWidth="1"/>
    <col min="5" max="5" width="10.7109375" style="0" customWidth="1"/>
    <col min="6" max="6" width="8.421875" style="0" customWidth="1"/>
    <col min="7" max="7" width="10.00390625" style="0" customWidth="1"/>
    <col min="8" max="8" width="12.421875" style="0" customWidth="1"/>
    <col min="9" max="10" width="10.421875" style="0" customWidth="1"/>
    <col min="13" max="13" width="12.8515625" style="0" customWidth="1"/>
  </cols>
  <sheetData>
    <row r="1" spans="1:12" ht="12.75">
      <c r="A1" s="59" t="s">
        <v>0</v>
      </c>
      <c r="B1" s="59"/>
      <c r="C1" s="59"/>
      <c r="D1" s="59"/>
      <c r="E1" s="59"/>
      <c r="F1" s="59"/>
      <c r="G1" s="59"/>
      <c r="H1" s="59"/>
      <c r="I1" s="1"/>
      <c r="J1" s="1"/>
      <c r="K1" s="2"/>
      <c r="L1" s="2"/>
    </row>
    <row r="2" spans="1:12" ht="12.75">
      <c r="A2" s="59" t="s">
        <v>1</v>
      </c>
      <c r="B2" s="60"/>
      <c r="C2" s="60"/>
      <c r="D2" s="60"/>
      <c r="E2" s="60"/>
      <c r="F2" s="60"/>
      <c r="G2" s="60"/>
      <c r="H2" s="60"/>
      <c r="I2" s="2"/>
      <c r="J2" s="2"/>
      <c r="K2" s="3"/>
      <c r="L2" s="2"/>
    </row>
    <row r="3" spans="1:11" ht="12.75">
      <c r="A3" s="4" t="s">
        <v>2</v>
      </c>
      <c r="K3" s="5"/>
    </row>
    <row r="4" spans="2:11" ht="12.75">
      <c r="B4" s="6"/>
      <c r="C4" s="6"/>
      <c r="D4" s="6"/>
      <c r="E4" s="6"/>
      <c r="F4" s="6"/>
      <c r="G4" s="6"/>
      <c r="H4" s="6"/>
      <c r="I4" s="6"/>
      <c r="J4" s="6"/>
      <c r="K4" s="5"/>
    </row>
    <row r="5" spans="1:11" ht="12.75">
      <c r="A5" s="7"/>
      <c r="B5" s="8" t="s">
        <v>3</v>
      </c>
      <c r="C5" s="8" t="s">
        <v>4</v>
      </c>
      <c r="D5" t="s">
        <v>5</v>
      </c>
      <c r="E5" s="8" t="s">
        <v>6</v>
      </c>
      <c r="F5" s="8" t="s">
        <v>7</v>
      </c>
      <c r="G5" s="8" t="s">
        <v>7</v>
      </c>
      <c r="H5" s="8" t="s">
        <v>8</v>
      </c>
      <c r="K5" s="5" t="s">
        <v>9</v>
      </c>
    </row>
    <row r="6" spans="1:11" ht="13.5" thickBot="1">
      <c r="A6" s="9" t="s">
        <v>10</v>
      </c>
      <c r="B6" s="10" t="s">
        <v>11</v>
      </c>
      <c r="C6" s="10" t="s">
        <v>12</v>
      </c>
      <c r="D6" s="10" t="s">
        <v>12</v>
      </c>
      <c r="E6" s="10" t="s">
        <v>12</v>
      </c>
      <c r="F6" s="10" t="s">
        <v>13</v>
      </c>
      <c r="G6" s="10" t="s">
        <v>12</v>
      </c>
      <c r="H6" s="10" t="s">
        <v>12</v>
      </c>
      <c r="K6" s="11" t="s">
        <v>14</v>
      </c>
    </row>
    <row r="7" spans="1:11" ht="13.5" thickTop="1">
      <c r="A7" s="7">
        <v>2004</v>
      </c>
      <c r="B7" s="12">
        <f>ROUND(1000*$D$84*$F$95/(8760*$D$87),2)</f>
        <v>8.91</v>
      </c>
      <c r="C7" s="13">
        <f>ROUND(1000*$G$95*(1+$K7)/($D$87*8760),2)</f>
        <v>5.7</v>
      </c>
      <c r="D7" s="13">
        <f>ROUND(1000*$H$95*(1+$K7)/($D$87*8760),2)</f>
        <v>1.2</v>
      </c>
      <c r="E7" s="13">
        <f>ROUND($I$95*(1+$K7),2)</f>
        <v>2</v>
      </c>
      <c r="F7" s="14">
        <v>3.86</v>
      </c>
      <c r="G7" s="15">
        <f>F7*$J$95/1000</f>
        <v>26.634</v>
      </c>
      <c r="H7" s="15">
        <f aca="true" t="shared" si="0" ref="H7:H36">SUM(B7:E7,G7)</f>
        <v>44.444</v>
      </c>
      <c r="K7" s="16">
        <v>0</v>
      </c>
    </row>
    <row r="8" spans="1:11" ht="12.75">
      <c r="A8" s="7">
        <f aca="true" t="shared" si="1" ref="A8:A36">(A7+1)</f>
        <v>2005</v>
      </c>
      <c r="B8" s="12">
        <f aca="true" t="shared" si="2" ref="B8:B36">B$7</f>
        <v>8.91</v>
      </c>
      <c r="C8" s="13">
        <f aca="true" t="shared" si="3" ref="C8:C36">ROUND(C7*(1+$K8),2)</f>
        <v>5.84</v>
      </c>
      <c r="D8" s="13">
        <f aca="true" t="shared" si="4" ref="D8:D36">ROUND(D7*(1+$K8),2)</f>
        <v>1.23</v>
      </c>
      <c r="E8" s="13">
        <f aca="true" t="shared" si="5" ref="E8:E36">ROUND(E7*(1+$K8),2)</f>
        <v>2.05</v>
      </c>
      <c r="F8" s="14">
        <v>4.463966666666666</v>
      </c>
      <c r="G8" s="15">
        <f aca="true" t="shared" si="6" ref="G8:G36">F7*$J$95/1000</f>
        <v>26.634</v>
      </c>
      <c r="H8" s="15">
        <f t="shared" si="0"/>
        <v>44.664</v>
      </c>
      <c r="K8" s="16">
        <v>0.025</v>
      </c>
    </row>
    <row r="9" spans="1:11" ht="12.75">
      <c r="A9" s="7">
        <f t="shared" si="1"/>
        <v>2006</v>
      </c>
      <c r="B9" s="12">
        <f t="shared" si="2"/>
        <v>8.91</v>
      </c>
      <c r="C9" s="13">
        <f t="shared" si="3"/>
        <v>5.99</v>
      </c>
      <c r="D9" s="13">
        <f t="shared" si="4"/>
        <v>1.26</v>
      </c>
      <c r="E9" s="13">
        <f t="shared" si="5"/>
        <v>2.1</v>
      </c>
      <c r="F9" s="14">
        <v>4.628333333333333</v>
      </c>
      <c r="G9" s="15">
        <f t="shared" si="6"/>
        <v>30.801369999999995</v>
      </c>
      <c r="H9" s="15">
        <f t="shared" si="0"/>
        <v>49.06137</v>
      </c>
      <c r="K9" s="16">
        <v>0.025</v>
      </c>
    </row>
    <row r="10" spans="1:11" ht="12.75">
      <c r="A10" s="7">
        <f t="shared" si="1"/>
        <v>2007</v>
      </c>
      <c r="B10" s="12">
        <f t="shared" si="2"/>
        <v>8.91</v>
      </c>
      <c r="C10" s="13">
        <f t="shared" si="3"/>
        <v>6.14</v>
      </c>
      <c r="D10" s="13">
        <f t="shared" si="4"/>
        <v>1.29</v>
      </c>
      <c r="E10" s="13">
        <f t="shared" si="5"/>
        <v>2.15</v>
      </c>
      <c r="F10" s="14">
        <v>4.5475</v>
      </c>
      <c r="G10" s="15">
        <f t="shared" si="6"/>
        <v>31.935499999999998</v>
      </c>
      <c r="H10" s="15">
        <f t="shared" si="0"/>
        <v>50.4255</v>
      </c>
      <c r="K10" s="16">
        <v>0.025</v>
      </c>
    </row>
    <row r="11" spans="1:11" ht="12.75">
      <c r="A11" s="7">
        <f t="shared" si="1"/>
        <v>2008</v>
      </c>
      <c r="B11" s="12">
        <f t="shared" si="2"/>
        <v>8.91</v>
      </c>
      <c r="C11" s="13">
        <f t="shared" si="3"/>
        <v>6.29</v>
      </c>
      <c r="D11" s="13">
        <f t="shared" si="4"/>
        <v>1.32</v>
      </c>
      <c r="E11" s="13">
        <f t="shared" si="5"/>
        <v>2.2</v>
      </c>
      <c r="F11" s="14">
        <v>4.544166666666667</v>
      </c>
      <c r="G11" s="15">
        <f t="shared" si="6"/>
        <v>31.377750000000002</v>
      </c>
      <c r="H11" s="15">
        <f t="shared" si="0"/>
        <v>50.097750000000005</v>
      </c>
      <c r="K11" s="16">
        <v>0.025</v>
      </c>
    </row>
    <row r="12" spans="1:11" ht="12.75">
      <c r="A12" s="7">
        <f t="shared" si="1"/>
        <v>2009</v>
      </c>
      <c r="B12" s="12">
        <f t="shared" si="2"/>
        <v>8.91</v>
      </c>
      <c r="C12" s="13">
        <f t="shared" si="3"/>
        <v>6.45</v>
      </c>
      <c r="D12" s="13">
        <f t="shared" si="4"/>
        <v>1.35</v>
      </c>
      <c r="E12" s="13">
        <f t="shared" si="5"/>
        <v>2.26</v>
      </c>
      <c r="F12" s="14">
        <v>3.5775</v>
      </c>
      <c r="G12" s="15">
        <f t="shared" si="6"/>
        <v>31.354750000000003</v>
      </c>
      <c r="H12" s="15">
        <f t="shared" si="0"/>
        <v>50.32475</v>
      </c>
      <c r="K12" s="16">
        <v>0.025</v>
      </c>
    </row>
    <row r="13" spans="1:11" ht="12.75">
      <c r="A13" s="7">
        <f t="shared" si="1"/>
        <v>2010</v>
      </c>
      <c r="B13" s="12">
        <f t="shared" si="2"/>
        <v>8.91</v>
      </c>
      <c r="C13" s="13">
        <f t="shared" si="3"/>
        <v>6.61</v>
      </c>
      <c r="D13" s="13">
        <f t="shared" si="4"/>
        <v>1.38</v>
      </c>
      <c r="E13" s="13">
        <f t="shared" si="5"/>
        <v>2.32</v>
      </c>
      <c r="F13" s="14">
        <v>3.5066666666666664</v>
      </c>
      <c r="G13" s="15">
        <f t="shared" si="6"/>
        <v>24.68475</v>
      </c>
      <c r="H13" s="15">
        <f t="shared" si="0"/>
        <v>43.90475</v>
      </c>
      <c r="K13" s="16">
        <v>0.025</v>
      </c>
    </row>
    <row r="14" spans="1:11" ht="12.75">
      <c r="A14" s="7">
        <f t="shared" si="1"/>
        <v>2011</v>
      </c>
      <c r="B14" s="12">
        <f t="shared" si="2"/>
        <v>8.91</v>
      </c>
      <c r="C14" s="13">
        <f t="shared" si="3"/>
        <v>6.78</v>
      </c>
      <c r="D14" s="13">
        <f t="shared" si="4"/>
        <v>1.41</v>
      </c>
      <c r="E14" s="13">
        <f t="shared" si="5"/>
        <v>2.38</v>
      </c>
      <c r="F14" s="14">
        <v>4.5525</v>
      </c>
      <c r="G14" s="15">
        <f t="shared" si="6"/>
        <v>24.195999999999998</v>
      </c>
      <c r="H14" s="15">
        <f t="shared" si="0"/>
        <v>43.676</v>
      </c>
      <c r="K14" s="16">
        <v>0.025</v>
      </c>
    </row>
    <row r="15" spans="1:11" ht="12.75">
      <c r="A15" s="7">
        <f t="shared" si="1"/>
        <v>2012</v>
      </c>
      <c r="B15" s="12">
        <f t="shared" si="2"/>
        <v>8.91</v>
      </c>
      <c r="C15" s="13">
        <f t="shared" si="3"/>
        <v>6.95</v>
      </c>
      <c r="D15" s="13">
        <f t="shared" si="4"/>
        <v>1.45</v>
      </c>
      <c r="E15" s="13">
        <f t="shared" si="5"/>
        <v>2.44</v>
      </c>
      <c r="F15" s="14">
        <v>5.1825</v>
      </c>
      <c r="G15" s="15">
        <f t="shared" si="6"/>
        <v>31.41225</v>
      </c>
      <c r="H15" s="15">
        <f t="shared" si="0"/>
        <v>51.16225</v>
      </c>
      <c r="K15" s="16">
        <v>0.025</v>
      </c>
    </row>
    <row r="16" spans="1:11" ht="12.75">
      <c r="A16" s="7">
        <f t="shared" si="1"/>
        <v>2013</v>
      </c>
      <c r="B16" s="12">
        <f t="shared" si="2"/>
        <v>8.91</v>
      </c>
      <c r="C16" s="13">
        <f t="shared" si="3"/>
        <v>7.12</v>
      </c>
      <c r="D16" s="13">
        <f t="shared" si="4"/>
        <v>1.49</v>
      </c>
      <c r="E16" s="13">
        <f t="shared" si="5"/>
        <v>2.5</v>
      </c>
      <c r="F16" s="14">
        <v>5.486666666666667</v>
      </c>
      <c r="G16" s="15">
        <f t="shared" si="6"/>
        <v>35.75925</v>
      </c>
      <c r="H16" s="15">
        <f t="shared" si="0"/>
        <v>55.779250000000005</v>
      </c>
      <c r="K16" s="16">
        <v>0.025</v>
      </c>
    </row>
    <row r="17" spans="1:11" ht="12.75">
      <c r="A17" s="7">
        <f t="shared" si="1"/>
        <v>2014</v>
      </c>
      <c r="B17" s="12">
        <f t="shared" si="2"/>
        <v>8.91</v>
      </c>
      <c r="C17" s="13">
        <f t="shared" si="3"/>
        <v>7.3</v>
      </c>
      <c r="D17" s="13">
        <f t="shared" si="4"/>
        <v>1.53</v>
      </c>
      <c r="E17" s="13">
        <f t="shared" si="5"/>
        <v>2.56</v>
      </c>
      <c r="F17" s="14">
        <v>5.944166666666667</v>
      </c>
      <c r="G17" s="15">
        <f t="shared" si="6"/>
        <v>37.858000000000004</v>
      </c>
      <c r="H17" s="15">
        <f t="shared" si="0"/>
        <v>58.158</v>
      </c>
      <c r="K17" s="16">
        <v>0.025</v>
      </c>
    </row>
    <row r="18" spans="1:11" ht="12.75">
      <c r="A18" s="7">
        <f t="shared" si="1"/>
        <v>2015</v>
      </c>
      <c r="B18" s="12">
        <f t="shared" si="2"/>
        <v>8.91</v>
      </c>
      <c r="C18" s="13">
        <f t="shared" si="3"/>
        <v>7.48</v>
      </c>
      <c r="D18" s="13">
        <f t="shared" si="4"/>
        <v>1.57</v>
      </c>
      <c r="E18" s="13">
        <f t="shared" si="5"/>
        <v>2.62</v>
      </c>
      <c r="F18" s="14">
        <v>5.743333333333332</v>
      </c>
      <c r="G18" s="15">
        <f t="shared" si="6"/>
        <v>41.01475</v>
      </c>
      <c r="H18" s="15">
        <f t="shared" si="0"/>
        <v>61.594750000000005</v>
      </c>
      <c r="K18" s="16">
        <v>0.025</v>
      </c>
    </row>
    <row r="19" spans="1:11" ht="12.75">
      <c r="A19" s="7">
        <f t="shared" si="1"/>
        <v>2016</v>
      </c>
      <c r="B19" s="12">
        <f t="shared" si="2"/>
        <v>8.91</v>
      </c>
      <c r="C19" s="13">
        <f t="shared" si="3"/>
        <v>7.67</v>
      </c>
      <c r="D19" s="13">
        <f t="shared" si="4"/>
        <v>1.61</v>
      </c>
      <c r="E19" s="13">
        <f t="shared" si="5"/>
        <v>2.69</v>
      </c>
      <c r="F19" s="14">
        <v>5.315</v>
      </c>
      <c r="G19" s="15">
        <f t="shared" si="6"/>
        <v>39.62899999999999</v>
      </c>
      <c r="H19" s="15">
        <f t="shared" si="0"/>
        <v>60.508999999999986</v>
      </c>
      <c r="K19" s="16">
        <v>0.025</v>
      </c>
    </row>
    <row r="20" spans="1:11" ht="12.75">
      <c r="A20" s="7">
        <f t="shared" si="1"/>
        <v>2017</v>
      </c>
      <c r="B20" s="12">
        <f t="shared" si="2"/>
        <v>8.91</v>
      </c>
      <c r="C20" s="13">
        <f t="shared" si="3"/>
        <v>7.86</v>
      </c>
      <c r="D20" s="13">
        <f t="shared" si="4"/>
        <v>1.65</v>
      </c>
      <c r="E20" s="13">
        <f t="shared" si="5"/>
        <v>2.76</v>
      </c>
      <c r="F20" s="14">
        <v>5.921666666666667</v>
      </c>
      <c r="G20" s="15">
        <f t="shared" si="6"/>
        <v>36.6735</v>
      </c>
      <c r="H20" s="15">
        <f t="shared" si="0"/>
        <v>57.8535</v>
      </c>
      <c r="K20" s="16">
        <v>0.025</v>
      </c>
    </row>
    <row r="21" spans="1:11" ht="12.75">
      <c r="A21" s="7">
        <f t="shared" si="1"/>
        <v>2018</v>
      </c>
      <c r="B21" s="12">
        <f t="shared" si="2"/>
        <v>8.91</v>
      </c>
      <c r="C21" s="13">
        <f t="shared" si="3"/>
        <v>8.06</v>
      </c>
      <c r="D21" s="13">
        <f t="shared" si="4"/>
        <v>1.69</v>
      </c>
      <c r="E21" s="13">
        <f t="shared" si="5"/>
        <v>2.83</v>
      </c>
      <c r="F21" s="14">
        <v>5.954166666666666</v>
      </c>
      <c r="G21" s="15">
        <f t="shared" si="6"/>
        <v>40.8595</v>
      </c>
      <c r="H21" s="15">
        <f t="shared" si="0"/>
        <v>62.3495</v>
      </c>
      <c r="K21" s="16">
        <v>0.025</v>
      </c>
    </row>
    <row r="22" spans="1:11" ht="12.75">
      <c r="A22" s="7">
        <f t="shared" si="1"/>
        <v>2019</v>
      </c>
      <c r="B22" s="12">
        <f t="shared" si="2"/>
        <v>8.91</v>
      </c>
      <c r="C22" s="13">
        <f t="shared" si="3"/>
        <v>8.26</v>
      </c>
      <c r="D22" s="13">
        <f t="shared" si="4"/>
        <v>1.73</v>
      </c>
      <c r="E22" s="13">
        <f t="shared" si="5"/>
        <v>2.9</v>
      </c>
      <c r="F22" s="14">
        <v>6.213333333333334</v>
      </c>
      <c r="G22" s="15">
        <f t="shared" si="6"/>
        <v>41.083749999999995</v>
      </c>
      <c r="H22" s="15">
        <f t="shared" si="0"/>
        <v>62.88374999999999</v>
      </c>
      <c r="K22" s="16">
        <v>0.025</v>
      </c>
    </row>
    <row r="23" spans="1:11" ht="12.75">
      <c r="A23" s="7">
        <f t="shared" si="1"/>
        <v>2020</v>
      </c>
      <c r="B23" s="12">
        <f t="shared" si="2"/>
        <v>8.91</v>
      </c>
      <c r="C23" s="13">
        <f t="shared" si="3"/>
        <v>8.47</v>
      </c>
      <c r="D23" s="13">
        <f t="shared" si="4"/>
        <v>1.77</v>
      </c>
      <c r="E23" s="13">
        <f t="shared" si="5"/>
        <v>2.97</v>
      </c>
      <c r="F23" s="14">
        <v>6.2575</v>
      </c>
      <c r="G23" s="15">
        <f t="shared" si="6"/>
        <v>42.872</v>
      </c>
      <c r="H23" s="15">
        <f t="shared" si="0"/>
        <v>64.992</v>
      </c>
      <c r="K23" s="16">
        <v>0.025</v>
      </c>
    </row>
    <row r="24" spans="1:11" ht="12.75">
      <c r="A24" s="7">
        <f t="shared" si="1"/>
        <v>2021</v>
      </c>
      <c r="B24" s="12">
        <f t="shared" si="2"/>
        <v>8.91</v>
      </c>
      <c r="C24" s="13">
        <f t="shared" si="3"/>
        <v>8.68</v>
      </c>
      <c r="D24" s="13">
        <f t="shared" si="4"/>
        <v>1.81</v>
      </c>
      <c r="E24" s="13">
        <f t="shared" si="5"/>
        <v>3.04</v>
      </c>
      <c r="F24" s="14">
        <v>6.467320303136634</v>
      </c>
      <c r="G24" s="15">
        <f t="shared" si="6"/>
        <v>43.17675</v>
      </c>
      <c r="H24" s="15">
        <f t="shared" si="0"/>
        <v>65.61675</v>
      </c>
      <c r="K24" s="16">
        <v>0.025</v>
      </c>
    </row>
    <row r="25" spans="1:11" ht="12.75">
      <c r="A25" s="7">
        <f t="shared" si="1"/>
        <v>2022</v>
      </c>
      <c r="B25" s="12">
        <f t="shared" si="2"/>
        <v>8.91</v>
      </c>
      <c r="C25" s="13">
        <f t="shared" si="3"/>
        <v>8.9</v>
      </c>
      <c r="D25" s="13">
        <f t="shared" si="4"/>
        <v>1.86</v>
      </c>
      <c r="E25" s="13">
        <f t="shared" si="5"/>
        <v>3.12</v>
      </c>
      <c r="F25" s="14">
        <v>6.62900331071505</v>
      </c>
      <c r="G25" s="15">
        <f t="shared" si="6"/>
        <v>44.624510091642776</v>
      </c>
      <c r="H25" s="15">
        <f t="shared" si="0"/>
        <v>67.41451009164278</v>
      </c>
      <c r="K25" s="16">
        <v>0.025</v>
      </c>
    </row>
    <row r="26" spans="1:11" ht="12.75">
      <c r="A26" s="7">
        <f t="shared" si="1"/>
        <v>2023</v>
      </c>
      <c r="B26" s="12">
        <f t="shared" si="2"/>
        <v>8.91</v>
      </c>
      <c r="C26" s="13">
        <f t="shared" si="3"/>
        <v>9.12</v>
      </c>
      <c r="D26" s="13">
        <f t="shared" si="4"/>
        <v>1.91</v>
      </c>
      <c r="E26" s="13">
        <f t="shared" si="5"/>
        <v>3.2</v>
      </c>
      <c r="F26" s="14">
        <v>6.794728393482925</v>
      </c>
      <c r="G26" s="15">
        <f t="shared" si="6"/>
        <v>45.74012284393385</v>
      </c>
      <c r="H26" s="15">
        <f t="shared" si="0"/>
        <v>68.88012284393385</v>
      </c>
      <c r="K26" s="16">
        <v>0.025</v>
      </c>
    </row>
    <row r="27" spans="1:11" ht="12.75">
      <c r="A27" s="7">
        <f t="shared" si="1"/>
        <v>2024</v>
      </c>
      <c r="B27" s="12">
        <f t="shared" si="2"/>
        <v>8.91</v>
      </c>
      <c r="C27" s="13">
        <f t="shared" si="3"/>
        <v>9.35</v>
      </c>
      <c r="D27" s="13">
        <f t="shared" si="4"/>
        <v>1.96</v>
      </c>
      <c r="E27" s="13">
        <f t="shared" si="5"/>
        <v>3.28</v>
      </c>
      <c r="F27" s="14">
        <v>6.9645966033199995</v>
      </c>
      <c r="G27" s="15">
        <f t="shared" si="6"/>
        <v>46.88362591503218</v>
      </c>
      <c r="H27" s="15">
        <f t="shared" si="0"/>
        <v>70.38362591503218</v>
      </c>
      <c r="K27" s="16">
        <v>0.025</v>
      </c>
    </row>
    <row r="28" spans="1:11" ht="12.75">
      <c r="A28" s="7">
        <f t="shared" si="1"/>
        <v>2025</v>
      </c>
      <c r="B28" s="12">
        <f t="shared" si="2"/>
        <v>8.91</v>
      </c>
      <c r="C28" s="13">
        <f t="shared" si="3"/>
        <v>9.58</v>
      </c>
      <c r="D28" s="13">
        <f t="shared" si="4"/>
        <v>2.01</v>
      </c>
      <c r="E28" s="13">
        <f t="shared" si="5"/>
        <v>3.36</v>
      </c>
      <c r="F28" s="14">
        <v>7.138711518402997</v>
      </c>
      <c r="G28" s="15">
        <f t="shared" si="6"/>
        <v>48.055716562907996</v>
      </c>
      <c r="H28" s="15">
        <f t="shared" si="0"/>
        <v>71.91571656290799</v>
      </c>
      <c r="K28" s="16">
        <v>0.025</v>
      </c>
    </row>
    <row r="29" spans="1:11" ht="12.75">
      <c r="A29" s="7">
        <f t="shared" si="1"/>
        <v>2026</v>
      </c>
      <c r="B29" s="12">
        <f t="shared" si="2"/>
        <v>8.91</v>
      </c>
      <c r="C29" s="13">
        <f t="shared" si="3"/>
        <v>9.82</v>
      </c>
      <c r="D29" s="13">
        <f t="shared" si="4"/>
        <v>2.06</v>
      </c>
      <c r="E29" s="13">
        <f t="shared" si="5"/>
        <v>3.44</v>
      </c>
      <c r="F29" s="14">
        <v>7.317179306363072</v>
      </c>
      <c r="G29" s="15">
        <f t="shared" si="6"/>
        <v>49.25710947698068</v>
      </c>
      <c r="H29" s="15">
        <f t="shared" si="0"/>
        <v>73.48710947698068</v>
      </c>
      <c r="K29" s="16">
        <v>0.025</v>
      </c>
    </row>
    <row r="30" spans="1:11" ht="12.75">
      <c r="A30" s="7">
        <f t="shared" si="1"/>
        <v>2027</v>
      </c>
      <c r="B30" s="12">
        <f t="shared" si="2"/>
        <v>8.91</v>
      </c>
      <c r="C30" s="13">
        <f t="shared" si="3"/>
        <v>10.07</v>
      </c>
      <c r="D30" s="13">
        <f t="shared" si="4"/>
        <v>2.11</v>
      </c>
      <c r="E30" s="13">
        <f t="shared" si="5"/>
        <v>3.53</v>
      </c>
      <c r="F30" s="14">
        <v>7.500108789022149</v>
      </c>
      <c r="G30" s="15">
        <f t="shared" si="6"/>
        <v>50.4885372139052</v>
      </c>
      <c r="H30" s="15">
        <f t="shared" si="0"/>
        <v>75.1085372139052</v>
      </c>
      <c r="K30" s="16">
        <v>0.025</v>
      </c>
    </row>
    <row r="31" spans="1:11" ht="12.75">
      <c r="A31" s="7">
        <f t="shared" si="1"/>
        <v>2028</v>
      </c>
      <c r="B31" s="12">
        <f t="shared" si="2"/>
        <v>8.91</v>
      </c>
      <c r="C31" s="13">
        <f t="shared" si="3"/>
        <v>10.32</v>
      </c>
      <c r="D31" s="13">
        <f t="shared" si="4"/>
        <v>2.16</v>
      </c>
      <c r="E31" s="13">
        <f t="shared" si="5"/>
        <v>3.62</v>
      </c>
      <c r="F31" s="14">
        <v>7.687611508747698</v>
      </c>
      <c r="G31" s="15">
        <f t="shared" si="6"/>
        <v>51.750750644252825</v>
      </c>
      <c r="H31" s="15">
        <f t="shared" si="0"/>
        <v>76.76075064425282</v>
      </c>
      <c r="K31" s="16">
        <v>0.025</v>
      </c>
    </row>
    <row r="32" spans="1:11" ht="12.75">
      <c r="A32" s="7">
        <f t="shared" si="1"/>
        <v>2029</v>
      </c>
      <c r="B32" s="12">
        <f t="shared" si="2"/>
        <v>8.91</v>
      </c>
      <c r="C32" s="13">
        <f t="shared" si="3"/>
        <v>10.58</v>
      </c>
      <c r="D32" s="13">
        <f t="shared" si="4"/>
        <v>2.21</v>
      </c>
      <c r="E32" s="13">
        <f t="shared" si="5"/>
        <v>3.71</v>
      </c>
      <c r="F32" s="14">
        <v>7.841363738922651</v>
      </c>
      <c r="G32" s="15">
        <f t="shared" si="6"/>
        <v>53.044519410359115</v>
      </c>
      <c r="H32" s="15">
        <f t="shared" si="0"/>
        <v>78.45451941035913</v>
      </c>
      <c r="K32" s="16">
        <v>0.025</v>
      </c>
    </row>
    <row r="33" spans="1:11" ht="12.75">
      <c r="A33" s="7">
        <f t="shared" si="1"/>
        <v>2030</v>
      </c>
      <c r="B33" s="12">
        <f t="shared" si="2"/>
        <v>8.91</v>
      </c>
      <c r="C33" s="13">
        <f t="shared" si="3"/>
        <v>10.84</v>
      </c>
      <c r="D33" s="13">
        <f t="shared" si="4"/>
        <v>2.27</v>
      </c>
      <c r="E33" s="13">
        <f t="shared" si="5"/>
        <v>3.8</v>
      </c>
      <c r="F33" s="14">
        <v>7.9981910137011045</v>
      </c>
      <c r="G33" s="15">
        <f t="shared" si="6"/>
        <v>54.1054097985663</v>
      </c>
      <c r="H33" s="15">
        <f t="shared" si="0"/>
        <v>79.9254097985663</v>
      </c>
      <c r="K33" s="16">
        <v>0.025</v>
      </c>
    </row>
    <row r="34" spans="1:11" ht="12.75">
      <c r="A34" s="7">
        <f t="shared" si="1"/>
        <v>2031</v>
      </c>
      <c r="B34" s="12">
        <f t="shared" si="2"/>
        <v>8.91</v>
      </c>
      <c r="C34" s="13">
        <f t="shared" si="3"/>
        <v>11.11</v>
      </c>
      <c r="D34" s="13">
        <f t="shared" si="4"/>
        <v>2.33</v>
      </c>
      <c r="E34" s="13">
        <f t="shared" si="5"/>
        <v>3.9</v>
      </c>
      <c r="F34" s="14">
        <v>8.158154833975127</v>
      </c>
      <c r="G34" s="15">
        <f t="shared" si="6"/>
        <v>55.18751799453762</v>
      </c>
      <c r="H34" s="15">
        <f t="shared" si="0"/>
        <v>81.43751799453761</v>
      </c>
      <c r="K34" s="16">
        <v>0.025</v>
      </c>
    </row>
    <row r="35" spans="1:11" ht="12.75">
      <c r="A35" s="7">
        <f t="shared" si="1"/>
        <v>2032</v>
      </c>
      <c r="B35" s="12">
        <f t="shared" si="2"/>
        <v>8.91</v>
      </c>
      <c r="C35" s="13">
        <f t="shared" si="3"/>
        <v>11.39</v>
      </c>
      <c r="D35" s="13">
        <f t="shared" si="4"/>
        <v>2.39</v>
      </c>
      <c r="E35" s="13">
        <f t="shared" si="5"/>
        <v>4</v>
      </c>
      <c r="F35" s="14">
        <v>8.32131793065463</v>
      </c>
      <c r="G35" s="15">
        <f t="shared" si="6"/>
        <v>56.291268354428375</v>
      </c>
      <c r="H35" s="15">
        <f t="shared" si="0"/>
        <v>82.98126835442838</v>
      </c>
      <c r="K35" s="16">
        <v>0.025</v>
      </c>
    </row>
    <row r="36" spans="1:11" ht="12.75">
      <c r="A36" s="7">
        <f t="shared" si="1"/>
        <v>2033</v>
      </c>
      <c r="B36" s="12">
        <f t="shared" si="2"/>
        <v>8.91</v>
      </c>
      <c r="C36" s="13">
        <f t="shared" si="3"/>
        <v>11.67</v>
      </c>
      <c r="D36" s="13">
        <f t="shared" si="4"/>
        <v>2.45</v>
      </c>
      <c r="E36" s="13">
        <f t="shared" si="5"/>
        <v>4.1</v>
      </c>
      <c r="F36" s="14">
        <v>8.487744289267722</v>
      </c>
      <c r="G36" s="15">
        <f t="shared" si="6"/>
        <v>57.41709372151694</v>
      </c>
      <c r="H36" s="15">
        <f t="shared" si="0"/>
        <v>84.54709372151694</v>
      </c>
      <c r="K36" s="16">
        <v>0.025</v>
      </c>
    </row>
    <row r="37" spans="1:11" ht="12.75">
      <c r="A37" s="7"/>
      <c r="B37" s="12"/>
      <c r="C37" s="7"/>
      <c r="D37" s="7"/>
      <c r="E37" s="7"/>
      <c r="F37" s="15"/>
      <c r="G37" s="15"/>
      <c r="H37" s="15"/>
      <c r="I37" s="7"/>
      <c r="J37" s="7"/>
      <c r="K37" s="16">
        <v>0.025</v>
      </c>
    </row>
    <row r="38" spans="1:11" ht="12.75">
      <c r="A38" s="7"/>
      <c r="B38" s="12"/>
      <c r="C38" s="7"/>
      <c r="D38" s="7"/>
      <c r="E38" s="7"/>
      <c r="F38" s="15"/>
      <c r="G38" s="15"/>
      <c r="H38" s="15"/>
      <c r="I38" s="7"/>
      <c r="J38" s="7"/>
      <c r="K38" s="7"/>
    </row>
    <row r="39" spans="1:14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N39" s="17"/>
    </row>
    <row r="40" spans="1:15" ht="12.75">
      <c r="A40" s="18" t="s">
        <v>15</v>
      </c>
      <c r="B40" s="7"/>
      <c r="C40" s="7"/>
      <c r="D40" s="7"/>
      <c r="E40" s="7"/>
      <c r="F40" s="7"/>
      <c r="G40" s="7"/>
      <c r="H40" s="7"/>
      <c r="I40" s="7"/>
      <c r="J40" s="7"/>
      <c r="N40" s="19"/>
      <c r="O40" s="5"/>
    </row>
    <row r="41" spans="1:14" ht="12.75">
      <c r="A41" s="7"/>
      <c r="B41" s="8"/>
      <c r="C41" s="8"/>
      <c r="E41" s="8"/>
      <c r="F41" s="8"/>
      <c r="G41" s="8"/>
      <c r="H41" s="8"/>
      <c r="I41" s="8"/>
      <c r="J41" s="8" t="s">
        <v>16</v>
      </c>
      <c r="K41" s="5"/>
      <c r="L41" s="5"/>
      <c r="M41" s="5"/>
      <c r="N41" s="19"/>
    </row>
    <row r="42" spans="1:14" ht="12.75">
      <c r="A42" s="7"/>
      <c r="B42" s="8" t="s">
        <v>3</v>
      </c>
      <c r="C42" s="8" t="s">
        <v>4</v>
      </c>
      <c r="D42" t="s">
        <v>5</v>
      </c>
      <c r="E42" s="8" t="s">
        <v>6</v>
      </c>
      <c r="F42" s="8" t="s">
        <v>17</v>
      </c>
      <c r="G42" s="20" t="s">
        <v>17</v>
      </c>
      <c r="H42" s="8" t="s">
        <v>7</v>
      </c>
      <c r="I42" s="8" t="s">
        <v>8</v>
      </c>
      <c r="J42" s="8" t="s">
        <v>18</v>
      </c>
      <c r="K42" s="5"/>
      <c r="L42" s="21"/>
      <c r="M42" s="21"/>
      <c r="N42" s="19"/>
    </row>
    <row r="43" spans="1:14" ht="13.5" thickBot="1">
      <c r="A43" s="9" t="s">
        <v>10</v>
      </c>
      <c r="B43" s="10" t="s">
        <v>19</v>
      </c>
      <c r="C43" s="10" t="s">
        <v>19</v>
      </c>
      <c r="D43" s="10" t="s">
        <v>19</v>
      </c>
      <c r="E43" s="10" t="s">
        <v>19</v>
      </c>
      <c r="F43" s="22" t="s">
        <v>13</v>
      </c>
      <c r="G43" s="10" t="s">
        <v>19</v>
      </c>
      <c r="H43" s="10" t="s">
        <v>19</v>
      </c>
      <c r="I43" s="10" t="s">
        <v>19</v>
      </c>
      <c r="J43" s="10" t="s">
        <v>19</v>
      </c>
      <c r="K43" s="11" t="s">
        <v>14</v>
      </c>
      <c r="L43" s="16"/>
      <c r="M43" s="16"/>
      <c r="N43" s="19"/>
    </row>
    <row r="44" spans="1:14" ht="13.5" customHeight="1" thickTop="1">
      <c r="A44" s="7">
        <v>2004</v>
      </c>
      <c r="B44" s="12">
        <f>ROUND($F$96*$D$85,2)</f>
        <v>44.45</v>
      </c>
      <c r="C44" s="13">
        <f>ROUND($G$96*(1+$K44),2)</f>
        <v>19.21</v>
      </c>
      <c r="D44" s="13">
        <f aca="true" t="shared" si="7" ref="D44:D73">ROUND($H$96*(1+$K44),2)</f>
        <v>5.56</v>
      </c>
      <c r="E44" s="13">
        <f>ROUND(($I$96*(1+$K44)*$D86)/1000,2)</f>
        <v>0.4</v>
      </c>
      <c r="F44" s="23">
        <v>6.895392795323741</v>
      </c>
      <c r="G44" s="15">
        <f aca="true" t="shared" si="8" ref="G44:G73">(($F44*$J$96)/1000)*$G$86/1000</f>
        <v>4.033804785264389</v>
      </c>
      <c r="H44" s="15">
        <f aca="true" t="shared" si="9" ref="H44:H73">(F7*$J$96/1000)*($D$86-$G$86)/1000</f>
        <v>6.7743</v>
      </c>
      <c r="I44" s="24">
        <f aca="true" t="shared" si="10" ref="I44:I73">SUM(B44:E44,G44,H44)</f>
        <v>80.4281047852644</v>
      </c>
      <c r="J44" s="24">
        <f aca="true" t="shared" si="11" ref="J44:J73">(1+$D$97)*(B44+C44)/2+E44+G44+H44</f>
        <v>47.812604785264384</v>
      </c>
      <c r="K44" s="16">
        <v>0</v>
      </c>
      <c r="L44" s="16"/>
      <c r="M44" s="16"/>
      <c r="N44" s="19"/>
    </row>
    <row r="45" spans="1:14" ht="13.5" customHeight="1">
      <c r="A45" s="7">
        <f aca="true" t="shared" si="12" ref="A45:A73">(A44+1)</f>
        <v>2005</v>
      </c>
      <c r="B45" s="12">
        <f aca="true" t="shared" si="13" ref="B45:B73">B$44</f>
        <v>44.45</v>
      </c>
      <c r="C45" s="7">
        <f aca="true" t="shared" si="14" ref="C45:C73">ROUND(C44*(1+$K9),2)</f>
        <v>19.69</v>
      </c>
      <c r="D45" s="13">
        <f t="shared" si="7"/>
        <v>5.7</v>
      </c>
      <c r="E45" s="7">
        <f aca="true" t="shared" si="15" ref="E45:E73">ROUND(E44*(1+$K9),2)</f>
        <v>0.41</v>
      </c>
      <c r="F45" s="23">
        <v>6.50414279532374</v>
      </c>
      <c r="G45" s="15">
        <f t="shared" si="8"/>
        <v>3.804923535264388</v>
      </c>
      <c r="H45" s="15">
        <f t="shared" si="9"/>
        <v>7.834261499999998</v>
      </c>
      <c r="I45" s="24">
        <f t="shared" si="10"/>
        <v>81.88918503526439</v>
      </c>
      <c r="J45" s="24">
        <f t="shared" si="11"/>
        <v>48.92968503526438</v>
      </c>
      <c r="K45" s="16">
        <f>K9</f>
        <v>0.025</v>
      </c>
      <c r="L45" s="16"/>
      <c r="M45" s="16"/>
      <c r="N45" s="19"/>
    </row>
    <row r="46" spans="1:14" ht="13.5" customHeight="1">
      <c r="A46" s="7">
        <f t="shared" si="12"/>
        <v>2006</v>
      </c>
      <c r="B46" s="12">
        <f t="shared" si="13"/>
        <v>44.45</v>
      </c>
      <c r="C46" s="7">
        <f t="shared" si="14"/>
        <v>20.18</v>
      </c>
      <c r="D46" s="13">
        <f t="shared" si="7"/>
        <v>5.7</v>
      </c>
      <c r="E46" s="7">
        <f t="shared" si="15"/>
        <v>0.42</v>
      </c>
      <c r="F46" s="23">
        <v>4.854604406507359</v>
      </c>
      <c r="G46" s="15">
        <f t="shared" si="8"/>
        <v>2.8399435778068045</v>
      </c>
      <c r="H46" s="15">
        <f t="shared" si="9"/>
        <v>8.122724999999999</v>
      </c>
      <c r="I46" s="24">
        <f t="shared" si="10"/>
        <v>81.71266857780681</v>
      </c>
      <c r="J46" s="24">
        <f t="shared" si="11"/>
        <v>48.5449185778068</v>
      </c>
      <c r="K46" s="16">
        <f>K10</f>
        <v>0.025</v>
      </c>
      <c r="L46" s="16"/>
      <c r="M46" s="16"/>
      <c r="N46" s="19"/>
    </row>
    <row r="47" spans="1:14" ht="13.5" customHeight="1">
      <c r="A47" s="7">
        <f t="shared" si="12"/>
        <v>2007</v>
      </c>
      <c r="B47" s="12">
        <f t="shared" si="13"/>
        <v>44.45</v>
      </c>
      <c r="C47" s="15">
        <f t="shared" si="14"/>
        <v>20.68</v>
      </c>
      <c r="D47" s="13">
        <f t="shared" si="7"/>
        <v>5.7</v>
      </c>
      <c r="E47" s="7">
        <f t="shared" si="15"/>
        <v>0.43</v>
      </c>
      <c r="F47" s="23">
        <v>4.861940083469085</v>
      </c>
      <c r="G47" s="15">
        <f t="shared" si="8"/>
        <v>2.8442349488294143</v>
      </c>
      <c r="H47" s="15">
        <f t="shared" si="9"/>
        <v>7.9808625000000015</v>
      </c>
      <c r="I47" s="24">
        <f t="shared" si="10"/>
        <v>82.08509744882942</v>
      </c>
      <c r="J47" s="24">
        <f t="shared" si="11"/>
        <v>48.70484744882941</v>
      </c>
      <c r="K47" s="16">
        <f>K11</f>
        <v>0.025</v>
      </c>
      <c r="L47" s="16"/>
      <c r="M47" s="16"/>
      <c r="N47" s="19"/>
    </row>
    <row r="48" spans="1:14" ht="13.5" customHeight="1">
      <c r="A48" s="7">
        <f t="shared" si="12"/>
        <v>2008</v>
      </c>
      <c r="B48" s="12">
        <f t="shared" si="13"/>
        <v>44.45</v>
      </c>
      <c r="C48" s="7">
        <f t="shared" si="14"/>
        <v>21.2</v>
      </c>
      <c r="D48" s="13">
        <f t="shared" si="7"/>
        <v>5.7</v>
      </c>
      <c r="E48" s="7">
        <f t="shared" si="15"/>
        <v>0.44</v>
      </c>
      <c r="F48" s="23">
        <v>4.867321849017738</v>
      </c>
      <c r="G48" s="15">
        <f t="shared" si="8"/>
        <v>2.847383281675377</v>
      </c>
      <c r="H48" s="15">
        <f t="shared" si="9"/>
        <v>7.975012500000001</v>
      </c>
      <c r="I48" s="24">
        <f t="shared" si="10"/>
        <v>82.61239578167539</v>
      </c>
      <c r="J48" s="24">
        <f t="shared" si="11"/>
        <v>49.011145781675374</v>
      </c>
      <c r="K48" s="16">
        <f>K47</f>
        <v>0.025</v>
      </c>
      <c r="L48" s="16"/>
      <c r="M48" s="16"/>
      <c r="N48" s="19"/>
    </row>
    <row r="49" spans="1:14" ht="13.5" customHeight="1">
      <c r="A49" s="7">
        <f t="shared" si="12"/>
        <v>2009</v>
      </c>
      <c r="B49" s="12">
        <f t="shared" si="13"/>
        <v>44.45</v>
      </c>
      <c r="C49" s="7">
        <f t="shared" si="14"/>
        <v>21.73</v>
      </c>
      <c r="D49" s="13">
        <f t="shared" si="7"/>
        <v>5.7</v>
      </c>
      <c r="E49" s="7">
        <f t="shared" si="15"/>
        <v>0.45</v>
      </c>
      <c r="F49" s="23">
        <v>4.869941645461583</v>
      </c>
      <c r="G49" s="15">
        <f t="shared" si="8"/>
        <v>2.848915862595026</v>
      </c>
      <c r="H49" s="15">
        <f t="shared" si="9"/>
        <v>6.2785125</v>
      </c>
      <c r="I49" s="24">
        <f t="shared" si="10"/>
        <v>81.45742836259504</v>
      </c>
      <c r="J49" s="24">
        <f t="shared" si="11"/>
        <v>47.63092836259503</v>
      </c>
      <c r="K49" s="16">
        <f aca="true" t="shared" si="16" ref="K49:K73">K13</f>
        <v>0.025</v>
      </c>
      <c r="L49" s="16"/>
      <c r="M49" s="16"/>
      <c r="N49" s="19"/>
    </row>
    <row r="50" spans="1:14" ht="13.5" customHeight="1">
      <c r="A50" s="7">
        <f t="shared" si="12"/>
        <v>2010</v>
      </c>
      <c r="B50" s="12">
        <f t="shared" si="13"/>
        <v>44.45</v>
      </c>
      <c r="C50" s="7">
        <f t="shared" si="14"/>
        <v>22.27</v>
      </c>
      <c r="D50" s="13">
        <f t="shared" si="7"/>
        <v>5.7</v>
      </c>
      <c r="E50" s="7">
        <f t="shared" si="15"/>
        <v>0.46</v>
      </c>
      <c r="F50" s="23">
        <v>4.866270019089775</v>
      </c>
      <c r="G50" s="15">
        <f t="shared" si="8"/>
        <v>2.8467679611675187</v>
      </c>
      <c r="H50" s="15">
        <f t="shared" si="9"/>
        <v>6.1541999999999994</v>
      </c>
      <c r="I50" s="24">
        <f t="shared" si="10"/>
        <v>81.88096796116751</v>
      </c>
      <c r="J50" s="24">
        <f t="shared" si="11"/>
        <v>47.824967961167516</v>
      </c>
      <c r="K50" s="16">
        <f t="shared" si="16"/>
        <v>0.025</v>
      </c>
      <c r="L50" s="16"/>
      <c r="M50" s="16"/>
      <c r="N50" s="19"/>
    </row>
    <row r="51" spans="1:14" ht="13.5" customHeight="1">
      <c r="A51" s="7">
        <f t="shared" si="12"/>
        <v>2011</v>
      </c>
      <c r="B51" s="12">
        <f t="shared" si="13"/>
        <v>44.45</v>
      </c>
      <c r="C51" s="15">
        <f t="shared" si="14"/>
        <v>22.83</v>
      </c>
      <c r="D51" s="13">
        <f t="shared" si="7"/>
        <v>5.7</v>
      </c>
      <c r="E51" s="7">
        <f t="shared" si="15"/>
        <v>0.47</v>
      </c>
      <c r="F51" s="23">
        <v>4.908677225627147</v>
      </c>
      <c r="G51" s="15">
        <f t="shared" si="8"/>
        <v>2.8715761769918813</v>
      </c>
      <c r="H51" s="15">
        <f t="shared" si="9"/>
        <v>7.9896375</v>
      </c>
      <c r="I51" s="24">
        <f t="shared" si="10"/>
        <v>84.31121367699188</v>
      </c>
      <c r="J51" s="24">
        <f t="shared" si="11"/>
        <v>50.01721367699188</v>
      </c>
      <c r="K51" s="16">
        <f t="shared" si="16"/>
        <v>0.025</v>
      </c>
      <c r="L51" s="16"/>
      <c r="M51" s="16"/>
      <c r="N51" s="19"/>
    </row>
    <row r="52" spans="1:14" ht="13.5" customHeight="1">
      <c r="A52" s="7">
        <f t="shared" si="12"/>
        <v>2012</v>
      </c>
      <c r="B52" s="12">
        <f t="shared" si="13"/>
        <v>44.45</v>
      </c>
      <c r="C52" s="7">
        <f t="shared" si="14"/>
        <v>23.4</v>
      </c>
      <c r="D52" s="13">
        <f t="shared" si="7"/>
        <v>5.7</v>
      </c>
      <c r="E52" s="7">
        <f t="shared" si="15"/>
        <v>0.48</v>
      </c>
      <c r="F52" s="23">
        <v>4.946807399798222</v>
      </c>
      <c r="G52" s="15">
        <f t="shared" si="8"/>
        <v>2.8938823288819595</v>
      </c>
      <c r="H52" s="15">
        <f t="shared" si="9"/>
        <v>9.0952875</v>
      </c>
      <c r="I52" s="24">
        <f t="shared" si="10"/>
        <v>86.01916982888196</v>
      </c>
      <c r="J52" s="24">
        <f t="shared" si="11"/>
        <v>51.48291982888195</v>
      </c>
      <c r="K52" s="16">
        <f t="shared" si="16"/>
        <v>0.025</v>
      </c>
      <c r="L52" s="16"/>
      <c r="M52" s="16"/>
      <c r="N52" s="19"/>
    </row>
    <row r="53" spans="1:14" ht="13.5" customHeight="1">
      <c r="A53" s="7">
        <f t="shared" si="12"/>
        <v>2013</v>
      </c>
      <c r="B53" s="12">
        <f t="shared" si="13"/>
        <v>44.45</v>
      </c>
      <c r="C53" s="7">
        <f t="shared" si="14"/>
        <v>23.99</v>
      </c>
      <c r="D53" s="13">
        <f t="shared" si="7"/>
        <v>5.7</v>
      </c>
      <c r="E53" s="7">
        <f t="shared" si="15"/>
        <v>0.49</v>
      </c>
      <c r="F53" s="23">
        <v>4.985939143222428</v>
      </c>
      <c r="G53" s="15">
        <f t="shared" si="8"/>
        <v>2.91677439878512</v>
      </c>
      <c r="H53" s="15">
        <f t="shared" si="9"/>
        <v>9.629100000000001</v>
      </c>
      <c r="I53" s="24">
        <f t="shared" si="10"/>
        <v>87.17587439878511</v>
      </c>
      <c r="J53" s="24">
        <f t="shared" si="11"/>
        <v>52.38887439878512</v>
      </c>
      <c r="K53" s="16">
        <f t="shared" si="16"/>
        <v>0.025</v>
      </c>
      <c r="L53" s="16"/>
      <c r="M53" s="16"/>
      <c r="N53" s="19"/>
    </row>
    <row r="54" spans="1:14" ht="13.5" customHeight="1">
      <c r="A54" s="7">
        <f t="shared" si="12"/>
        <v>2014</v>
      </c>
      <c r="B54" s="12">
        <f t="shared" si="13"/>
        <v>44.45</v>
      </c>
      <c r="C54" s="7">
        <f t="shared" si="14"/>
        <v>24.59</v>
      </c>
      <c r="D54" s="13">
        <f t="shared" si="7"/>
        <v>5.7</v>
      </c>
      <c r="E54" s="7">
        <f t="shared" si="15"/>
        <v>0.5</v>
      </c>
      <c r="F54" s="23">
        <v>5.017934931504619</v>
      </c>
      <c r="G54" s="15">
        <f t="shared" si="8"/>
        <v>2.9354919349302016</v>
      </c>
      <c r="H54" s="15">
        <f t="shared" si="9"/>
        <v>10.4320125</v>
      </c>
      <c r="I54" s="24">
        <f t="shared" si="10"/>
        <v>88.6075044349302</v>
      </c>
      <c r="J54" s="24">
        <f t="shared" si="11"/>
        <v>53.565504434930205</v>
      </c>
      <c r="K54" s="16">
        <f t="shared" si="16"/>
        <v>0.025</v>
      </c>
      <c r="L54" s="16"/>
      <c r="M54" s="16"/>
      <c r="N54" s="19"/>
    </row>
    <row r="55" spans="1:14" ht="13.5" customHeight="1">
      <c r="A55" s="7">
        <f t="shared" si="12"/>
        <v>2015</v>
      </c>
      <c r="B55" s="12">
        <f t="shared" si="13"/>
        <v>44.45</v>
      </c>
      <c r="C55" s="7">
        <f t="shared" si="14"/>
        <v>25.2</v>
      </c>
      <c r="D55" s="13">
        <f t="shared" si="7"/>
        <v>5.7</v>
      </c>
      <c r="E55" s="7">
        <f t="shared" si="15"/>
        <v>0.51</v>
      </c>
      <c r="F55" s="23">
        <v>5.044935934107801</v>
      </c>
      <c r="G55" s="15">
        <f t="shared" si="8"/>
        <v>2.9512875214530636</v>
      </c>
      <c r="H55" s="15">
        <f t="shared" si="9"/>
        <v>10.079549999999998</v>
      </c>
      <c r="I55" s="24">
        <f t="shared" si="10"/>
        <v>88.89083752145308</v>
      </c>
      <c r="J55" s="24">
        <f t="shared" si="11"/>
        <v>53.589587521453055</v>
      </c>
      <c r="K55" s="16">
        <f t="shared" si="16"/>
        <v>0.025</v>
      </c>
      <c r="L55" s="16"/>
      <c r="M55" s="16"/>
      <c r="N55" s="19"/>
    </row>
    <row r="56" spans="1:14" ht="13.5" customHeight="1">
      <c r="A56" s="7">
        <f t="shared" si="12"/>
        <v>2016</v>
      </c>
      <c r="B56" s="12">
        <f t="shared" si="13"/>
        <v>44.45</v>
      </c>
      <c r="C56" s="7">
        <f t="shared" si="14"/>
        <v>25.83</v>
      </c>
      <c r="D56" s="13">
        <f t="shared" si="7"/>
        <v>5.7</v>
      </c>
      <c r="E56" s="7">
        <f t="shared" si="15"/>
        <v>0.52</v>
      </c>
      <c r="F56" s="23">
        <v>5.0920839880400415</v>
      </c>
      <c r="G56" s="15">
        <f t="shared" si="8"/>
        <v>2.9788691330034243</v>
      </c>
      <c r="H56" s="15">
        <f t="shared" si="9"/>
        <v>9.327825</v>
      </c>
      <c r="I56" s="24">
        <f t="shared" si="10"/>
        <v>88.80669413300343</v>
      </c>
      <c r="J56" s="24">
        <f t="shared" si="11"/>
        <v>53.237694133003416</v>
      </c>
      <c r="K56" s="16">
        <f t="shared" si="16"/>
        <v>0.025</v>
      </c>
      <c r="L56" s="16"/>
      <c r="M56" s="16"/>
      <c r="N56" s="19"/>
    </row>
    <row r="57" spans="1:14" ht="13.5" customHeight="1">
      <c r="A57" s="7">
        <f t="shared" si="12"/>
        <v>2017</v>
      </c>
      <c r="B57" s="12">
        <f t="shared" si="13"/>
        <v>44.45</v>
      </c>
      <c r="C57" s="7">
        <f t="shared" si="14"/>
        <v>26.48</v>
      </c>
      <c r="D57" s="13">
        <f t="shared" si="7"/>
        <v>5.7</v>
      </c>
      <c r="E57" s="7">
        <f t="shared" si="15"/>
        <v>0.53</v>
      </c>
      <c r="F57" s="23">
        <v>5.133615485991874</v>
      </c>
      <c r="G57" s="15">
        <f t="shared" si="8"/>
        <v>3.0031650593052466</v>
      </c>
      <c r="H57" s="15">
        <f t="shared" si="9"/>
        <v>10.392525000000001</v>
      </c>
      <c r="I57" s="24">
        <f t="shared" si="10"/>
        <v>90.55569005930526</v>
      </c>
      <c r="J57" s="24">
        <f t="shared" si="11"/>
        <v>54.71044005930525</v>
      </c>
      <c r="K57" s="16">
        <f t="shared" si="16"/>
        <v>0.025</v>
      </c>
      <c r="L57" s="16"/>
      <c r="M57" s="16"/>
      <c r="N57" s="19"/>
    </row>
    <row r="58" spans="1:14" ht="13.5" customHeight="1">
      <c r="A58" s="7">
        <f t="shared" si="12"/>
        <v>2018</v>
      </c>
      <c r="B58" s="12">
        <f t="shared" si="13"/>
        <v>44.45</v>
      </c>
      <c r="C58" s="15">
        <f t="shared" si="14"/>
        <v>27.14</v>
      </c>
      <c r="D58" s="13">
        <f t="shared" si="7"/>
        <v>5.7</v>
      </c>
      <c r="E58" s="7">
        <f t="shared" si="15"/>
        <v>0.54</v>
      </c>
      <c r="F58" s="23">
        <v>5.169156173092539</v>
      </c>
      <c r="G58" s="15">
        <f t="shared" si="8"/>
        <v>3.023956361259135</v>
      </c>
      <c r="H58" s="15">
        <f t="shared" si="9"/>
        <v>10.449562499999997</v>
      </c>
      <c r="I58" s="24">
        <f t="shared" si="10"/>
        <v>91.30351886125915</v>
      </c>
      <c r="J58" s="24">
        <f t="shared" si="11"/>
        <v>55.17776886125913</v>
      </c>
      <c r="K58" s="16">
        <f t="shared" si="16"/>
        <v>0.025</v>
      </c>
      <c r="L58" s="16"/>
      <c r="M58" s="16"/>
      <c r="N58" s="19"/>
    </row>
    <row r="59" spans="1:14" ht="13.5" customHeight="1">
      <c r="A59" s="7">
        <f t="shared" si="12"/>
        <v>2019</v>
      </c>
      <c r="B59" s="12">
        <f t="shared" si="13"/>
        <v>44.45</v>
      </c>
      <c r="C59" s="7">
        <f t="shared" si="14"/>
        <v>27.82</v>
      </c>
      <c r="D59" s="13">
        <f t="shared" si="7"/>
        <v>5.7</v>
      </c>
      <c r="E59" s="7">
        <f t="shared" si="15"/>
        <v>0.55</v>
      </c>
      <c r="F59" s="23">
        <v>5.200811415093411</v>
      </c>
      <c r="G59" s="15">
        <f t="shared" si="8"/>
        <v>3.0424746778296456</v>
      </c>
      <c r="H59" s="15">
        <f t="shared" si="9"/>
        <v>10.904399999999999</v>
      </c>
      <c r="I59" s="24">
        <f t="shared" si="10"/>
        <v>92.46687467782965</v>
      </c>
      <c r="J59" s="24">
        <f t="shared" si="11"/>
        <v>56.05212467782964</v>
      </c>
      <c r="K59" s="16">
        <f t="shared" si="16"/>
        <v>0.025</v>
      </c>
      <c r="L59" s="16"/>
      <c r="M59" s="16"/>
      <c r="N59" s="19"/>
    </row>
    <row r="60" spans="1:14" ht="13.5" customHeight="1">
      <c r="A60" s="7">
        <f t="shared" si="12"/>
        <v>2020</v>
      </c>
      <c r="B60" s="12">
        <f t="shared" si="13"/>
        <v>44.45</v>
      </c>
      <c r="C60" s="7">
        <f t="shared" si="14"/>
        <v>28.52</v>
      </c>
      <c r="D60" s="13">
        <f t="shared" si="7"/>
        <v>5.7</v>
      </c>
      <c r="E60" s="7">
        <f t="shared" si="15"/>
        <v>0.56</v>
      </c>
      <c r="F60" s="23">
        <v>5.227542452017786</v>
      </c>
      <c r="G60" s="15">
        <f t="shared" si="8"/>
        <v>3.058112334430404</v>
      </c>
      <c r="H60" s="15">
        <f t="shared" si="9"/>
        <v>10.9819125</v>
      </c>
      <c r="I60" s="24">
        <f t="shared" si="10"/>
        <v>93.27002483443042</v>
      </c>
      <c r="J60" s="24">
        <f t="shared" si="11"/>
        <v>56.557774834430404</v>
      </c>
      <c r="K60" s="16">
        <f t="shared" si="16"/>
        <v>0.025</v>
      </c>
      <c r="L60" s="16"/>
      <c r="M60" s="16"/>
      <c r="N60" s="19"/>
    </row>
    <row r="61" spans="1:14" ht="13.5" customHeight="1">
      <c r="A61" s="7">
        <f t="shared" si="12"/>
        <v>2021</v>
      </c>
      <c r="B61" s="12">
        <f t="shared" si="13"/>
        <v>44.45</v>
      </c>
      <c r="C61" s="7">
        <f t="shared" si="14"/>
        <v>29.23</v>
      </c>
      <c r="D61" s="13">
        <f t="shared" si="7"/>
        <v>5.7</v>
      </c>
      <c r="E61" s="7">
        <f t="shared" si="15"/>
        <v>0.57</v>
      </c>
      <c r="F61" s="23">
        <v>5.3320933010581415</v>
      </c>
      <c r="G61" s="15">
        <f t="shared" si="8"/>
        <v>3.119274581119013</v>
      </c>
      <c r="H61" s="15">
        <f t="shared" si="9"/>
        <v>11.350147132004793</v>
      </c>
      <c r="I61" s="24">
        <f t="shared" si="10"/>
        <v>94.41942171312381</v>
      </c>
      <c r="J61" s="24">
        <f t="shared" si="11"/>
        <v>57.40542171312381</v>
      </c>
      <c r="K61" s="16">
        <f t="shared" si="16"/>
        <v>0.025</v>
      </c>
      <c r="L61" s="16"/>
      <c r="M61" s="16"/>
      <c r="N61" s="19"/>
    </row>
    <row r="62" spans="1:14" ht="13.5" customHeight="1">
      <c r="A62" s="7">
        <f t="shared" si="12"/>
        <v>2022</v>
      </c>
      <c r="B62" s="12">
        <f t="shared" si="13"/>
        <v>44.45</v>
      </c>
      <c r="C62" s="7">
        <f t="shared" si="14"/>
        <v>29.96</v>
      </c>
      <c r="D62" s="13">
        <f t="shared" si="7"/>
        <v>5.7</v>
      </c>
      <c r="E62" s="7">
        <f t="shared" si="15"/>
        <v>0.58</v>
      </c>
      <c r="F62" s="23">
        <v>5.4387351670793045</v>
      </c>
      <c r="G62" s="15">
        <f t="shared" si="8"/>
        <v>3.181660072741393</v>
      </c>
      <c r="H62" s="15">
        <f t="shared" si="9"/>
        <v>11.633900810304914</v>
      </c>
      <c r="I62" s="24">
        <f t="shared" si="10"/>
        <v>95.5055608830463</v>
      </c>
      <c r="J62" s="24">
        <f t="shared" si="11"/>
        <v>58.1813108830463</v>
      </c>
      <c r="K62" s="16">
        <f t="shared" si="16"/>
        <v>0.025</v>
      </c>
      <c r="L62" s="16"/>
      <c r="M62" s="16"/>
      <c r="N62" s="19"/>
    </row>
    <row r="63" spans="1:14" ht="13.5" customHeight="1">
      <c r="A63" s="7">
        <f t="shared" si="12"/>
        <v>2023</v>
      </c>
      <c r="B63" s="12">
        <f t="shared" si="13"/>
        <v>44.45</v>
      </c>
      <c r="C63" s="7">
        <f t="shared" si="14"/>
        <v>30.71</v>
      </c>
      <c r="D63" s="13">
        <f t="shared" si="7"/>
        <v>5.7</v>
      </c>
      <c r="E63" s="7">
        <f t="shared" si="15"/>
        <v>0.59</v>
      </c>
      <c r="F63" s="23">
        <v>5.547509870420891</v>
      </c>
      <c r="G63" s="15">
        <f t="shared" si="8"/>
        <v>3.245293274196221</v>
      </c>
      <c r="H63" s="15">
        <f t="shared" si="9"/>
        <v>11.92474833056253</v>
      </c>
      <c r="I63" s="24">
        <f t="shared" si="10"/>
        <v>96.62004160475874</v>
      </c>
      <c r="J63" s="24">
        <f t="shared" si="11"/>
        <v>58.977041604758746</v>
      </c>
      <c r="K63" s="16">
        <f t="shared" si="16"/>
        <v>0.025</v>
      </c>
      <c r="L63" s="16"/>
      <c r="M63" s="16"/>
      <c r="N63" s="19"/>
    </row>
    <row r="64" spans="1:14" ht="13.5" customHeight="1">
      <c r="A64" s="7">
        <f t="shared" si="12"/>
        <v>2024</v>
      </c>
      <c r="B64" s="12">
        <f t="shared" si="13"/>
        <v>44.45</v>
      </c>
      <c r="C64" s="7">
        <f t="shared" si="14"/>
        <v>31.48</v>
      </c>
      <c r="D64" s="13">
        <f t="shared" si="7"/>
        <v>5.7</v>
      </c>
      <c r="E64" s="7">
        <f t="shared" si="15"/>
        <v>0.6</v>
      </c>
      <c r="F64" s="23">
        <v>5.658460067829308</v>
      </c>
      <c r="G64" s="15">
        <f t="shared" si="8"/>
        <v>3.310199139680145</v>
      </c>
      <c r="H64" s="15">
        <f t="shared" si="9"/>
        <v>12.2228670388266</v>
      </c>
      <c r="I64" s="24">
        <f t="shared" si="10"/>
        <v>97.76306617850676</v>
      </c>
      <c r="J64" s="24">
        <f t="shared" si="11"/>
        <v>59.79281617850675</v>
      </c>
      <c r="K64" s="16">
        <f t="shared" si="16"/>
        <v>0.025</v>
      </c>
      <c r="L64" s="16"/>
      <c r="M64" s="16"/>
      <c r="N64" s="19"/>
    </row>
    <row r="65" spans="1:14" ht="13.5" customHeight="1">
      <c r="A65" s="7">
        <f t="shared" si="12"/>
        <v>2025</v>
      </c>
      <c r="B65" s="12">
        <f t="shared" si="13"/>
        <v>44.45</v>
      </c>
      <c r="C65" s="7">
        <f t="shared" si="14"/>
        <v>32.27</v>
      </c>
      <c r="D65" s="13">
        <f t="shared" si="7"/>
        <v>5.7</v>
      </c>
      <c r="E65" s="7">
        <f t="shared" si="15"/>
        <v>0.62</v>
      </c>
      <c r="F65" s="23">
        <v>5.771629269185895</v>
      </c>
      <c r="G65" s="15">
        <f t="shared" si="8"/>
        <v>3.376403122473748</v>
      </c>
      <c r="H65" s="15">
        <f t="shared" si="9"/>
        <v>12.52843871479726</v>
      </c>
      <c r="I65" s="24">
        <f t="shared" si="10"/>
        <v>98.94484183727101</v>
      </c>
      <c r="J65" s="24">
        <f t="shared" si="11"/>
        <v>60.638841837271</v>
      </c>
      <c r="K65" s="16">
        <f t="shared" si="16"/>
        <v>0.025</v>
      </c>
      <c r="L65" s="16"/>
      <c r="M65" s="16"/>
      <c r="N65" s="19"/>
    </row>
    <row r="66" spans="1:14" ht="13.5" customHeight="1">
      <c r="A66" s="7">
        <f t="shared" si="12"/>
        <v>2026</v>
      </c>
      <c r="B66" s="12">
        <f t="shared" si="13"/>
        <v>44.45</v>
      </c>
      <c r="C66" s="7">
        <f t="shared" si="14"/>
        <v>33.08</v>
      </c>
      <c r="D66" s="13">
        <f t="shared" si="7"/>
        <v>5.7</v>
      </c>
      <c r="E66" s="7">
        <f t="shared" si="15"/>
        <v>0.64</v>
      </c>
      <c r="F66" s="23">
        <v>5.8870618545696125</v>
      </c>
      <c r="G66" s="15">
        <f t="shared" si="8"/>
        <v>3.443931184923223</v>
      </c>
      <c r="H66" s="15">
        <f t="shared" si="9"/>
        <v>12.841649682667194</v>
      </c>
      <c r="I66" s="24">
        <f t="shared" si="10"/>
        <v>100.15558086759043</v>
      </c>
      <c r="J66" s="24">
        <f t="shared" si="11"/>
        <v>61.505330867590416</v>
      </c>
      <c r="K66" s="16">
        <f t="shared" si="16"/>
        <v>0.025</v>
      </c>
      <c r="L66" s="16"/>
      <c r="M66" s="16"/>
      <c r="N66" s="19"/>
    </row>
    <row r="67" spans="1:14" ht="13.5" customHeight="1">
      <c r="A67" s="7">
        <f t="shared" si="12"/>
        <v>2027</v>
      </c>
      <c r="B67" s="12">
        <f t="shared" si="13"/>
        <v>44.45</v>
      </c>
      <c r="C67" s="7">
        <f t="shared" si="14"/>
        <v>33.91</v>
      </c>
      <c r="D67" s="13">
        <f t="shared" si="7"/>
        <v>5.7</v>
      </c>
      <c r="E67" s="7">
        <f t="shared" si="15"/>
        <v>0.66</v>
      </c>
      <c r="F67" s="23">
        <v>6.004803091661005</v>
      </c>
      <c r="G67" s="15">
        <f t="shared" si="8"/>
        <v>3.5128098086216877</v>
      </c>
      <c r="H67" s="15">
        <f t="shared" si="9"/>
        <v>13.16269092473387</v>
      </c>
      <c r="I67" s="24">
        <f t="shared" si="10"/>
        <v>101.39550073335555</v>
      </c>
      <c r="J67" s="24">
        <f t="shared" si="11"/>
        <v>62.39250073335555</v>
      </c>
      <c r="K67" s="16">
        <f t="shared" si="16"/>
        <v>0.025</v>
      </c>
      <c r="L67" s="16"/>
      <c r="M67" s="16"/>
      <c r="N67" s="19"/>
    </row>
    <row r="68" spans="1:14" ht="13.5" customHeight="1">
      <c r="A68" s="7">
        <f t="shared" si="12"/>
        <v>2028</v>
      </c>
      <c r="B68" s="12">
        <f t="shared" si="13"/>
        <v>44.45</v>
      </c>
      <c r="C68" s="7">
        <f t="shared" si="14"/>
        <v>34.76</v>
      </c>
      <c r="D68" s="13">
        <f t="shared" si="7"/>
        <v>5.7</v>
      </c>
      <c r="E68" s="7">
        <f t="shared" si="15"/>
        <v>0.68</v>
      </c>
      <c r="F68" s="23">
        <v>6.124899153494225</v>
      </c>
      <c r="G68" s="15">
        <f t="shared" si="8"/>
        <v>3.5830660047941216</v>
      </c>
      <c r="H68" s="15">
        <f t="shared" si="9"/>
        <v>13.49175819785221</v>
      </c>
      <c r="I68" s="24">
        <f t="shared" si="10"/>
        <v>102.66482420264634</v>
      </c>
      <c r="J68" s="24">
        <f t="shared" si="11"/>
        <v>63.30057420264633</v>
      </c>
      <c r="K68" s="16">
        <f t="shared" si="16"/>
        <v>0.025</v>
      </c>
      <c r="L68" s="16"/>
      <c r="M68" s="16"/>
      <c r="N68" s="19"/>
    </row>
    <row r="69" spans="1:14" ht="13.5" customHeight="1">
      <c r="A69" s="7">
        <f t="shared" si="12"/>
        <v>2029</v>
      </c>
      <c r="B69" s="12">
        <f t="shared" si="13"/>
        <v>44.45</v>
      </c>
      <c r="C69" s="7">
        <f t="shared" si="14"/>
        <v>35.63</v>
      </c>
      <c r="D69" s="13">
        <f t="shared" si="7"/>
        <v>5.7</v>
      </c>
      <c r="E69" s="7">
        <f t="shared" si="15"/>
        <v>0.7</v>
      </c>
      <c r="F69" s="23">
        <v>6.24739713656411</v>
      </c>
      <c r="G69" s="15">
        <f t="shared" si="8"/>
        <v>3.654727324890004</v>
      </c>
      <c r="H69" s="15">
        <f t="shared" si="9"/>
        <v>13.761593361809254</v>
      </c>
      <c r="I69" s="24">
        <f t="shared" si="10"/>
        <v>103.89632068669928</v>
      </c>
      <c r="J69" s="24">
        <f t="shared" si="11"/>
        <v>64.16232068669927</v>
      </c>
      <c r="K69" s="16">
        <f t="shared" si="16"/>
        <v>0.025</v>
      </c>
      <c r="L69" s="16"/>
      <c r="M69" s="16"/>
      <c r="N69" s="19"/>
    </row>
    <row r="70" spans="1:14" ht="13.5" customHeight="1">
      <c r="A70" s="7">
        <f t="shared" si="12"/>
        <v>2030</v>
      </c>
      <c r="B70" s="12">
        <f t="shared" si="13"/>
        <v>44.45</v>
      </c>
      <c r="C70" s="7">
        <f t="shared" si="14"/>
        <v>36.52</v>
      </c>
      <c r="D70" s="13">
        <f t="shared" si="7"/>
        <v>5.7</v>
      </c>
      <c r="E70" s="7">
        <f t="shared" si="15"/>
        <v>0.72</v>
      </c>
      <c r="F70" s="23">
        <v>6.372345079295392</v>
      </c>
      <c r="G70" s="15">
        <f t="shared" si="8"/>
        <v>3.727821871387804</v>
      </c>
      <c r="H70" s="15">
        <f t="shared" si="9"/>
        <v>14.03682522904544</v>
      </c>
      <c r="I70" s="24">
        <f t="shared" si="10"/>
        <v>105.15464710043324</v>
      </c>
      <c r="J70" s="24">
        <f t="shared" si="11"/>
        <v>65.04239710043325</v>
      </c>
      <c r="K70" s="16">
        <f t="shared" si="16"/>
        <v>0.025</v>
      </c>
      <c r="L70" s="16"/>
      <c r="M70" s="16"/>
      <c r="N70" s="19"/>
    </row>
    <row r="71" spans="1:14" ht="13.5" customHeight="1">
      <c r="A71" s="7">
        <f t="shared" si="12"/>
        <v>2031</v>
      </c>
      <c r="B71" s="12">
        <f t="shared" si="13"/>
        <v>44.45</v>
      </c>
      <c r="C71" s="7">
        <f t="shared" si="14"/>
        <v>37.43</v>
      </c>
      <c r="D71" s="13">
        <f t="shared" si="7"/>
        <v>5.7</v>
      </c>
      <c r="E71" s="7">
        <f t="shared" si="15"/>
        <v>0.74</v>
      </c>
      <c r="F71" s="23">
        <v>6.4997919808813</v>
      </c>
      <c r="G71" s="15">
        <f t="shared" si="8"/>
        <v>3.802378308815561</v>
      </c>
      <c r="H71" s="15">
        <f t="shared" si="9"/>
        <v>14.317561733626347</v>
      </c>
      <c r="I71" s="24">
        <f t="shared" si="10"/>
        <v>106.4399400424419</v>
      </c>
      <c r="J71" s="24">
        <f t="shared" si="11"/>
        <v>65.94094004244191</v>
      </c>
      <c r="K71" s="16">
        <f t="shared" si="16"/>
        <v>0.025</v>
      </c>
      <c r="L71" s="16"/>
      <c r="M71" s="16"/>
      <c r="N71" s="19"/>
    </row>
    <row r="72" spans="1:14" ht="13.5" customHeight="1">
      <c r="A72" s="7">
        <f t="shared" si="12"/>
        <v>2032</v>
      </c>
      <c r="B72" s="12">
        <f t="shared" si="13"/>
        <v>44.45</v>
      </c>
      <c r="C72" s="7">
        <f t="shared" si="14"/>
        <v>38.37</v>
      </c>
      <c r="D72" s="13">
        <f t="shared" si="7"/>
        <v>5.7</v>
      </c>
      <c r="E72" s="7">
        <f t="shared" si="15"/>
        <v>0.76</v>
      </c>
      <c r="F72" s="23">
        <v>6.629787820498926</v>
      </c>
      <c r="G72" s="15">
        <f t="shared" si="8"/>
        <v>3.8784258749918714</v>
      </c>
      <c r="H72" s="15">
        <f t="shared" si="9"/>
        <v>14.603912968298873</v>
      </c>
      <c r="I72" s="24">
        <f t="shared" si="10"/>
        <v>107.76233884329075</v>
      </c>
      <c r="J72" s="24">
        <f t="shared" si="11"/>
        <v>66.86383884329074</v>
      </c>
      <c r="K72" s="16">
        <f t="shared" si="16"/>
        <v>0.025</v>
      </c>
      <c r="L72" s="16"/>
      <c r="M72" s="16"/>
      <c r="N72" s="19"/>
    </row>
    <row r="73" spans="1:14" ht="13.5" customHeight="1">
      <c r="A73" s="7">
        <f t="shared" si="12"/>
        <v>2033</v>
      </c>
      <c r="B73" s="12">
        <f t="shared" si="13"/>
        <v>44.45</v>
      </c>
      <c r="C73" s="7">
        <f t="shared" si="14"/>
        <v>39.33</v>
      </c>
      <c r="D73" s="13">
        <f t="shared" si="7"/>
        <v>5.7</v>
      </c>
      <c r="E73" s="7">
        <f t="shared" si="15"/>
        <v>0.78</v>
      </c>
      <c r="F73" s="23">
        <v>6.7623835769089045</v>
      </c>
      <c r="G73" s="15">
        <f t="shared" si="8"/>
        <v>3.9559943924917094</v>
      </c>
      <c r="H73" s="15">
        <f t="shared" si="9"/>
        <v>14.895991227664853</v>
      </c>
      <c r="I73" s="24">
        <f t="shared" si="10"/>
        <v>109.11198562015656</v>
      </c>
      <c r="J73" s="24">
        <f t="shared" si="11"/>
        <v>67.80548562015656</v>
      </c>
      <c r="K73" s="16">
        <f t="shared" si="16"/>
        <v>0.025</v>
      </c>
      <c r="L73" s="16"/>
      <c r="M73" s="16"/>
      <c r="N73" s="19"/>
    </row>
    <row r="74" spans="1:11" ht="12.75">
      <c r="A74" s="7"/>
      <c r="B74" s="12"/>
      <c r="C74" s="7"/>
      <c r="D74" s="7"/>
      <c r="E74" s="7"/>
      <c r="F74" s="15"/>
      <c r="G74" s="15"/>
      <c r="H74" s="15"/>
      <c r="I74" s="24"/>
      <c r="J74" s="24"/>
      <c r="K74" s="24"/>
    </row>
    <row r="75" spans="1:11" ht="12.75">
      <c r="A75" s="7"/>
      <c r="B75" s="12"/>
      <c r="C75" s="7"/>
      <c r="D75" s="7"/>
      <c r="E75" s="7"/>
      <c r="F75" s="15"/>
      <c r="G75" s="15"/>
      <c r="H75" s="15"/>
      <c r="I75" s="24"/>
      <c r="J75" s="24"/>
      <c r="K75" s="24"/>
    </row>
    <row r="76" spans="1:11" ht="13.5" thickBot="1">
      <c r="A76" s="7"/>
      <c r="B76" s="7"/>
      <c r="C76" s="7"/>
      <c r="D76" s="7"/>
      <c r="E76" s="7"/>
      <c r="F76" s="7"/>
      <c r="G76" s="7"/>
      <c r="H76" s="7"/>
      <c r="I76" s="24"/>
      <c r="J76" s="24"/>
      <c r="K76" s="24"/>
    </row>
    <row r="77" spans="1:11" ht="13.5" thickTop="1">
      <c r="A77" s="7"/>
      <c r="B77" s="25"/>
      <c r="C77" s="26"/>
      <c r="D77" s="27" t="s">
        <v>20</v>
      </c>
      <c r="E77" s="27" t="s">
        <v>16</v>
      </c>
      <c r="F77" s="27" t="s">
        <v>21</v>
      </c>
      <c r="G77" s="28" t="s">
        <v>16</v>
      </c>
      <c r="H77" s="29"/>
      <c r="K77" s="7"/>
    </row>
    <row r="78" spans="1:11" ht="13.5" thickBot="1">
      <c r="A78" s="7"/>
      <c r="B78" s="30"/>
      <c r="C78" s="31"/>
      <c r="D78" s="32" t="s">
        <v>22</v>
      </c>
      <c r="E78" s="32" t="s">
        <v>23</v>
      </c>
      <c r="F78" s="32" t="s">
        <v>23</v>
      </c>
      <c r="G78" s="33" t="s">
        <v>18</v>
      </c>
      <c r="H78" s="29"/>
      <c r="K78" s="7"/>
    </row>
    <row r="79" spans="1:11" ht="12.75">
      <c r="A79" s="7"/>
      <c r="B79" s="34" t="s">
        <v>24</v>
      </c>
      <c r="C79" s="29"/>
      <c r="D79" s="29"/>
      <c r="E79" s="29"/>
      <c r="F79" s="35">
        <f>PMT($D$89,30,SUM($H$7,NPV($D$89,H8:H36)))*-1</f>
        <v>59.79983447462742</v>
      </c>
      <c r="G79" s="36"/>
      <c r="H79" s="35"/>
      <c r="K79" s="37"/>
    </row>
    <row r="80" spans="1:11" ht="13.5" thickBot="1">
      <c r="A80" s="7"/>
      <c r="B80" s="38" t="s">
        <v>25</v>
      </c>
      <c r="C80" s="9"/>
      <c r="D80" s="39">
        <f>PMT($D$89,30,SUM(I44,NPV($D$89,I45:I73)))*-1</f>
        <v>94.97864235036089</v>
      </c>
      <c r="E80" s="39">
        <f>PMT($D$89,30,SUM(J44,NPV($D$89,J45:J73)))*-1</f>
        <v>56.946279771652726</v>
      </c>
      <c r="F80" s="40">
        <f>F79*8760*$D$87/1000</f>
        <v>445.26956749807573</v>
      </c>
      <c r="G80" s="41">
        <f>E80/F80</f>
        <v>0.12789169511769705</v>
      </c>
      <c r="H80" s="35"/>
      <c r="K80" s="37"/>
    </row>
    <row r="81" spans="1:11" ht="13.5" thickTop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2.75">
      <c r="A83" s="7" t="s">
        <v>26</v>
      </c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2.75">
      <c r="A84" s="7">
        <v>1</v>
      </c>
      <c r="B84" s="42" t="s">
        <v>27</v>
      </c>
      <c r="C84" s="7"/>
      <c r="D84" s="43">
        <f>D88</f>
        <v>0.0911612</v>
      </c>
      <c r="E84" s="7"/>
      <c r="F84" s="7"/>
      <c r="G84" s="7"/>
      <c r="H84" s="7"/>
      <c r="I84" s="7"/>
      <c r="J84" s="7"/>
      <c r="K84" s="7"/>
    </row>
    <row r="85" spans="1:11" ht="12.75">
      <c r="A85" s="7">
        <v>2</v>
      </c>
      <c r="B85" s="42" t="s">
        <v>28</v>
      </c>
      <c r="C85" s="7"/>
      <c r="D85" s="43">
        <f>-PMT(D89,30,1)</f>
        <v>0.09834019449720481</v>
      </c>
      <c r="E85" s="7"/>
      <c r="F85" s="7"/>
      <c r="G85" s="7"/>
      <c r="H85" s="7"/>
      <c r="I85" s="7"/>
      <c r="J85" s="7"/>
      <c r="K85" s="7"/>
    </row>
    <row r="86" spans="1:8" ht="12.75">
      <c r="A86" s="7">
        <v>2</v>
      </c>
      <c r="B86" s="7" t="s">
        <v>29</v>
      </c>
      <c r="C86" s="7"/>
      <c r="D86" s="7">
        <v>200</v>
      </c>
      <c r="E86" s="7"/>
      <c r="F86" s="7" t="s">
        <v>30</v>
      </c>
      <c r="G86" s="7">
        <v>50</v>
      </c>
      <c r="H86" s="7"/>
    </row>
    <row r="87" spans="1:11" ht="12.75">
      <c r="A87" s="7">
        <v>3</v>
      </c>
      <c r="B87" s="7" t="s">
        <v>31</v>
      </c>
      <c r="C87" s="7"/>
      <c r="D87" s="37">
        <v>0.85</v>
      </c>
      <c r="E87" s="7"/>
      <c r="F87" s="7"/>
      <c r="G87" s="7"/>
      <c r="H87" s="7"/>
      <c r="I87" s="7"/>
      <c r="J87" s="7"/>
      <c r="K87" s="7"/>
    </row>
    <row r="88" spans="1:11" ht="12.75">
      <c r="A88" s="7">
        <v>4</v>
      </c>
      <c r="B88" s="42" t="s">
        <v>32</v>
      </c>
      <c r="C88" s="7"/>
      <c r="D88" s="43">
        <f>F103</f>
        <v>0.0911612</v>
      </c>
      <c r="E88" s="7"/>
      <c r="F88" s="7"/>
      <c r="G88" s="7"/>
      <c r="H88" s="7"/>
      <c r="I88" s="7"/>
      <c r="J88" s="7"/>
      <c r="K88" s="7"/>
    </row>
    <row r="89" spans="1:11" ht="12.75">
      <c r="A89" s="7">
        <v>4</v>
      </c>
      <c r="B89" s="42" t="s">
        <v>33</v>
      </c>
      <c r="C89" s="7"/>
      <c r="D89" s="43">
        <f>F103</f>
        <v>0.0911612</v>
      </c>
      <c r="E89" s="7"/>
      <c r="F89" s="7"/>
      <c r="G89" s="7"/>
      <c r="H89" s="7"/>
      <c r="I89" s="7"/>
      <c r="J89" s="7"/>
      <c r="K89" s="7"/>
    </row>
    <row r="90" spans="1:11" ht="12.75">
      <c r="A90" s="7">
        <v>5</v>
      </c>
      <c r="B90" s="7" t="s">
        <v>34</v>
      </c>
      <c r="C90" s="7"/>
      <c r="D90" s="7"/>
      <c r="E90" s="7"/>
      <c r="F90" s="7"/>
      <c r="G90" s="7"/>
      <c r="H90" s="7"/>
      <c r="I90" s="7"/>
      <c r="J90" s="7"/>
      <c r="K90" s="7"/>
    </row>
    <row r="91" spans="1:7" ht="12.75">
      <c r="A91" s="13">
        <v>6</v>
      </c>
      <c r="B91" s="44" t="s">
        <v>35</v>
      </c>
      <c r="C91" s="13"/>
      <c r="D91" s="13"/>
      <c r="E91" s="13"/>
      <c r="F91" s="13"/>
      <c r="G91" s="45">
        <v>0.028</v>
      </c>
    </row>
    <row r="92" spans="1:7" ht="12.75">
      <c r="A92" s="13"/>
      <c r="B92" s="44"/>
      <c r="C92" s="13"/>
      <c r="D92" s="13"/>
      <c r="E92" s="13"/>
      <c r="F92" s="13"/>
      <c r="G92" s="45"/>
    </row>
    <row r="93" spans="1:11" ht="12.75">
      <c r="A93" s="13"/>
      <c r="B93" s="44"/>
      <c r="C93" s="13"/>
      <c r="D93" s="13"/>
      <c r="E93" s="13"/>
      <c r="F93" s="46" t="s">
        <v>36</v>
      </c>
      <c r="G93" s="46" t="s">
        <v>4</v>
      </c>
      <c r="H93" s="46" t="s">
        <v>5</v>
      </c>
      <c r="I93" s="46" t="s">
        <v>37</v>
      </c>
      <c r="J93" s="46" t="s">
        <v>38</v>
      </c>
      <c r="K93" s="45"/>
    </row>
    <row r="94" spans="1:11" ht="12.75">
      <c r="A94" s="13"/>
      <c r="B94" s="44"/>
      <c r="C94" s="13"/>
      <c r="D94" s="13"/>
      <c r="E94" s="13"/>
      <c r="F94" s="47" t="s">
        <v>39</v>
      </c>
      <c r="G94" s="47" t="s">
        <v>40</v>
      </c>
      <c r="H94" s="47" t="s">
        <v>40</v>
      </c>
      <c r="I94" s="47" t="s">
        <v>41</v>
      </c>
      <c r="J94" s="47" t="s">
        <v>42</v>
      </c>
      <c r="K94" s="45"/>
    </row>
    <row r="95" spans="1:11" ht="12.75">
      <c r="A95" s="7">
        <v>7</v>
      </c>
      <c r="B95" s="42" t="s">
        <v>43</v>
      </c>
      <c r="C95" s="7"/>
      <c r="D95" s="7"/>
      <c r="E95" s="7"/>
      <c r="F95" s="48">
        <f>710*1.025</f>
        <v>727.7499999999999</v>
      </c>
      <c r="G95" s="49">
        <f>41.43*1.025</f>
        <v>42.46574999999999</v>
      </c>
      <c r="H95" s="50">
        <f>(0.011+0.0013)*F95</f>
        <v>8.951324999999997</v>
      </c>
      <c r="I95" s="51">
        <v>2</v>
      </c>
      <c r="J95" s="52">
        <v>6900</v>
      </c>
      <c r="K95" s="7"/>
    </row>
    <row r="96" spans="1:10" ht="12.75" customHeight="1">
      <c r="A96" s="7">
        <v>8</v>
      </c>
      <c r="B96" s="42" t="s">
        <v>44</v>
      </c>
      <c r="F96" s="48">
        <f>441*1.025</f>
        <v>452.025</v>
      </c>
      <c r="G96" s="53">
        <f>18.74*1.025</f>
        <v>19.208499999999997</v>
      </c>
      <c r="H96" s="50">
        <f>(0.011+0.0013)*F96</f>
        <v>5.559907499999999</v>
      </c>
      <c r="I96" s="54">
        <v>2</v>
      </c>
      <c r="J96" s="55">
        <v>11700</v>
      </c>
    </row>
    <row r="97" spans="1:12" ht="12.75">
      <c r="A97" s="19">
        <v>9</v>
      </c>
      <c r="B97" s="19" t="s">
        <v>45</v>
      </c>
      <c r="C97" s="19"/>
      <c r="D97" s="56">
        <v>0.15</v>
      </c>
      <c r="L97" t="s">
        <v>46</v>
      </c>
    </row>
    <row r="100" spans="1:12" ht="12.75">
      <c r="A100" s="7">
        <v>10</v>
      </c>
      <c r="B100" s="42" t="s">
        <v>47</v>
      </c>
      <c r="C100" s="42"/>
      <c r="D100" s="43">
        <v>0.5496</v>
      </c>
      <c r="E100" s="43">
        <v>0.0696</v>
      </c>
      <c r="F100" s="43">
        <f>E100*D100</f>
        <v>0.03825215999999999</v>
      </c>
      <c r="L100" s="57"/>
    </row>
    <row r="101" spans="1:12" ht="12.75">
      <c r="A101" s="7">
        <v>11</v>
      </c>
      <c r="B101" s="42" t="s">
        <v>48</v>
      </c>
      <c r="C101" s="42"/>
      <c r="D101" s="43">
        <v>0.0004</v>
      </c>
      <c r="E101" s="43">
        <v>0.0851</v>
      </c>
      <c r="F101" s="43">
        <f>E101*D101</f>
        <v>3.404E-05</v>
      </c>
      <c r="L101" s="57"/>
    </row>
    <row r="102" spans="1:13" ht="15">
      <c r="A102" s="7">
        <v>12</v>
      </c>
      <c r="B102" s="42" t="s">
        <v>49</v>
      </c>
      <c r="C102" s="42"/>
      <c r="D102" s="58">
        <v>0.45</v>
      </c>
      <c r="E102" s="58">
        <v>0.1175</v>
      </c>
      <c r="F102" s="58">
        <f>E102*D102</f>
        <v>0.052875</v>
      </c>
      <c r="M102" s="57"/>
    </row>
    <row r="103" spans="1:12" ht="12.75">
      <c r="A103" s="7">
        <v>13</v>
      </c>
      <c r="B103" s="42" t="s">
        <v>50</v>
      </c>
      <c r="C103" s="42"/>
      <c r="D103" s="37">
        <f>SUM(D100:D102)</f>
        <v>1</v>
      </c>
      <c r="F103" s="43">
        <f>SUM(F100:F102)</f>
        <v>0.0911612</v>
      </c>
      <c r="L103" s="57"/>
    </row>
  </sheetData>
  <printOptions/>
  <pageMargins left="1.5" right="0.25" top="1.75" bottom="1" header="1" footer="0.5"/>
  <pageSetup fitToHeight="3" horizontalDpi="600" verticalDpi="600" orientation="portrait" scale="70" r:id="rId3"/>
  <headerFooter alignWithMargins="0">
    <oddHeader>&amp;CPuget Sound Energy
Electric Cost of Service
Derivation of Peak Credit
&amp;RDocket No. UE-04________
Exhibit No. _______ (CEP-10)
Page &amp;P of &amp;N</oddHeader>
  </headerFooter>
  <rowBreaks count="2" manualBreakCount="2">
    <brk id="39" max="255" man="1"/>
    <brk id="7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Rasanen</dc:creator>
  <cp:keywords/>
  <dc:description/>
  <cp:lastModifiedBy>Pam Rasanen</cp:lastModifiedBy>
  <cp:lastPrinted>2004-04-03T04:54:43Z</cp:lastPrinted>
  <dcterms:created xsi:type="dcterms:W3CDTF">2004-04-02T16:22:50Z</dcterms:created>
  <dcterms:modified xsi:type="dcterms:W3CDTF">2004-04-03T04:54:45Z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040641</vt:lpwstr>
  </property>
  <property fmtid="{D5CDD505-2E9C-101B-9397-08002B2CF9AE}" pid="6" name="IsConfidenti">
    <vt:lpwstr>0</vt:lpwstr>
  </property>
  <property fmtid="{D5CDD505-2E9C-101B-9397-08002B2CF9AE}" pid="7" name="Dat">
    <vt:lpwstr>2004-04-05T00:00:00Z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2004-04-05T00:00:00Z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